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" sheetId="12" r:id="rId1"/>
    <sheet name="Uniformity" sheetId="2" r:id="rId2"/>
    <sheet name="AMOXICILLIN 1" sheetId="4" r:id="rId3"/>
    <sheet name="CLAVULANIC ACID" sheetId="5" r:id="rId4"/>
    <sheet name="SST for S2 " sheetId="14" r:id="rId5"/>
    <sheet name="AMOXICILLIN S2" sheetId="9" r:id="rId6"/>
    <sheet name="CLAVULANIC ACID (S2)" sheetId="10" r:id="rId7"/>
  </sheets>
  <definedNames>
    <definedName name="_xlnm.Print_Area" localSheetId="0">SST!$A$1:$E$66</definedName>
    <definedName name="_xlnm.Print_Area" localSheetId="4">'SST for S2 '!$A$1:$E$66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14" l="1"/>
  <c r="B43" i="14" s="1"/>
  <c r="B23" i="14"/>
  <c r="B22" i="14"/>
  <c r="B54" i="14"/>
  <c r="E52" i="14"/>
  <c r="D52" i="14"/>
  <c r="C52" i="14"/>
  <c r="B52" i="14"/>
  <c r="B53" i="14" s="1"/>
  <c r="B34" i="14"/>
  <c r="E32" i="14"/>
  <c r="D32" i="14"/>
  <c r="C32" i="14"/>
  <c r="B32" i="14"/>
  <c r="B33" i="14" s="1"/>
  <c r="B43" i="12"/>
  <c r="B42" i="12"/>
  <c r="B23" i="12"/>
  <c r="B22" i="12"/>
  <c r="B54" i="12"/>
  <c r="E52" i="12"/>
  <c r="D52" i="12"/>
  <c r="C52" i="12"/>
  <c r="B52" i="12"/>
  <c r="B53" i="12" s="1"/>
  <c r="B34" i="12"/>
  <c r="E32" i="12"/>
  <c r="D32" i="12"/>
  <c r="C32" i="12"/>
  <c r="B32" i="12"/>
  <c r="B33" i="12" s="1"/>
  <c r="C120" i="10" l="1"/>
  <c r="B116" i="10"/>
  <c r="D100" i="10"/>
  <c r="D101" i="10" s="1"/>
  <c r="B98" i="10"/>
  <c r="F95" i="10"/>
  <c r="D95" i="10"/>
  <c r="G94" i="10"/>
  <c r="E94" i="10"/>
  <c r="B87" i="10"/>
  <c r="F97" i="10" s="1"/>
  <c r="F98" i="10" s="1"/>
  <c r="F99" i="10" s="1"/>
  <c r="B83" i="10"/>
  <c r="B80" i="10"/>
  <c r="B79" i="10"/>
  <c r="C76" i="10"/>
  <c r="H71" i="10"/>
  <c r="G71" i="10"/>
  <c r="B68" i="10"/>
  <c r="H67" i="10"/>
  <c r="G67" i="10"/>
  <c r="H63" i="10"/>
  <c r="G63" i="10"/>
  <c r="B57" i="10"/>
  <c r="B69" i="10" s="1"/>
  <c r="C56" i="10"/>
  <c r="B55" i="10"/>
  <c r="B45" i="10"/>
  <c r="D48" i="10" s="1"/>
  <c r="F42" i="10"/>
  <c r="D42" i="10"/>
  <c r="G41" i="10"/>
  <c r="E41" i="10"/>
  <c r="B34" i="10"/>
  <c r="F44" i="10" s="1"/>
  <c r="F45" i="10" s="1"/>
  <c r="F46" i="10" s="1"/>
  <c r="B30" i="10"/>
  <c r="C120" i="9"/>
  <c r="B116" i="9"/>
  <c r="B98" i="9"/>
  <c r="D101" i="9" s="1"/>
  <c r="F95" i="9"/>
  <c r="D95" i="9"/>
  <c r="G94" i="9"/>
  <c r="E94" i="9"/>
  <c r="B87" i="9"/>
  <c r="F97" i="9" s="1"/>
  <c r="B81" i="9"/>
  <c r="B83" i="9" s="1"/>
  <c r="B80" i="9"/>
  <c r="B79" i="9"/>
  <c r="C76" i="9"/>
  <c r="H71" i="9"/>
  <c r="G71" i="9"/>
  <c r="B68" i="9"/>
  <c r="H67" i="9"/>
  <c r="G67" i="9"/>
  <c r="H66" i="9"/>
  <c r="G66" i="9"/>
  <c r="H65" i="9"/>
  <c r="G65" i="9"/>
  <c r="H64" i="9"/>
  <c r="G64" i="9"/>
  <c r="H63" i="9"/>
  <c r="G63" i="9"/>
  <c r="B57" i="9"/>
  <c r="B69" i="9" s="1"/>
  <c r="C56" i="9"/>
  <c r="B55" i="9"/>
  <c r="B45" i="9"/>
  <c r="D48" i="9" s="1"/>
  <c r="F42" i="9"/>
  <c r="D42" i="9"/>
  <c r="I39" i="9" s="1"/>
  <c r="G41" i="9"/>
  <c r="E41" i="9"/>
  <c r="B34" i="9"/>
  <c r="F44" i="9" s="1"/>
  <c r="F45" i="9" s="1"/>
  <c r="F46" i="9" s="1"/>
  <c r="B28" i="9"/>
  <c r="G60" i="4"/>
  <c r="B83" i="4"/>
  <c r="B28" i="4"/>
  <c r="I39" i="10" l="1"/>
  <c r="I92" i="10"/>
  <c r="I92" i="9"/>
  <c r="G92" i="10"/>
  <c r="D102" i="10"/>
  <c r="G93" i="10"/>
  <c r="E92" i="10"/>
  <c r="G91" i="10"/>
  <c r="G40" i="10"/>
  <c r="D49" i="10"/>
  <c r="G38" i="10"/>
  <c r="G39" i="10"/>
  <c r="D97" i="10"/>
  <c r="D98" i="10" s="1"/>
  <c r="D99" i="10" s="1"/>
  <c r="D44" i="10"/>
  <c r="D45" i="10" s="1"/>
  <c r="D46" i="10" s="1"/>
  <c r="G40" i="9"/>
  <c r="G39" i="9"/>
  <c r="D49" i="9"/>
  <c r="G38" i="9"/>
  <c r="G42" i="9" s="1"/>
  <c r="F98" i="9"/>
  <c r="F99" i="9" s="1"/>
  <c r="D102" i="9"/>
  <c r="D44" i="9"/>
  <c r="D45" i="9" s="1"/>
  <c r="D46" i="9" s="1"/>
  <c r="D97" i="9"/>
  <c r="D98" i="9" s="1"/>
  <c r="D99" i="9" s="1"/>
  <c r="C120" i="5"/>
  <c r="B116" i="5"/>
  <c r="D100" i="5" s="1"/>
  <c r="B98" i="5"/>
  <c r="D97" i="5"/>
  <c r="F95" i="5"/>
  <c r="D95" i="5"/>
  <c r="I92" i="5" s="1"/>
  <c r="B87" i="5"/>
  <c r="F97" i="5" s="1"/>
  <c r="B83" i="5"/>
  <c r="B80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B98" i="4"/>
  <c r="F95" i="4"/>
  <c r="D95" i="4"/>
  <c r="B87" i="4"/>
  <c r="B81" i="4"/>
  <c r="B80" i="4"/>
  <c r="B79" i="4"/>
  <c r="C76" i="4"/>
  <c r="B68" i="4"/>
  <c r="B57" i="4"/>
  <c r="C56" i="4"/>
  <c r="B55" i="4"/>
  <c r="B45" i="4"/>
  <c r="D48" i="4" s="1"/>
  <c r="F42" i="4"/>
  <c r="D42" i="4"/>
  <c r="B34" i="4"/>
  <c r="F44" i="4" s="1"/>
  <c r="D50" i="2"/>
  <c r="D49" i="2"/>
  <c r="C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G42" i="10" l="1"/>
  <c r="E93" i="9"/>
  <c r="G95" i="10"/>
  <c r="E40" i="10"/>
  <c r="E91" i="10"/>
  <c r="E38" i="10"/>
  <c r="E39" i="10"/>
  <c r="E93" i="10"/>
  <c r="G92" i="9"/>
  <c r="E38" i="9"/>
  <c r="E91" i="9"/>
  <c r="E92" i="9"/>
  <c r="E39" i="9"/>
  <c r="G91" i="9"/>
  <c r="G93" i="9"/>
  <c r="E40" i="9"/>
  <c r="D101" i="5"/>
  <c r="D102" i="5" s="1"/>
  <c r="I39" i="5"/>
  <c r="D49" i="5"/>
  <c r="D44" i="5"/>
  <c r="D45" i="5" s="1"/>
  <c r="E40" i="5" s="1"/>
  <c r="F44" i="5"/>
  <c r="F45" i="5" s="1"/>
  <c r="I92" i="4"/>
  <c r="B69" i="4"/>
  <c r="I39" i="4"/>
  <c r="F45" i="4"/>
  <c r="F46" i="4" s="1"/>
  <c r="D49" i="4"/>
  <c r="B57" i="5"/>
  <c r="C50" i="2"/>
  <c r="D44" i="4"/>
  <c r="D45" i="4" s="1"/>
  <c r="D46" i="4" s="1"/>
  <c r="B69" i="5"/>
  <c r="D98" i="5"/>
  <c r="D97" i="4"/>
  <c r="D98" i="4" s="1"/>
  <c r="D99" i="4" s="1"/>
  <c r="F97" i="4"/>
  <c r="F98" i="4" s="1"/>
  <c r="F99" i="4" s="1"/>
  <c r="D101" i="4"/>
  <c r="F98" i="5"/>
  <c r="G95" i="9" l="1"/>
  <c r="D50" i="10"/>
  <c r="E42" i="10"/>
  <c r="D52" i="10"/>
  <c r="D103" i="10"/>
  <c r="E95" i="10"/>
  <c r="D105" i="10"/>
  <c r="D103" i="9"/>
  <c r="E95" i="9"/>
  <c r="D105" i="9"/>
  <c r="D50" i="9"/>
  <c r="E42" i="9"/>
  <c r="D52" i="9"/>
  <c r="E94" i="5"/>
  <c r="G92" i="5"/>
  <c r="D46" i="5"/>
  <c r="E39" i="5"/>
  <c r="E41" i="5"/>
  <c r="E38" i="5"/>
  <c r="G41" i="4"/>
  <c r="G39" i="4"/>
  <c r="G38" i="4"/>
  <c r="G40" i="4"/>
  <c r="F46" i="5"/>
  <c r="G39" i="5"/>
  <c r="G38" i="5"/>
  <c r="G41" i="5"/>
  <c r="G40" i="5"/>
  <c r="E40" i="4"/>
  <c r="E93" i="5"/>
  <c r="E91" i="5"/>
  <c r="D99" i="5"/>
  <c r="E92" i="5"/>
  <c r="E38" i="4"/>
  <c r="E41" i="4"/>
  <c r="E93" i="4"/>
  <c r="G91" i="4"/>
  <c r="D102" i="4"/>
  <c r="G93" i="4"/>
  <c r="E92" i="4"/>
  <c r="G94" i="4"/>
  <c r="E91" i="4"/>
  <c r="E94" i="4"/>
  <c r="G92" i="4"/>
  <c r="F99" i="5"/>
  <c r="G91" i="5"/>
  <c r="G94" i="5"/>
  <c r="G93" i="5"/>
  <c r="E39" i="4"/>
  <c r="E111" i="10" l="1"/>
  <c r="F111" i="10" s="1"/>
  <c r="E112" i="10"/>
  <c r="F112" i="10" s="1"/>
  <c r="E110" i="10"/>
  <c r="F110" i="10" s="1"/>
  <c r="E108" i="10"/>
  <c r="F108" i="10" s="1"/>
  <c r="E113" i="10"/>
  <c r="F113" i="10" s="1"/>
  <c r="D104" i="10"/>
  <c r="E109" i="10"/>
  <c r="F109" i="10" s="1"/>
  <c r="G70" i="10"/>
  <c r="H70" i="10" s="1"/>
  <c r="G65" i="10"/>
  <c r="H65" i="10" s="1"/>
  <c r="G61" i="10"/>
  <c r="H61" i="10" s="1"/>
  <c r="G68" i="10"/>
  <c r="H68" i="10" s="1"/>
  <c r="D51" i="10"/>
  <c r="G69" i="10"/>
  <c r="H69" i="10" s="1"/>
  <c r="G66" i="10"/>
  <c r="H66" i="10" s="1"/>
  <c r="G64" i="10"/>
  <c r="H64" i="10" s="1"/>
  <c r="G62" i="10"/>
  <c r="H62" i="10" s="1"/>
  <c r="G60" i="10"/>
  <c r="H60" i="10" s="1"/>
  <c r="G70" i="9"/>
  <c r="H70" i="9" s="1"/>
  <c r="G61" i="9"/>
  <c r="H61" i="9" s="1"/>
  <c r="G68" i="9"/>
  <c r="H68" i="9" s="1"/>
  <c r="D51" i="9"/>
  <c r="G69" i="9"/>
  <c r="H69" i="9" s="1"/>
  <c r="G62" i="9"/>
  <c r="H62" i="9" s="1"/>
  <c r="G60" i="9"/>
  <c r="H60" i="9" s="1"/>
  <c r="E112" i="9"/>
  <c r="F112" i="9" s="1"/>
  <c r="E110" i="9"/>
  <c r="F110" i="9" s="1"/>
  <c r="E108" i="9"/>
  <c r="F108" i="9" s="1"/>
  <c r="E113" i="9"/>
  <c r="F113" i="9" s="1"/>
  <c r="E111" i="9"/>
  <c r="F111" i="9" s="1"/>
  <c r="E109" i="9"/>
  <c r="F109" i="9" s="1"/>
  <c r="D104" i="9"/>
  <c r="E42" i="5"/>
  <c r="D50" i="5"/>
  <c r="G42" i="5"/>
  <c r="G95" i="5"/>
  <c r="G42" i="4"/>
  <c r="D105" i="4"/>
  <c r="E95" i="4"/>
  <c r="D103" i="4"/>
  <c r="E108" i="4" s="1"/>
  <c r="F108" i="4" s="1"/>
  <c r="D50" i="4"/>
  <c r="E42" i="4"/>
  <c r="D52" i="4"/>
  <c r="G95" i="4"/>
  <c r="D103" i="5"/>
  <c r="D105" i="5"/>
  <c r="E95" i="5"/>
  <c r="D52" i="5"/>
  <c r="F115" i="10" l="1"/>
  <c r="F117" i="10"/>
  <c r="H72" i="10"/>
  <c r="H74" i="10"/>
  <c r="H72" i="9"/>
  <c r="H74" i="9"/>
  <c r="F115" i="9"/>
  <c r="F117" i="9"/>
  <c r="D51" i="5"/>
  <c r="G60" i="5"/>
  <c r="H60" i="5" s="1"/>
  <c r="G62" i="5"/>
  <c r="H62" i="5" s="1"/>
  <c r="G61" i="5"/>
  <c r="H61" i="5" s="1"/>
  <c r="G69" i="5"/>
  <c r="H69" i="5" s="1"/>
  <c r="G63" i="5"/>
  <c r="H63" i="5" s="1"/>
  <c r="G71" i="5"/>
  <c r="H71" i="5" s="1"/>
  <c r="G65" i="5"/>
  <c r="H65" i="5" s="1"/>
  <c r="G64" i="5"/>
  <c r="H64" i="5" s="1"/>
  <c r="G68" i="5"/>
  <c r="H68" i="5" s="1"/>
  <c r="G67" i="5"/>
  <c r="H67" i="5" s="1"/>
  <c r="G70" i="5"/>
  <c r="H70" i="5" s="1"/>
  <c r="G66" i="5"/>
  <c r="H66" i="5" s="1"/>
  <c r="G70" i="4"/>
  <c r="H70" i="4" s="1"/>
  <c r="H60" i="4"/>
  <c r="G64" i="4"/>
  <c r="G61" i="4"/>
  <c r="G68" i="4"/>
  <c r="H68" i="4" s="1"/>
  <c r="G65" i="4"/>
  <c r="H65" i="4" s="1"/>
  <c r="G62" i="4"/>
  <c r="H62" i="4" s="1"/>
  <c r="G69" i="4"/>
  <c r="H69" i="4" s="1"/>
  <c r="G66" i="4"/>
  <c r="H66" i="4" s="1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F108" i="5" s="1"/>
  <c r="E112" i="4"/>
  <c r="F112" i="4" s="1"/>
  <c r="E110" i="4"/>
  <c r="F110" i="4" s="1"/>
  <c r="E109" i="4"/>
  <c r="F109" i="4" s="1"/>
  <c r="E113" i="4"/>
  <c r="F113" i="4" s="1"/>
  <c r="E111" i="4"/>
  <c r="F111" i="4" s="1"/>
  <c r="D104" i="4"/>
  <c r="G71" i="4"/>
  <c r="H71" i="4" s="1"/>
  <c r="D51" i="4"/>
  <c r="G67" i="4"/>
  <c r="H67" i="4" s="1"/>
  <c r="G63" i="4"/>
  <c r="H63" i="4" s="1"/>
  <c r="H61" i="4"/>
  <c r="H64" i="4"/>
  <c r="G76" i="10" l="1"/>
  <c r="H73" i="10"/>
  <c r="G120" i="10"/>
  <c r="F116" i="10"/>
  <c r="G120" i="9"/>
  <c r="F116" i="9"/>
  <c r="G76" i="9"/>
  <c r="H73" i="9"/>
  <c r="H74" i="5"/>
  <c r="H72" i="5"/>
  <c r="G76" i="5" s="1"/>
  <c r="F117" i="4"/>
  <c r="F115" i="4"/>
  <c r="F117" i="5"/>
  <c r="F115" i="5"/>
  <c r="H72" i="4"/>
  <c r="H74" i="4"/>
  <c r="H73" i="5" l="1"/>
  <c r="G76" i="4"/>
  <c r="H73" i="4"/>
  <c r="G120" i="5"/>
  <c r="F116" i="5"/>
  <c r="G120" i="4"/>
  <c r="F116" i="4"/>
</calcChain>
</file>

<file path=xl/sharedStrings.xml><?xml version="1.0" encoding="utf-8"?>
<sst xmlns="http://schemas.openxmlformats.org/spreadsheetml/2006/main" count="756" uniqueCount="134">
  <si>
    <t>Please enter the required information in the cells highlighted in green</t>
  </si>
  <si>
    <t>Uniformity of Weight Test Report</t>
  </si>
  <si>
    <t>Sample Name:</t>
  </si>
  <si>
    <t>KOACT 625</t>
  </si>
  <si>
    <t>Laboratory Ref No:</t>
  </si>
  <si>
    <t>NDQA201510409</t>
  </si>
  <si>
    <t>Active Ingredient:</t>
  </si>
  <si>
    <t>Amoxicillin &amp; Clavulanate Potassium</t>
  </si>
  <si>
    <t>Label Claim:</t>
  </si>
  <si>
    <t xml:space="preserve">Each fil coated tablet contains: Amoxicillin trihydrate Ph. Eur. equivalent to Amoxicillin 500mg
Potassium Clavulanate Ph. Eur. equivalent to clavulanic acid 25mg </t>
  </si>
  <si>
    <t>Date Analysis Started:</t>
  </si>
  <si>
    <t>2015-09-30 13:19:25</t>
  </si>
  <si>
    <t>Date Analysis Completed:</t>
  </si>
  <si>
    <t>Analysis Data</t>
  </si>
  <si>
    <t>Uniformity of weight</t>
  </si>
  <si>
    <t>Tablet weight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</si>
  <si>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</si>
  <si>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</si>
  <si>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</si>
  <si>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</si>
  <si>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</si>
  <si>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</si>
  <si>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</si>
  <si>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</si>
  <si>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</si>
  <si>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</si>
  <si>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</si>
  <si>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Analysis Report</t>
  </si>
  <si>
    <t>Reference Substance:</t>
  </si>
  <si>
    <t>Code:</t>
  </si>
  <si>
    <t>% age Purity: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</si>
  <si>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</si>
  <si>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</si>
  <si>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</si>
  <si>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</si>
  <si>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</si>
  <si>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</si>
  <si>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</si>
  <si>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</si>
  <si>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</si>
  <si>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</si>
  <si>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</si>
  <si>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</si>
  <si>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</si>
  <si>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</si>
  <si>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</si>
  <si>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</si>
  <si>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</si>
  <si>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</si>
  <si>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</si>
  <si>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</si>
  <si>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</si>
  <si>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</si>
  <si>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</si>
  <si>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</si>
  <si>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</si>
  <si>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</si>
  <si>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</si>
  <si>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</si>
  <si>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</si>
  <si>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</si>
  <si>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</si>
  <si>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</si>
  <si>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</si>
  <si>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</si>
  <si>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</si>
  <si>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</si>
  <si>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</si>
  <si>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 xml:space="preserve">The content of </t>
  </si>
  <si>
    <t xml:space="preserve">in the sample as a percentage of the stated  label claim is </t>
  </si>
  <si>
    <t>If correction for water content is not needed please enter 0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</si>
  <si>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</si>
  <si>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</si>
  <si>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</si>
  <si>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</si>
  <si>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</si>
  <si>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</si>
  <si>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</si>
  <si>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</si>
  <si>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</si>
  <si>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</si>
  <si>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</si>
  <si>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</si>
  <si>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</si>
  <si>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</si>
  <si>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</si>
  <si>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</si>
  <si>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</si>
  <si>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</si>
  <si>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</si>
  <si>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</si>
  <si>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</si>
  <si>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</si>
  <si>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</si>
  <si>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</si>
  <si>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</si>
  <si>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</si>
  <si>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</si>
  <si>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</si>
  <si>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</si>
  <si>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</si>
  <si>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</si>
  <si>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</si>
  <si>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</si>
  <si>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</si>
  <si>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</si>
  <si>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</si>
  <si>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</si>
  <si>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 trihydrate</t>
  </si>
  <si>
    <t>A1 2</t>
  </si>
  <si>
    <t>Clavulanate lithium</t>
  </si>
  <si>
    <t>C14 1</t>
  </si>
  <si>
    <t xml:space="preserve">Theoretical Plates (USP) </t>
  </si>
  <si>
    <t>Tailing Factor (Assym)</t>
  </si>
  <si>
    <t>Retention Times (min)</t>
  </si>
  <si>
    <t xml:space="preserve">RSD: </t>
  </si>
  <si>
    <t>Sample Name(s):</t>
  </si>
  <si>
    <t>Lab Ref. Number:</t>
  </si>
  <si>
    <t>SST Std Weight (mg):</t>
  </si>
  <si>
    <t>SST Standard Conc (mg/mL):</t>
  </si>
  <si>
    <t>Injection No:</t>
  </si>
  <si>
    <t>Peak Areas:</t>
  </si>
  <si>
    <t>Comments:</t>
  </si>
  <si>
    <r>
      <t xml:space="preserve">The RSD of the peak areas for the six replicate injections of  SST Std is </t>
    </r>
    <r>
      <rPr>
        <b/>
        <sz val="11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</si>
  <si>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1"/>
        <rFont val="Book Antiqua"/>
        <family val="1"/>
      </rPr>
      <t>greater than 1000.</t>
    </r>
  </si>
  <si>
    <r>
      <t xml:space="preserve">The Assymetry of all peaks is </t>
    </r>
    <r>
      <rPr>
        <b/>
        <sz val="11"/>
        <rFont val="Book Antiqua"/>
        <family val="1"/>
      </rPr>
      <t>below 2.0</t>
    </r>
  </si>
  <si>
    <r>
      <t>The number of Theoretical Plates (USP) for all peaks is</t>
    </r>
    <r>
      <rPr>
        <b/>
        <sz val="11"/>
        <rFont val="Book Antiqua"/>
        <family val="1"/>
      </rPr>
      <t xml:space="preserve"> not</t>
    </r>
    <r>
      <rPr>
        <sz val="11"/>
        <rFont val="Book Antiqua"/>
        <family val="1"/>
      </rPr>
      <t xml:space="preserve"> </t>
    </r>
    <r>
      <rPr>
        <b/>
        <sz val="11"/>
        <rFont val="Book Antiqua"/>
        <family val="1"/>
      </rPr>
      <t>less than 1000.</t>
    </r>
  </si>
  <si>
    <t>Checked by:</t>
  </si>
  <si>
    <t>Approved by:</t>
  </si>
  <si>
    <t>Lorna Wangari</t>
  </si>
  <si>
    <t>Koact Tablets</t>
  </si>
  <si>
    <t xml:space="preserve">                  NDQA201510409</t>
  </si>
  <si>
    <t>Amoxicillin</t>
  </si>
  <si>
    <t>HPLC System Suitability for  Analysis of Koact 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</si>
</sst>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00"/>
    <numFmt numFmtId="166" formatCode="[$-409]d/mmm/yy;@"/>
    <numFmt numFmtId="167" formatCode="0.0%"/>
    <numFmt numFmtId="168" formatCode="dd\-mmm\-yy"/>
    <numFmt numFmtId="169" formatCode="0.0000\ &quot;mg&quot;"/>
    <numFmt numFmtId="170" formatCode="0.000"/>
    <numFmt numFmtId="174" formatCode="dd\-mmm\-yyyy"/>
    <numFmt numFmtId="175" formatCode="0.0\ &quot;mg&quot;"/>
  </numFmts>
  <fonts count="30" x14ac:knownFonts="1"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name val="Arial"/>
      <family val="2"/>
    </font>
    <font>
      <b/>
      <sz val="10"/>
      <name val="Book Antiqua"/>
      <family val="1"/>
    </font>
    <font>
      <b/>
      <u/>
      <sz val="14"/>
      <name val="Book Antiqua"/>
      <family val="1"/>
    </font>
    <font>
      <sz val="11"/>
      <name val="Book Antiqua"/>
      <family val="1"/>
    </font>
    <font>
      <b/>
      <u/>
      <sz val="11"/>
      <name val="Book Antiqua"/>
      <family val="1"/>
    </font>
    <font>
      <b/>
      <sz val="11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4" fillId="2" borderId="0"/>
    <xf numFmtId="9" fontId="24" fillId="2" borderId="0" applyFont="0" applyFill="0" applyBorder="0" applyAlignment="0" applyProtection="0"/>
  </cellStyleXfs>
  <cellXfs count="66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right"/>
    </xf>
    <xf numFmtId="165" fontId="5" fillId="2" borderId="0" xfId="0" applyNumberFormat="1" applyFont="1" applyFill="1"/>
    <xf numFmtId="2" fontId="4" fillId="2" borderId="0" xfId="0" applyNumberFormat="1" applyFont="1" applyFill="1"/>
    <xf numFmtId="0" fontId="6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/>
    <xf numFmtId="0" fontId="7" fillId="2" borderId="0" xfId="0" applyFont="1" applyFill="1" applyAlignment="1">
      <alignment horizontal="right"/>
    </xf>
    <xf numFmtId="0" fontId="3" fillId="2" borderId="1" xfId="0" applyFont="1" applyFill="1" applyBorder="1"/>
    <xf numFmtId="0" fontId="3" fillId="2" borderId="0" xfId="0" applyFont="1" applyFill="1" applyAlignment="1">
      <alignment horizontal="center"/>
    </xf>
    <xf numFmtId="10" fontId="3" fillId="2" borderId="1" xfId="0" applyNumberFormat="1" applyFont="1" applyFill="1" applyBorder="1"/>
    <xf numFmtId="0" fontId="8" fillId="2" borderId="0" xfId="0" applyFont="1" applyFill="1"/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3" fillId="2" borderId="3" xfId="0" applyFont="1" applyFill="1" applyBorder="1"/>
    <xf numFmtId="0" fontId="3" fillId="2" borderId="0" xfId="0" applyFont="1" applyFill="1"/>
    <xf numFmtId="0" fontId="3" fillId="2" borderId="3" xfId="0" applyFont="1" applyFill="1" applyBorder="1"/>
    <xf numFmtId="0" fontId="7" fillId="2" borderId="4" xfId="0" applyFont="1" applyFill="1" applyBorder="1"/>
    <xf numFmtId="0" fontId="7" fillId="2" borderId="0" xfId="0" applyFont="1" applyFill="1"/>
    <xf numFmtId="0" fontId="3" fillId="2" borderId="4" xfId="0" applyFont="1" applyFill="1" applyBorder="1"/>
    <xf numFmtId="166" fontId="3" fillId="2" borderId="0" xfId="0" applyNumberFormat="1" applyFont="1" applyFill="1"/>
    <xf numFmtId="164" fontId="3" fillId="2" borderId="0" xfId="0" applyNumberFormat="1" applyFont="1" applyFill="1" applyAlignment="1">
      <alignment horizontal="center"/>
    </xf>
    <xf numFmtId="2" fontId="7" fillId="2" borderId="0" xfId="0" applyNumberFormat="1" applyFont="1" applyFill="1"/>
    <xf numFmtId="10" fontId="2" fillId="2" borderId="0" xfId="0" applyNumberFormat="1" applyFont="1" applyFill="1"/>
    <xf numFmtId="2" fontId="7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/>
    </xf>
    <xf numFmtId="164" fontId="3" fillId="2" borderId="5" xfId="0" applyNumberFormat="1" applyFont="1" applyFill="1" applyBorder="1" applyAlignment="1">
      <alignment horizontal="center" vertical="center"/>
    </xf>
    <xf numFmtId="165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wrapText="1"/>
    </xf>
    <xf numFmtId="165" fontId="7" fillId="2" borderId="5" xfId="0" applyNumberFormat="1" applyFont="1" applyFill="1" applyBorder="1" applyAlignment="1">
      <alignment horizontal="center" wrapText="1"/>
    </xf>
    <xf numFmtId="10" fontId="3" fillId="2" borderId="6" xfId="0" applyNumberFormat="1" applyFont="1" applyFill="1" applyBorder="1" applyAlignment="1">
      <alignment horizontal="center"/>
    </xf>
    <xf numFmtId="10" fontId="3" fillId="2" borderId="7" xfId="0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0" fontId="6" fillId="2" borderId="0" xfId="0" applyFont="1" applyFill="1"/>
    <xf numFmtId="0" fontId="9" fillId="2" borderId="0" xfId="0" applyFont="1" applyFill="1" applyAlignment="1">
      <alignment wrapText="1"/>
    </xf>
    <xf numFmtId="0" fontId="7" fillId="2" borderId="5" xfId="0" applyFont="1" applyFill="1" applyBorder="1" applyAlignment="1">
      <alignment horizontal="center" vertical="center"/>
    </xf>
    <xf numFmtId="167" fontId="7" fillId="2" borderId="9" xfId="0" applyNumberFormat="1" applyFont="1" applyFill="1" applyBorder="1" applyAlignment="1">
      <alignment horizontal="center"/>
    </xf>
    <xf numFmtId="167" fontId="7" fillId="2" borderId="10" xfId="0" applyNumberFormat="1" applyFont="1" applyFill="1" applyBorder="1" applyAlignment="1">
      <alignment horizontal="center"/>
    </xf>
    <xf numFmtId="2" fontId="3" fillId="3" borderId="7" xfId="0" applyNumberFormat="1" applyFont="1" applyFill="1" applyBorder="1" applyProtection="1">
      <protection locked="0"/>
    </xf>
    <xf numFmtId="2" fontId="3" fillId="3" borderId="8" xfId="0" applyNumberFormat="1" applyFont="1" applyFill="1" applyBorder="1" applyProtection="1">
      <protection locked="0"/>
    </xf>
    <xf numFmtId="166" fontId="3" fillId="2" borderId="0" xfId="0" applyNumberFormat="1" applyFont="1" applyFill="1" applyAlignment="1">
      <alignment horizontal="center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0" fillId="2" borderId="0" xfId="0" applyFont="1" applyFill="1"/>
    <xf numFmtId="0" fontId="10" fillId="2" borderId="0" xfId="0" applyFont="1" applyFill="1"/>
    <xf numFmtId="0" fontId="12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0" fillId="3" borderId="0" xfId="0" applyFont="1" applyFill="1" applyProtection="1">
      <protection locked="0"/>
    </xf>
    <xf numFmtId="168" fontId="10" fillId="2" borderId="0" xfId="0" applyNumberFormat="1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0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21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0" fillId="2" borderId="14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right"/>
    </xf>
    <xf numFmtId="0" fontId="14" fillId="3" borderId="23" xfId="0" applyFont="1" applyFill="1" applyBorder="1" applyAlignment="1" applyProtection="1">
      <alignment horizontal="center"/>
      <protection locked="0"/>
    </xf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170" fontId="10" fillId="2" borderId="19" xfId="0" applyNumberFormat="1" applyFont="1" applyFill="1" applyBorder="1" applyAlignment="1">
      <alignment horizontal="center"/>
    </xf>
    <xf numFmtId="170" fontId="10" fillId="2" borderId="20" xfId="0" applyNumberFormat="1" applyFont="1" applyFill="1" applyBorder="1" applyAlignment="1">
      <alignment horizontal="center"/>
    </xf>
    <xf numFmtId="0" fontId="15" fillId="2" borderId="6" xfId="0" applyFont="1" applyFill="1" applyBorder="1"/>
    <xf numFmtId="0" fontId="10" fillId="2" borderId="23" xfId="0" applyFont="1" applyFill="1" applyBorder="1" applyAlignment="1">
      <alignment horizontal="center"/>
    </xf>
    <xf numFmtId="0" fontId="14" fillId="3" borderId="15" xfId="0" applyFont="1" applyFill="1" applyBorder="1" applyAlignment="1" applyProtection="1">
      <alignment horizontal="center"/>
      <protection locked="0"/>
    </xf>
    <xf numFmtId="170" fontId="10" fillId="2" borderId="24" xfId="0" applyNumberFormat="1" applyFont="1" applyFill="1" applyBorder="1" applyAlignment="1">
      <alignment horizontal="center"/>
    </xf>
    <xf numFmtId="170" fontId="10" fillId="2" borderId="1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5" xfId="0" applyFont="1" applyFill="1" applyBorder="1" applyAlignment="1">
      <alignment horizontal="center"/>
    </xf>
    <xf numFmtId="0" fontId="14" fillId="3" borderId="26" xfId="0" applyFont="1" applyFill="1" applyBorder="1" applyAlignment="1" applyProtection="1">
      <alignment horizontal="center"/>
      <protection locked="0"/>
    </xf>
    <xf numFmtId="170" fontId="10" fillId="2" borderId="27" xfId="0" applyNumberFormat="1" applyFont="1" applyFill="1" applyBorder="1" applyAlignment="1">
      <alignment horizontal="center"/>
    </xf>
    <xf numFmtId="170" fontId="10" fillId="2" borderId="28" xfId="0" applyNumberFormat="1" applyFont="1" applyFill="1" applyBorder="1" applyAlignment="1">
      <alignment horizontal="center"/>
    </xf>
    <xf numFmtId="0" fontId="10" fillId="2" borderId="8" xfId="0" applyFont="1" applyFill="1" applyBorder="1"/>
    <xf numFmtId="0" fontId="10" fillId="2" borderId="23" xfId="0" applyFont="1" applyFill="1" applyBorder="1" applyAlignment="1">
      <alignment horizontal="right"/>
    </xf>
    <xf numFmtId="1" fontId="12" fillId="4" borderId="29" xfId="0" applyNumberFormat="1" applyFont="1" applyFill="1" applyBorder="1" applyAlignment="1">
      <alignment horizontal="center"/>
    </xf>
    <xf numFmtId="170" fontId="12" fillId="4" borderId="30" xfId="0" applyNumberFormat="1" applyFont="1" applyFill="1" applyBorder="1" applyAlignment="1">
      <alignment horizontal="center"/>
    </xf>
    <xf numFmtId="170" fontId="12" fillId="4" borderId="3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2" xfId="0" applyFont="1" applyFill="1" applyBorder="1" applyAlignment="1">
      <alignment horizontal="right"/>
    </xf>
    <xf numFmtId="0" fontId="14" fillId="3" borderId="9" xfId="0" applyFont="1" applyFill="1" applyBorder="1" applyAlignment="1" applyProtection="1">
      <alignment horizontal="center"/>
      <protection locked="0"/>
    </xf>
    <xf numFmtId="0" fontId="10" fillId="2" borderId="4" xfId="0" applyFont="1" applyFill="1" applyBorder="1" applyAlignment="1">
      <alignment horizontal="right"/>
    </xf>
    <xf numFmtId="2" fontId="10" fillId="4" borderId="3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3" xfId="0" applyFont="1" applyFill="1" applyBorder="1" applyAlignment="1">
      <alignment horizontal="center"/>
    </xf>
    <xf numFmtId="2" fontId="10" fillId="5" borderId="33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right"/>
    </xf>
    <xf numFmtId="164" fontId="14" fillId="3" borderId="33" xfId="0" applyNumberFormat="1" applyFont="1" applyFill="1" applyBorder="1" applyAlignment="1" applyProtection="1">
      <alignment horizontal="center"/>
      <protection locked="0"/>
    </xf>
    <xf numFmtId="164" fontId="10" fillId="2" borderId="0" xfId="0" applyNumberFormat="1" applyFont="1" applyFill="1"/>
    <xf numFmtId="0" fontId="10" fillId="2" borderId="22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8" xfId="0" applyFont="1" applyFill="1" applyBorder="1" applyAlignment="1">
      <alignment horizontal="right"/>
    </xf>
    <xf numFmtId="2" fontId="10" fillId="4" borderId="8" xfId="0" applyNumberFormat="1" applyFont="1" applyFill="1" applyBorder="1" applyAlignment="1">
      <alignment horizontal="center"/>
    </xf>
    <xf numFmtId="170" fontId="12" fillId="5" borderId="6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4" borderId="33" xfId="0" applyNumberFormat="1" applyFont="1" applyFill="1" applyBorder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0" fillId="5" borderId="8" xfId="0" applyFont="1" applyFill="1" applyBorder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5" fontId="14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2" fillId="2" borderId="6" xfId="0" applyNumberFormat="1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4" fillId="3" borderId="14" xfId="0" applyFont="1" applyFill="1" applyBorder="1" applyAlignment="1" applyProtection="1">
      <alignment horizontal="center"/>
      <protection locked="0"/>
    </xf>
    <xf numFmtId="10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/>
    </xf>
    <xf numFmtId="10" fontId="10" fillId="2" borderId="7" xfId="0" applyNumberFormat="1" applyFont="1" applyFill="1" applyBorder="1" applyAlignment="1">
      <alignment horizontal="center" vertical="center"/>
    </xf>
    <xf numFmtId="1" fontId="14" fillId="3" borderId="15" xfId="0" applyNumberFormat="1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23" xfId="0" applyNumberFormat="1" applyFont="1" applyFill="1" applyBorder="1" applyAlignment="1">
      <alignment horizontal="center" vertical="center"/>
    </xf>
    <xf numFmtId="10" fontId="10" fillId="2" borderId="38" xfId="0" applyNumberFormat="1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10" fontId="14" fillId="5" borderId="25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0" fontId="14" fillId="5" borderId="48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7" fontId="1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44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0" fontId="14" fillId="3" borderId="26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2" fillId="4" borderId="41" xfId="0" applyNumberFormat="1" applyFont="1" applyFill="1" applyBorder="1" applyAlignment="1">
      <alignment horizontal="center"/>
    </xf>
    <xf numFmtId="1" fontId="12" fillId="4" borderId="50" xfId="0" applyNumberFormat="1" applyFont="1" applyFill="1" applyBorder="1" applyAlignment="1">
      <alignment horizontal="center"/>
    </xf>
    <xf numFmtId="170" fontId="12" fillId="4" borderId="8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4" fillId="3" borderId="42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2" fontId="10" fillId="4" borderId="39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39" xfId="0" applyNumberFormat="1" applyFont="1" applyFill="1" applyBorder="1" applyAlignment="1">
      <alignment horizontal="center"/>
    </xf>
    <xf numFmtId="164" fontId="10" fillId="4" borderId="39" xfId="0" applyNumberFormat="1" applyFont="1" applyFill="1" applyBorder="1" applyAlignment="1">
      <alignment horizontal="center"/>
    </xf>
    <xf numFmtId="0" fontId="2" fillId="2" borderId="0" xfId="0" applyFont="1" applyFill="1"/>
    <xf numFmtId="164" fontId="10" fillId="5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2" fontId="10" fillId="5" borderId="2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0" fillId="2" borderId="9" xfId="0" applyFont="1" applyFill="1" applyBorder="1" applyAlignment="1">
      <alignment horizontal="right"/>
    </xf>
    <xf numFmtId="170" fontId="12" fillId="5" borderId="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2" fillId="4" borderId="33" xfId="0" applyNumberFormat="1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2" fillId="2" borderId="44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/>
    </xf>
    <xf numFmtId="1" fontId="14" fillId="3" borderId="24" xfId="0" applyNumberFormat="1" applyFont="1" applyFill="1" applyBorder="1" applyAlignment="1" applyProtection="1">
      <alignment horizontal="center"/>
      <protection locked="0"/>
    </xf>
    <xf numFmtId="10" fontId="10" fillId="2" borderId="20" xfId="0" applyNumberFormat="1" applyFont="1" applyFill="1" applyBorder="1" applyAlignment="1">
      <alignment horizontal="center"/>
    </xf>
    <xf numFmtId="10" fontId="10" fillId="2" borderId="16" xfId="0" applyNumberFormat="1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1" fontId="14" fillId="3" borderId="27" xfId="0" applyNumberFormat="1" applyFont="1" applyFill="1" applyBorder="1" applyAlignment="1" applyProtection="1">
      <alignment horizontal="center"/>
      <protection locked="0"/>
    </xf>
    <xf numFmtId="10" fontId="10" fillId="2" borderId="28" xfId="0" applyNumberFormat="1" applyFont="1" applyFill="1" applyBorder="1" applyAlignment="1">
      <alignment horizontal="center"/>
    </xf>
    <xf numFmtId="2" fontId="10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0" fillId="2" borderId="46" xfId="0" applyNumberFormat="1" applyFont="1" applyFill="1" applyBorder="1" applyAlignment="1">
      <alignment horizontal="right"/>
    </xf>
    <xf numFmtId="10" fontId="14" fillId="5" borderId="39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51" xfId="0" applyFont="1" applyFill="1" applyBorder="1"/>
    <xf numFmtId="10" fontId="14" fillId="4" borderId="39" xfId="0" applyNumberFormat="1" applyFont="1" applyFill="1" applyBorder="1" applyAlignment="1">
      <alignment horizontal="center"/>
    </xf>
    <xf numFmtId="0" fontId="10" fillId="2" borderId="35" xfId="0" applyFont="1" applyFill="1" applyBorder="1"/>
    <xf numFmtId="0" fontId="10" fillId="2" borderId="52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right"/>
    </xf>
    <xf numFmtId="0" fontId="14" fillId="5" borderId="10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/>
    <xf numFmtId="0" fontId="10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2" fillId="2" borderId="4" xfId="0" applyFont="1" applyFill="1" applyBorder="1"/>
    <xf numFmtId="0" fontId="10" fillId="2" borderId="4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4" fontId="12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4" fontId="10" fillId="2" borderId="14" xfId="0" applyNumberFormat="1" applyFont="1" applyFill="1" applyBorder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164" fontId="10" fillId="2" borderId="6" xfId="0" applyNumberFormat="1" applyFont="1" applyFill="1" applyBorder="1" applyAlignment="1">
      <alignment horizontal="center"/>
    </xf>
    <xf numFmtId="164" fontId="10" fillId="2" borderId="7" xfId="0" applyNumberFormat="1" applyFont="1" applyFill="1" applyBorder="1" applyAlignment="1">
      <alignment horizontal="center"/>
    </xf>
    <xf numFmtId="164" fontId="10" fillId="2" borderId="8" xfId="0" applyNumberFormat="1" applyFont="1" applyFill="1" applyBorder="1" applyAlignment="1">
      <alignment horizontal="center"/>
    </xf>
    <xf numFmtId="10" fontId="14" fillId="4" borderId="54" xfId="0" applyNumberFormat="1" applyFont="1" applyFill="1" applyBorder="1" applyAlignment="1">
      <alignment horizontal="center"/>
    </xf>
    <xf numFmtId="164" fontId="10" fillId="2" borderId="19" xfId="0" applyNumberFormat="1" applyFont="1" applyFill="1" applyBorder="1" applyAlignment="1">
      <alignment horizontal="center"/>
    </xf>
    <xf numFmtId="164" fontId="10" fillId="2" borderId="24" xfId="0" applyNumberFormat="1" applyFont="1" applyFill="1" applyBorder="1" applyAlignment="1">
      <alignment horizontal="center"/>
    </xf>
    <xf numFmtId="164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2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74" fontId="13" fillId="3" borderId="0" xfId="0" applyNumberFormat="1" applyFont="1" applyFill="1" applyAlignment="1" applyProtection="1">
      <alignment horizontal="center"/>
      <protection locked="0"/>
    </xf>
    <xf numFmtId="168" fontId="10" fillId="2" borderId="0" xfId="0" applyNumberFormat="1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0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21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0" fillId="2" borderId="14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right"/>
    </xf>
    <xf numFmtId="0" fontId="14" fillId="3" borderId="23" xfId="0" applyFont="1" applyFill="1" applyBorder="1" applyAlignment="1" applyProtection="1">
      <alignment horizontal="center"/>
      <protection locked="0"/>
    </xf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4" fillId="3" borderId="22" xfId="0" applyFont="1" applyFill="1" applyBorder="1" applyAlignment="1" applyProtection="1">
      <alignment horizontal="center"/>
      <protection locked="0"/>
    </xf>
    <xf numFmtId="170" fontId="10" fillId="2" borderId="19" xfId="0" applyNumberFormat="1" applyFont="1" applyFill="1" applyBorder="1" applyAlignment="1">
      <alignment horizontal="center"/>
    </xf>
    <xf numFmtId="170" fontId="10" fillId="2" borderId="20" xfId="0" applyNumberFormat="1" applyFont="1" applyFill="1" applyBorder="1" applyAlignment="1">
      <alignment horizontal="center"/>
    </xf>
    <xf numFmtId="0" fontId="15" fillId="2" borderId="6" xfId="0" applyFont="1" applyFill="1" applyBorder="1"/>
    <xf numFmtId="0" fontId="10" fillId="2" borderId="23" xfId="0" applyFont="1" applyFill="1" applyBorder="1" applyAlignment="1">
      <alignment horizontal="center"/>
    </xf>
    <xf numFmtId="0" fontId="14" fillId="3" borderId="15" xfId="0" applyFont="1" applyFill="1" applyBorder="1" applyAlignment="1" applyProtection="1">
      <alignment horizontal="center"/>
      <protection locked="0"/>
    </xf>
    <xf numFmtId="170" fontId="10" fillId="2" borderId="24" xfId="0" applyNumberFormat="1" applyFont="1" applyFill="1" applyBorder="1" applyAlignment="1">
      <alignment horizontal="center"/>
    </xf>
    <xf numFmtId="170" fontId="10" fillId="2" borderId="1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5" xfId="0" applyFont="1" applyFill="1" applyBorder="1" applyAlignment="1">
      <alignment horizontal="center"/>
    </xf>
    <xf numFmtId="0" fontId="14" fillId="3" borderId="26" xfId="0" applyFont="1" applyFill="1" applyBorder="1" applyAlignment="1" applyProtection="1">
      <alignment horizontal="center"/>
      <protection locked="0"/>
    </xf>
    <xf numFmtId="170" fontId="10" fillId="2" borderId="27" xfId="0" applyNumberFormat="1" applyFont="1" applyFill="1" applyBorder="1" applyAlignment="1">
      <alignment horizontal="center"/>
    </xf>
    <xf numFmtId="170" fontId="10" fillId="2" borderId="28" xfId="0" applyNumberFormat="1" applyFont="1" applyFill="1" applyBorder="1" applyAlignment="1">
      <alignment horizontal="center"/>
    </xf>
    <xf numFmtId="0" fontId="10" fillId="2" borderId="8" xfId="0" applyFont="1" applyFill="1" applyBorder="1"/>
    <xf numFmtId="0" fontId="10" fillId="2" borderId="23" xfId="0" applyFont="1" applyFill="1" applyBorder="1" applyAlignment="1">
      <alignment horizontal="right"/>
    </xf>
    <xf numFmtId="1" fontId="12" fillId="4" borderId="29" xfId="0" applyNumberFormat="1" applyFont="1" applyFill="1" applyBorder="1" applyAlignment="1">
      <alignment horizontal="center"/>
    </xf>
    <xf numFmtId="170" fontId="12" fillId="4" borderId="30" xfId="0" applyNumberFormat="1" applyFont="1" applyFill="1" applyBorder="1" applyAlignment="1">
      <alignment horizontal="center"/>
    </xf>
    <xf numFmtId="170" fontId="12" fillId="4" borderId="3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2" xfId="0" applyFont="1" applyFill="1" applyBorder="1" applyAlignment="1">
      <alignment horizontal="right"/>
    </xf>
    <xf numFmtId="0" fontId="14" fillId="3" borderId="9" xfId="0" applyFont="1" applyFill="1" applyBorder="1" applyAlignment="1" applyProtection="1">
      <alignment horizontal="center"/>
      <protection locked="0"/>
    </xf>
    <xf numFmtId="0" fontId="10" fillId="2" borderId="4" xfId="0" applyFont="1" applyFill="1" applyBorder="1" applyAlignment="1">
      <alignment horizontal="right"/>
    </xf>
    <xf numFmtId="2" fontId="10" fillId="4" borderId="3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3" xfId="0" applyFont="1" applyFill="1" applyBorder="1" applyAlignment="1">
      <alignment horizontal="center"/>
    </xf>
    <xf numFmtId="2" fontId="10" fillId="5" borderId="33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right"/>
    </xf>
    <xf numFmtId="164" fontId="14" fillId="3" borderId="33" xfId="0" applyNumberFormat="1" applyFont="1" applyFill="1" applyBorder="1" applyAlignment="1" applyProtection="1">
      <alignment horizontal="center"/>
      <protection locked="0"/>
    </xf>
    <xf numFmtId="164" fontId="10" fillId="2" borderId="0" xfId="0" applyNumberFormat="1" applyFont="1" applyFill="1"/>
    <xf numFmtId="0" fontId="10" fillId="2" borderId="22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8" xfId="0" applyFont="1" applyFill="1" applyBorder="1" applyAlignment="1">
      <alignment horizontal="right"/>
    </xf>
    <xf numFmtId="2" fontId="10" fillId="4" borderId="8" xfId="0" applyNumberFormat="1" applyFont="1" applyFill="1" applyBorder="1" applyAlignment="1">
      <alignment horizontal="center"/>
    </xf>
    <xf numFmtId="170" fontId="12" fillId="5" borderId="6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4" borderId="33" xfId="0" applyNumberFormat="1" applyFont="1" applyFill="1" applyBorder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0" fillId="5" borderId="8" xfId="0" applyFont="1" applyFill="1" applyBorder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5" fontId="14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2" fillId="2" borderId="6" xfId="0" applyNumberFormat="1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4" fillId="3" borderId="14" xfId="0" applyFont="1" applyFill="1" applyBorder="1" applyAlignment="1" applyProtection="1">
      <alignment horizontal="center"/>
      <protection locked="0"/>
    </xf>
    <xf numFmtId="10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/>
    </xf>
    <xf numFmtId="10" fontId="10" fillId="2" borderId="7" xfId="0" applyNumberFormat="1" applyFont="1" applyFill="1" applyBorder="1" applyAlignment="1">
      <alignment horizontal="center" vertical="center"/>
    </xf>
    <xf numFmtId="1" fontId="14" fillId="3" borderId="15" xfId="0" applyNumberFormat="1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23" xfId="0" applyNumberFormat="1" applyFont="1" applyFill="1" applyBorder="1" applyAlignment="1">
      <alignment horizontal="center" vertical="center"/>
    </xf>
    <xf numFmtId="10" fontId="10" fillId="2" borderId="38" xfId="0" applyNumberFormat="1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10" fontId="14" fillId="5" borderId="25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0" fontId="14" fillId="5" borderId="48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7" fontId="1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44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0" fontId="14" fillId="3" borderId="26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2" fillId="4" borderId="41" xfId="0" applyNumberFormat="1" applyFont="1" applyFill="1" applyBorder="1" applyAlignment="1">
      <alignment horizontal="center"/>
    </xf>
    <xf numFmtId="1" fontId="12" fillId="4" borderId="50" xfId="0" applyNumberFormat="1" applyFont="1" applyFill="1" applyBorder="1" applyAlignment="1">
      <alignment horizontal="center"/>
    </xf>
    <xf numFmtId="170" fontId="12" fillId="4" borderId="8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4" fillId="3" borderId="42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2" fontId="10" fillId="4" borderId="39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39" xfId="0" applyNumberFormat="1" applyFont="1" applyFill="1" applyBorder="1" applyAlignment="1">
      <alignment horizontal="center"/>
    </xf>
    <xf numFmtId="164" fontId="10" fillId="4" borderId="39" xfId="0" applyNumberFormat="1" applyFont="1" applyFill="1" applyBorder="1" applyAlignment="1">
      <alignment horizontal="center"/>
    </xf>
    <xf numFmtId="0" fontId="2" fillId="2" borderId="0" xfId="0" applyFont="1" applyFill="1"/>
    <xf numFmtId="164" fontId="10" fillId="5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2" fontId="10" fillId="5" borderId="2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0" fillId="2" borderId="9" xfId="0" applyFont="1" applyFill="1" applyBorder="1" applyAlignment="1">
      <alignment horizontal="right"/>
    </xf>
    <xf numFmtId="170" fontId="12" fillId="5" borderId="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2" fillId="4" borderId="33" xfId="0" applyNumberFormat="1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2" fillId="2" borderId="44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/>
    </xf>
    <xf numFmtId="1" fontId="14" fillId="3" borderId="24" xfId="0" applyNumberFormat="1" applyFont="1" applyFill="1" applyBorder="1" applyAlignment="1" applyProtection="1">
      <alignment horizontal="center"/>
      <protection locked="0"/>
    </xf>
    <xf numFmtId="10" fontId="10" fillId="2" borderId="20" xfId="0" applyNumberFormat="1" applyFont="1" applyFill="1" applyBorder="1" applyAlignment="1">
      <alignment horizontal="center"/>
    </xf>
    <xf numFmtId="10" fontId="10" fillId="2" borderId="16" xfId="0" applyNumberFormat="1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1" fontId="14" fillId="3" borderId="27" xfId="0" applyNumberFormat="1" applyFont="1" applyFill="1" applyBorder="1" applyAlignment="1" applyProtection="1">
      <alignment horizontal="center"/>
      <protection locked="0"/>
    </xf>
    <xf numFmtId="10" fontId="10" fillId="2" borderId="28" xfId="0" applyNumberFormat="1" applyFont="1" applyFill="1" applyBorder="1" applyAlignment="1">
      <alignment horizontal="center"/>
    </xf>
    <xf numFmtId="2" fontId="10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0" fillId="2" borderId="46" xfId="0" applyNumberFormat="1" applyFont="1" applyFill="1" applyBorder="1" applyAlignment="1">
      <alignment horizontal="right"/>
    </xf>
    <xf numFmtId="10" fontId="14" fillId="5" borderId="39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51" xfId="0" applyFont="1" applyFill="1" applyBorder="1"/>
    <xf numFmtId="10" fontId="14" fillId="4" borderId="39" xfId="0" applyNumberFormat="1" applyFont="1" applyFill="1" applyBorder="1" applyAlignment="1">
      <alignment horizontal="center"/>
    </xf>
    <xf numFmtId="0" fontId="10" fillId="2" borderId="35" xfId="0" applyFont="1" applyFill="1" applyBorder="1"/>
    <xf numFmtId="0" fontId="10" fillId="2" borderId="52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right"/>
    </xf>
    <xf numFmtId="0" fontId="14" fillId="5" borderId="10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/>
    <xf numFmtId="0" fontId="10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2" fillId="2" borderId="4" xfId="0" applyFont="1" applyFill="1" applyBorder="1"/>
    <xf numFmtId="0" fontId="10" fillId="2" borderId="4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4" fontId="12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4" fontId="10" fillId="2" borderId="14" xfId="0" applyNumberFormat="1" applyFont="1" applyFill="1" applyBorder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164" fontId="10" fillId="2" borderId="6" xfId="0" applyNumberFormat="1" applyFont="1" applyFill="1" applyBorder="1" applyAlignment="1">
      <alignment horizontal="center"/>
    </xf>
    <xf numFmtId="164" fontId="10" fillId="2" borderId="7" xfId="0" applyNumberFormat="1" applyFont="1" applyFill="1" applyBorder="1" applyAlignment="1">
      <alignment horizontal="center"/>
    </xf>
    <xf numFmtId="164" fontId="10" fillId="2" borderId="8" xfId="0" applyNumberFormat="1" applyFont="1" applyFill="1" applyBorder="1" applyAlignment="1">
      <alignment horizontal="center"/>
    </xf>
    <xf numFmtId="10" fontId="14" fillId="4" borderId="54" xfId="0" applyNumberFormat="1" applyFont="1" applyFill="1" applyBorder="1" applyAlignment="1">
      <alignment horizontal="center"/>
    </xf>
    <xf numFmtId="164" fontId="10" fillId="2" borderId="19" xfId="0" applyNumberFormat="1" applyFont="1" applyFill="1" applyBorder="1" applyAlignment="1">
      <alignment horizontal="center"/>
    </xf>
    <xf numFmtId="164" fontId="10" fillId="2" borderId="24" xfId="0" applyNumberFormat="1" applyFont="1" applyFill="1" applyBorder="1" applyAlignment="1">
      <alignment horizontal="center"/>
    </xf>
    <xf numFmtId="164" fontId="10" fillId="2" borderId="27" xfId="0" applyNumberFormat="1" applyFont="1" applyFill="1" applyBorder="1" applyAlignment="1">
      <alignment horizontal="center"/>
    </xf>
    <xf numFmtId="0" fontId="12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74" fontId="13" fillId="3" borderId="0" xfId="0" applyNumberFormat="1" applyFont="1" applyFill="1" applyAlignment="1" applyProtection="1">
      <alignment horizontal="center"/>
      <protection locked="0"/>
    </xf>
    <xf numFmtId="168" fontId="10" fillId="2" borderId="0" xfId="0" applyNumberFormat="1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center"/>
      <protection locked="0"/>
    </xf>
    <xf numFmtId="0" fontId="20" fillId="2" borderId="0" xfId="0" applyFont="1" applyFill="1" applyAlignment="1">
      <alignment vertical="center" wrapText="1"/>
    </xf>
    <xf numFmtId="0" fontId="16" fillId="2" borderId="0" xfId="0" applyFont="1" applyFill="1"/>
    <xf numFmtId="0" fontId="21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0" fillId="2" borderId="14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right"/>
    </xf>
    <xf numFmtId="0" fontId="14" fillId="3" borderId="23" xfId="0" applyFont="1" applyFill="1" applyBorder="1" applyAlignment="1" applyProtection="1">
      <alignment horizontal="center"/>
      <protection locked="0"/>
    </xf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4" fillId="3" borderId="22" xfId="0" applyFont="1" applyFill="1" applyBorder="1" applyAlignment="1" applyProtection="1">
      <alignment horizontal="center"/>
      <protection locked="0"/>
    </xf>
    <xf numFmtId="170" fontId="10" fillId="2" borderId="19" xfId="0" applyNumberFormat="1" applyFont="1" applyFill="1" applyBorder="1" applyAlignment="1">
      <alignment horizontal="center"/>
    </xf>
    <xf numFmtId="170" fontId="10" fillId="2" borderId="20" xfId="0" applyNumberFormat="1" applyFont="1" applyFill="1" applyBorder="1" applyAlignment="1">
      <alignment horizontal="center"/>
    </xf>
    <xf numFmtId="0" fontId="15" fillId="2" borderId="6" xfId="0" applyFont="1" applyFill="1" applyBorder="1"/>
    <xf numFmtId="0" fontId="14" fillId="3" borderId="15" xfId="0" applyFont="1" applyFill="1" applyBorder="1" applyAlignment="1" applyProtection="1">
      <alignment horizontal="center"/>
      <protection locked="0"/>
    </xf>
    <xf numFmtId="170" fontId="10" fillId="2" borderId="24" xfId="0" applyNumberFormat="1" applyFont="1" applyFill="1" applyBorder="1" applyAlignment="1">
      <alignment horizontal="center"/>
    </xf>
    <xf numFmtId="170" fontId="10" fillId="2" borderId="16" xfId="0" applyNumberFormat="1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14" fillId="3" borderId="26" xfId="0" applyFont="1" applyFill="1" applyBorder="1" applyAlignment="1" applyProtection="1">
      <alignment horizontal="center"/>
      <protection locked="0"/>
    </xf>
    <xf numFmtId="170" fontId="10" fillId="2" borderId="27" xfId="0" applyNumberFormat="1" applyFont="1" applyFill="1" applyBorder="1" applyAlignment="1">
      <alignment horizontal="center"/>
    </xf>
    <xf numFmtId="170" fontId="10" fillId="2" borderId="28" xfId="0" applyNumberFormat="1" applyFont="1" applyFill="1" applyBorder="1" applyAlignment="1">
      <alignment horizontal="center"/>
    </xf>
    <xf numFmtId="0" fontId="10" fillId="2" borderId="8" xfId="0" applyFont="1" applyFill="1" applyBorder="1"/>
    <xf numFmtId="0" fontId="10" fillId="2" borderId="23" xfId="0" applyFont="1" applyFill="1" applyBorder="1" applyAlignment="1">
      <alignment horizontal="right"/>
    </xf>
    <xf numFmtId="1" fontId="12" fillId="4" borderId="29" xfId="0" applyNumberFormat="1" applyFont="1" applyFill="1" applyBorder="1" applyAlignment="1">
      <alignment horizontal="center"/>
    </xf>
    <xf numFmtId="170" fontId="12" fillId="4" borderId="30" xfId="0" applyNumberFormat="1" applyFont="1" applyFill="1" applyBorder="1" applyAlignment="1">
      <alignment horizontal="center"/>
    </xf>
    <xf numFmtId="170" fontId="12" fillId="4" borderId="3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2" xfId="0" applyFont="1" applyFill="1" applyBorder="1" applyAlignment="1">
      <alignment horizontal="right"/>
    </xf>
    <xf numFmtId="0" fontId="14" fillId="3" borderId="9" xfId="0" applyFont="1" applyFill="1" applyBorder="1" applyAlignment="1" applyProtection="1">
      <alignment horizontal="center"/>
      <protection locked="0"/>
    </xf>
    <xf numFmtId="0" fontId="10" fillId="2" borderId="4" xfId="0" applyFont="1" applyFill="1" applyBorder="1" applyAlignment="1">
      <alignment horizontal="right"/>
    </xf>
    <xf numFmtId="2" fontId="10" fillId="4" borderId="33" xfId="0" applyNumberFormat="1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2" fontId="10" fillId="5" borderId="33" xfId="0" applyNumberFormat="1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right"/>
    </xf>
    <xf numFmtId="164" fontId="14" fillId="3" borderId="33" xfId="0" applyNumberFormat="1" applyFont="1" applyFill="1" applyBorder="1" applyAlignment="1" applyProtection="1">
      <alignment horizontal="center"/>
      <protection locked="0"/>
    </xf>
    <xf numFmtId="164" fontId="10" fillId="2" borderId="0" xfId="0" applyNumberFormat="1" applyFont="1" applyFill="1"/>
    <xf numFmtId="0" fontId="10" fillId="2" borderId="22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8" xfId="0" applyFont="1" applyFill="1" applyBorder="1" applyAlignment="1">
      <alignment horizontal="right"/>
    </xf>
    <xf numFmtId="2" fontId="10" fillId="4" borderId="8" xfId="0" applyNumberFormat="1" applyFont="1" applyFill="1" applyBorder="1" applyAlignment="1">
      <alignment horizontal="center"/>
    </xf>
    <xf numFmtId="170" fontId="12" fillId="5" borderId="6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4" borderId="33" xfId="0" applyNumberFormat="1" applyFont="1" applyFill="1" applyBorder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0" fillId="5" borderId="8" xfId="0" applyFont="1" applyFill="1" applyBorder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5" fontId="14" fillId="3" borderId="0" xfId="0" applyNumberFormat="1" applyFont="1" applyFill="1" applyAlignment="1" applyProtection="1">
      <alignment horizontal="center"/>
      <protection locked="0"/>
    </xf>
    <xf numFmtId="2" fontId="12" fillId="2" borderId="6" xfId="0" applyNumberFormat="1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4" fillId="3" borderId="14" xfId="0" applyFont="1" applyFill="1" applyBorder="1" applyAlignment="1" applyProtection="1">
      <alignment horizontal="center"/>
      <protection locked="0"/>
    </xf>
    <xf numFmtId="10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/>
    </xf>
    <xf numFmtId="10" fontId="10" fillId="2" borderId="7" xfId="0" applyNumberFormat="1" applyFont="1" applyFill="1" applyBorder="1" applyAlignment="1">
      <alignment horizontal="center" vertical="center"/>
    </xf>
    <xf numFmtId="1" fontId="14" fillId="3" borderId="15" xfId="0" applyNumberFormat="1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23" xfId="0" applyNumberFormat="1" applyFont="1" applyFill="1" applyBorder="1" applyAlignment="1">
      <alignment horizontal="center" vertical="center"/>
    </xf>
    <xf numFmtId="10" fontId="10" fillId="2" borderId="38" xfId="0" applyNumberFormat="1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47" xfId="0" applyFont="1" applyFill="1" applyBorder="1" applyAlignment="1">
      <alignment horizontal="right"/>
    </xf>
    <xf numFmtId="10" fontId="14" fillId="5" borderId="25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0" fontId="14" fillId="5" borderId="48" xfId="0" applyFont="1" applyFill="1" applyBorder="1" applyAlignment="1">
      <alignment horizontal="center"/>
    </xf>
    <xf numFmtId="0" fontId="10" fillId="2" borderId="0" xfId="0" applyFont="1" applyFill="1"/>
    <xf numFmtId="167" fontId="14" fillId="2" borderId="0" xfId="0" applyNumberFormat="1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0" fontId="14" fillId="3" borderId="26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2" fillId="4" borderId="41" xfId="0" applyNumberFormat="1" applyFont="1" applyFill="1" applyBorder="1" applyAlignment="1">
      <alignment horizontal="center"/>
    </xf>
    <xf numFmtId="1" fontId="12" fillId="4" borderId="50" xfId="0" applyNumberFormat="1" applyFont="1" applyFill="1" applyBorder="1" applyAlignment="1">
      <alignment horizontal="center"/>
    </xf>
    <xf numFmtId="170" fontId="12" fillId="4" borderId="8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4" fillId="3" borderId="42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2" fontId="10" fillId="4" borderId="39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39" xfId="0" applyNumberFormat="1" applyFont="1" applyFill="1" applyBorder="1" applyAlignment="1">
      <alignment horizontal="center"/>
    </xf>
    <xf numFmtId="164" fontId="10" fillId="4" borderId="39" xfId="0" applyNumberFormat="1" applyFont="1" applyFill="1" applyBorder="1" applyAlignment="1">
      <alignment horizontal="center"/>
    </xf>
    <xf numFmtId="0" fontId="2" fillId="2" borderId="0" xfId="0" applyFont="1" applyFill="1"/>
    <xf numFmtId="164" fontId="10" fillId="5" borderId="39" xfId="0" applyNumberFormat="1" applyFont="1" applyFill="1" applyBorder="1" applyAlignment="1">
      <alignment horizontal="center"/>
    </xf>
    <xf numFmtId="0" fontId="10" fillId="2" borderId="40" xfId="0" applyFont="1" applyFill="1" applyBorder="1" applyAlignment="1">
      <alignment horizontal="right"/>
    </xf>
    <xf numFmtId="2" fontId="10" fillId="5" borderId="2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0" fillId="2" borderId="9" xfId="0" applyFont="1" applyFill="1" applyBorder="1" applyAlignment="1">
      <alignment horizontal="right"/>
    </xf>
    <xf numFmtId="170" fontId="12" fillId="5" borderId="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2" fillId="4" borderId="33" xfId="0" applyNumberFormat="1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/>
    </xf>
    <xf numFmtId="1" fontId="14" fillId="3" borderId="24" xfId="0" applyNumberFormat="1" applyFont="1" applyFill="1" applyBorder="1" applyAlignment="1" applyProtection="1">
      <alignment horizontal="center"/>
      <protection locked="0"/>
    </xf>
    <xf numFmtId="10" fontId="10" fillId="2" borderId="20" xfId="0" applyNumberFormat="1" applyFont="1" applyFill="1" applyBorder="1" applyAlignment="1">
      <alignment horizontal="center"/>
    </xf>
    <xf numFmtId="10" fontId="10" fillId="2" borderId="16" xfId="0" applyNumberFormat="1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1" fontId="14" fillId="3" borderId="27" xfId="0" applyNumberFormat="1" applyFont="1" applyFill="1" applyBorder="1" applyAlignment="1" applyProtection="1">
      <alignment horizontal="center"/>
      <protection locked="0"/>
    </xf>
    <xf numFmtId="10" fontId="10" fillId="2" borderId="28" xfId="0" applyNumberFormat="1" applyFont="1" applyFill="1" applyBorder="1" applyAlignment="1">
      <alignment horizontal="center"/>
    </xf>
    <xf numFmtId="2" fontId="10" fillId="2" borderId="23" xfId="0" applyNumberFormat="1" applyFont="1" applyFill="1" applyBorder="1" applyAlignment="1">
      <alignment horizontal="center"/>
    </xf>
    <xf numFmtId="170" fontId="10" fillId="2" borderId="46" xfId="0" applyNumberFormat="1" applyFont="1" applyFill="1" applyBorder="1" applyAlignment="1">
      <alignment horizontal="right"/>
    </xf>
    <xf numFmtId="10" fontId="14" fillId="5" borderId="39" xfId="0" applyNumberFormat="1" applyFont="1" applyFill="1" applyBorder="1" applyAlignment="1">
      <alignment horizontal="center"/>
    </xf>
    <xf numFmtId="0" fontId="10" fillId="2" borderId="15" xfId="0" applyFont="1" applyFill="1" applyBorder="1"/>
    <xf numFmtId="10" fontId="14" fillId="4" borderId="39" xfId="0" applyNumberFormat="1" applyFont="1" applyFill="1" applyBorder="1" applyAlignment="1">
      <alignment horizontal="center"/>
    </xf>
    <xf numFmtId="0" fontId="10" fillId="2" borderId="35" xfId="0" applyFont="1" applyFill="1" applyBorder="1"/>
    <xf numFmtId="0" fontId="10" fillId="2" borderId="53" xfId="0" applyFont="1" applyFill="1" applyBorder="1" applyAlignment="1">
      <alignment horizontal="right"/>
    </xf>
    <xf numFmtId="0" fontId="14" fillId="5" borderId="10" xfId="0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0" fillId="2" borderId="3" xfId="0" applyFont="1" applyFill="1" applyBorder="1"/>
    <xf numFmtId="0" fontId="12" fillId="2" borderId="4" xfId="0" applyFont="1" applyFill="1" applyBorder="1"/>
    <xf numFmtId="0" fontId="10" fillId="2" borderId="4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4" fontId="12" fillId="2" borderId="0" xfId="0" applyNumberFormat="1" applyFont="1" applyFill="1" applyAlignment="1" applyProtection="1">
      <alignment horizontal="center"/>
      <protection locked="0"/>
    </xf>
    <xf numFmtId="164" fontId="10" fillId="2" borderId="14" xfId="0" applyNumberFormat="1" applyFont="1" applyFill="1" applyBorder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164" fontId="10" fillId="2" borderId="6" xfId="0" applyNumberFormat="1" applyFont="1" applyFill="1" applyBorder="1" applyAlignment="1">
      <alignment horizontal="center"/>
    </xf>
    <xf numFmtId="164" fontId="10" fillId="2" borderId="7" xfId="0" applyNumberFormat="1" applyFont="1" applyFill="1" applyBorder="1" applyAlignment="1">
      <alignment horizontal="center"/>
    </xf>
    <xf numFmtId="164" fontId="10" fillId="2" borderId="8" xfId="0" applyNumberFormat="1" applyFont="1" applyFill="1" applyBorder="1" applyAlignment="1">
      <alignment horizontal="center"/>
    </xf>
    <xf numFmtId="10" fontId="14" fillId="4" borderId="54" xfId="0" applyNumberFormat="1" applyFont="1" applyFill="1" applyBorder="1" applyAlignment="1">
      <alignment horizontal="center"/>
    </xf>
    <xf numFmtId="164" fontId="10" fillId="2" borderId="19" xfId="0" applyNumberFormat="1" applyFont="1" applyFill="1" applyBorder="1" applyAlignment="1">
      <alignment horizontal="center"/>
    </xf>
    <xf numFmtId="164" fontId="10" fillId="2" borderId="24" xfId="0" applyNumberFormat="1" applyFont="1" applyFill="1" applyBorder="1" applyAlignment="1">
      <alignment horizontal="center"/>
    </xf>
    <xf numFmtId="164" fontId="10" fillId="2" borderId="27" xfId="0" applyNumberFormat="1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2" fillId="2" borderId="0" xfId="0" applyFont="1" applyFill="1" applyAlignment="1">
      <alignment horizontal="center"/>
    </xf>
    <xf numFmtId="0" fontId="12" fillId="2" borderId="4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32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 vertical="center" wrapText="1"/>
    </xf>
    <xf numFmtId="164" fontId="7" fillId="2" borderId="6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9" fillId="2" borderId="11" xfId="0" applyFont="1" applyFill="1" applyBorder="1" applyAlignment="1">
      <alignment horizontal="center" wrapText="1"/>
    </xf>
    <xf numFmtId="0" fontId="9" fillId="2" borderId="12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wrapText="1"/>
    </xf>
    <xf numFmtId="165" fontId="5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17" fillId="2" borderId="14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1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44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justify" vertical="center" wrapText="1"/>
    </xf>
    <xf numFmtId="0" fontId="17" fillId="2" borderId="12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10" fontId="20" fillId="2" borderId="7" xfId="0" applyNumberFormat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2" fontId="14" fillId="3" borderId="6" xfId="0" applyNumberFormat="1" applyFont="1" applyFill="1" applyBorder="1" applyAlignment="1" applyProtection="1">
      <alignment horizontal="center" vertical="center"/>
      <protection locked="0"/>
    </xf>
    <xf numFmtId="2" fontId="14" fillId="3" borderId="7" xfId="0" applyNumberFormat="1" applyFont="1" applyFill="1" applyBorder="1" applyAlignment="1" applyProtection="1">
      <alignment horizontal="center" vertical="center"/>
      <protection locked="0"/>
    </xf>
    <xf numFmtId="2" fontId="14" fillId="3" borderId="8" xfId="0" applyNumberFormat="1" applyFont="1" applyFill="1" applyBorder="1" applyAlignment="1" applyProtection="1">
      <alignment horizontal="center" vertical="center"/>
      <protection locked="0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26" fillId="2" borderId="0" xfId="1" quotePrefix="1" applyFont="1" applyAlignment="1">
      <alignment horizontal="center"/>
    </xf>
    <xf numFmtId="0" fontId="27" fillId="2" borderId="0" xfId="1" applyFont="1"/>
    <xf numFmtId="0" fontId="26" fillId="2" borderId="0" xfId="1" applyFont="1" applyAlignment="1">
      <alignment horizontal="center"/>
    </xf>
    <xf numFmtId="0" fontId="28" fillId="2" borderId="0" xfId="1" quotePrefix="1" applyFont="1" applyAlignment="1">
      <alignment horizontal="left"/>
    </xf>
    <xf numFmtId="0" fontId="29" fillId="2" borderId="0" xfId="1" applyFont="1"/>
    <xf numFmtId="0" fontId="29" fillId="2" borderId="0" xfId="1" applyFont="1" applyAlignment="1">
      <alignment horizontal="center"/>
    </xf>
    <xf numFmtId="0" fontId="29" fillId="2" borderId="0" xfId="1" applyFont="1" applyAlignment="1">
      <alignment horizontal="left"/>
    </xf>
    <xf numFmtId="2" fontId="25" fillId="2" borderId="0" xfId="1" applyNumberFormat="1" applyFont="1" applyBorder="1" applyAlignment="1">
      <alignment horizontal="center"/>
    </xf>
    <xf numFmtId="2" fontId="29" fillId="2" borderId="0" xfId="1" applyNumberFormat="1" applyFont="1" applyAlignment="1">
      <alignment horizontal="center"/>
    </xf>
    <xf numFmtId="170" fontId="29" fillId="2" borderId="0" xfId="1" applyNumberFormat="1" applyFont="1" applyAlignment="1">
      <alignment horizontal="center"/>
    </xf>
    <xf numFmtId="0" fontId="29" fillId="2" borderId="58" xfId="1" applyFont="1" applyBorder="1" applyAlignment="1">
      <alignment horizontal="center"/>
    </xf>
    <xf numFmtId="0" fontId="29" fillId="2" borderId="62" xfId="1" applyFont="1" applyBorder="1" applyAlignment="1">
      <alignment horizontal="center"/>
    </xf>
    <xf numFmtId="0" fontId="29" fillId="2" borderId="58" xfId="1" quotePrefix="1" applyFont="1" applyBorder="1" applyAlignment="1">
      <alignment horizontal="center"/>
    </xf>
    <xf numFmtId="0" fontId="27" fillId="2" borderId="58" xfId="1" applyFont="1" applyBorder="1" applyAlignment="1">
      <alignment horizontal="center"/>
    </xf>
    <xf numFmtId="2" fontId="27" fillId="2" borderId="58" xfId="1" applyNumberFormat="1" applyFont="1" applyBorder="1" applyAlignment="1">
      <alignment horizontal="center"/>
    </xf>
    <xf numFmtId="2" fontId="27" fillId="2" borderId="58" xfId="1" applyNumberFormat="1" applyFont="1" applyFill="1" applyBorder="1" applyAlignment="1">
      <alignment horizontal="center"/>
    </xf>
    <xf numFmtId="0" fontId="27" fillId="2" borderId="57" xfId="1" applyFont="1" applyBorder="1" applyAlignment="1">
      <alignment horizontal="center"/>
    </xf>
    <xf numFmtId="2" fontId="27" fillId="2" borderId="57" xfId="1" applyNumberFormat="1" applyFont="1" applyBorder="1" applyAlignment="1">
      <alignment horizontal="center"/>
    </xf>
    <xf numFmtId="2" fontId="27" fillId="2" borderId="57" xfId="1" applyNumberFormat="1" applyFont="1" applyFill="1" applyBorder="1" applyAlignment="1">
      <alignment horizontal="center"/>
    </xf>
    <xf numFmtId="0" fontId="27" fillId="2" borderId="59" xfId="1" applyFont="1" applyBorder="1" applyAlignment="1">
      <alignment horizontal="center"/>
    </xf>
    <xf numFmtId="2" fontId="27" fillId="2" borderId="59" xfId="1" applyNumberFormat="1" applyFont="1" applyBorder="1" applyAlignment="1">
      <alignment horizontal="center"/>
    </xf>
    <xf numFmtId="1" fontId="29" fillId="6" borderId="59" xfId="1" applyNumberFormat="1" applyFont="1" applyFill="1" applyBorder="1" applyAlignment="1">
      <alignment horizontal="center"/>
    </xf>
    <xf numFmtId="1" fontId="29" fillId="6" borderId="61" xfId="1" applyNumberFormat="1" applyFont="1" applyFill="1" applyBorder="1" applyAlignment="1">
      <alignment horizontal="center"/>
    </xf>
    <xf numFmtId="2" fontId="29" fillId="6" borderId="59" xfId="1" applyNumberFormat="1" applyFont="1" applyFill="1" applyBorder="1" applyAlignment="1">
      <alignment horizontal="center"/>
    </xf>
    <xf numFmtId="10" fontId="29" fillId="7" borderId="55" xfId="1" applyNumberFormat="1" applyFont="1" applyFill="1" applyBorder="1" applyAlignment="1">
      <alignment horizontal="center"/>
    </xf>
    <xf numFmtId="167" fontId="29" fillId="2" borderId="62" xfId="1" applyNumberFormat="1" applyFont="1" applyFill="1" applyBorder="1" applyAlignment="1">
      <alignment horizontal="center"/>
    </xf>
    <xf numFmtId="167" fontId="29" fillId="2" borderId="63" xfId="1" applyNumberFormat="1" applyFont="1" applyFill="1" applyBorder="1" applyAlignment="1">
      <alignment horizontal="center"/>
    </xf>
    <xf numFmtId="0" fontId="27" fillId="2" borderId="64" xfId="1" applyFont="1" applyBorder="1"/>
    <xf numFmtId="0" fontId="29" fillId="6" borderId="55" xfId="1" applyFont="1" applyFill="1" applyBorder="1" applyAlignment="1">
      <alignment horizontal="center"/>
    </xf>
    <xf numFmtId="0" fontId="29" fillId="2" borderId="65" xfId="1" applyFont="1" applyFill="1" applyBorder="1" applyAlignment="1">
      <alignment horizontal="center"/>
    </xf>
    <xf numFmtId="0" fontId="27" fillId="2" borderId="60" xfId="1" applyFont="1" applyBorder="1"/>
    <xf numFmtId="0" fontId="27" fillId="2" borderId="61" xfId="1" applyFont="1" applyBorder="1"/>
    <xf numFmtId="0" fontId="29" fillId="2" borderId="0" xfId="1" quotePrefix="1" applyFont="1" applyAlignment="1">
      <alignment horizontal="left"/>
    </xf>
    <xf numFmtId="0" fontId="27" fillId="2" borderId="0" xfId="1" quotePrefix="1" applyFont="1" applyAlignment="1">
      <alignment horizontal="left"/>
    </xf>
    <xf numFmtId="0" fontId="29" fillId="2" borderId="66" xfId="1" applyFont="1" applyBorder="1"/>
    <xf numFmtId="0" fontId="27" fillId="2" borderId="66" xfId="1" applyFont="1" applyBorder="1" applyAlignment="1">
      <alignment horizontal="left"/>
    </xf>
    <xf numFmtId="0" fontId="27" fillId="2" borderId="66" xfId="1" applyFont="1" applyBorder="1"/>
    <xf numFmtId="0" fontId="29" fillId="2" borderId="55" xfId="1" applyFont="1" applyBorder="1" applyAlignment="1">
      <alignment horizontal="center"/>
    </xf>
    <xf numFmtId="0" fontId="29" fillId="2" borderId="56" xfId="1" applyFont="1" applyBorder="1" applyAlignment="1">
      <alignment horizontal="center"/>
    </xf>
    <xf numFmtId="0" fontId="29" fillId="2" borderId="55" xfId="1" quotePrefix="1" applyFont="1" applyBorder="1" applyAlignment="1">
      <alignment horizontal="center"/>
    </xf>
    <xf numFmtId="0" fontId="27" fillId="2" borderId="62" xfId="1" applyFont="1" applyBorder="1" applyAlignment="1">
      <alignment horizontal="center"/>
    </xf>
    <xf numFmtId="0" fontId="27" fillId="2" borderId="67" xfId="1" applyFont="1" applyBorder="1" applyAlignment="1">
      <alignment horizontal="center"/>
    </xf>
    <xf numFmtId="0" fontId="27" fillId="2" borderId="65" xfId="1" applyFont="1" applyBorder="1" applyAlignment="1">
      <alignment horizontal="center"/>
    </xf>
    <xf numFmtId="2" fontId="27" fillId="2" borderId="59" xfId="1" applyNumberFormat="1" applyFont="1" applyFill="1" applyBorder="1" applyAlignment="1">
      <alignment horizontal="center"/>
    </xf>
    <xf numFmtId="0" fontId="29" fillId="2" borderId="66" xfId="1" applyFont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53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5</xdr:col>
      <xdr:colOff>28575</xdr:colOff>
      <xdr:row>12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0563225" cy="2695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5</xdr:col>
      <xdr:colOff>28575</xdr:colOff>
      <xdr:row>12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0563225" cy="2695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E62"/>
  <sheetViews>
    <sheetView view="pageBreakPreview" topLeftCell="A8" zoomScale="75" zoomScaleNormal="90" zoomScaleSheetLayoutView="75" workbookViewId="0">
      <selection activeCell="C18" sqref="C18"/>
    </sheetView>
  </sheetViews>
  <sheetFormatPr defaultRowHeight="16.5" x14ac:dyDescent="0.3"/>
  <cols>
    <col min="1" max="1" width="37" style="625" customWidth="1"/>
    <col min="2" max="2" width="40.42578125" style="625" customWidth="1"/>
    <col min="3" max="3" width="29.140625" style="625" bestFit="1" customWidth="1"/>
    <col min="4" max="4" width="26" style="625" bestFit="1" customWidth="1"/>
    <col min="5" max="5" width="25.42578125" style="625" bestFit="1" customWidth="1"/>
    <col min="6" max="6" width="29.7109375" style="625" bestFit="1" customWidth="1"/>
    <col min="7" max="7" width="25" style="625" bestFit="1" customWidth="1"/>
    <col min="8" max="16384" width="9.140625" style="625"/>
  </cols>
  <sheetData>
    <row r="8" spans="1:5" ht="15.75" customHeight="1" x14ac:dyDescent="0.3"/>
    <row r="15" spans="1:5" ht="18.75" x14ac:dyDescent="0.3">
      <c r="A15" s="626" t="s">
        <v>133</v>
      </c>
      <c r="B15" s="624"/>
      <c r="C15" s="624"/>
      <c r="D15" s="624"/>
      <c r="E15" s="624"/>
    </row>
    <row r="16" spans="1:5" x14ac:dyDescent="0.3">
      <c r="B16" s="627"/>
    </row>
    <row r="17" spans="1:5" x14ac:dyDescent="0.3">
      <c r="B17" s="627"/>
    </row>
    <row r="18" spans="1:5" x14ac:dyDescent="0.3">
      <c r="A18" s="628" t="s">
        <v>116</v>
      </c>
      <c r="B18" s="629" t="s">
        <v>130</v>
      </c>
      <c r="C18" s="628"/>
    </row>
    <row r="19" spans="1:5" x14ac:dyDescent="0.3">
      <c r="A19" s="628" t="s">
        <v>117</v>
      </c>
      <c r="B19" s="630" t="s">
        <v>131</v>
      </c>
      <c r="C19" s="628"/>
      <c r="D19" s="628"/>
    </row>
    <row r="20" spans="1:5" x14ac:dyDescent="0.3">
      <c r="A20" s="628" t="s">
        <v>28</v>
      </c>
      <c r="B20" s="629" t="s">
        <v>132</v>
      </c>
    </row>
    <row r="21" spans="1:5" x14ac:dyDescent="0.3">
      <c r="A21" s="628" t="s">
        <v>30</v>
      </c>
      <c r="B21" s="631">
        <v>85.93</v>
      </c>
    </row>
    <row r="22" spans="1:5" x14ac:dyDescent="0.3">
      <c r="A22" s="630" t="s">
        <v>118</v>
      </c>
      <c r="B22" s="632">
        <f>'AMOXICILLIN 1'!D43</f>
        <v>25.9</v>
      </c>
    </row>
    <row r="23" spans="1:5" x14ac:dyDescent="0.3">
      <c r="A23" s="630" t="s">
        <v>119</v>
      </c>
      <c r="B23" s="633">
        <f>B22/50</f>
        <v>0.51800000000000002</v>
      </c>
    </row>
    <row r="25" spans="1:5" s="628" customFormat="1" ht="15" x14ac:dyDescent="0.25">
      <c r="A25" s="634" t="s">
        <v>120</v>
      </c>
      <c r="B25" s="635" t="s">
        <v>121</v>
      </c>
      <c r="C25" s="634" t="s">
        <v>112</v>
      </c>
      <c r="D25" s="634" t="s">
        <v>113</v>
      </c>
      <c r="E25" s="636" t="s">
        <v>114</v>
      </c>
    </row>
    <row r="26" spans="1:5" x14ac:dyDescent="0.3">
      <c r="A26" s="637">
        <v>1</v>
      </c>
      <c r="B26" s="637">
        <v>220686459</v>
      </c>
      <c r="C26" s="637">
        <v>7646.6</v>
      </c>
      <c r="D26" s="638">
        <v>1</v>
      </c>
      <c r="E26" s="639">
        <v>6</v>
      </c>
    </row>
    <row r="27" spans="1:5" x14ac:dyDescent="0.3">
      <c r="A27" s="640">
        <v>2</v>
      </c>
      <c r="B27" s="640">
        <v>221046723</v>
      </c>
      <c r="C27" s="640">
        <v>7661.2</v>
      </c>
      <c r="D27" s="641">
        <v>1</v>
      </c>
      <c r="E27" s="642">
        <v>6</v>
      </c>
    </row>
    <row r="28" spans="1:5" x14ac:dyDescent="0.3">
      <c r="A28" s="640">
        <v>3</v>
      </c>
      <c r="B28" s="640">
        <v>220807042</v>
      </c>
      <c r="C28" s="640">
        <v>7659.7</v>
      </c>
      <c r="D28" s="641">
        <v>1</v>
      </c>
      <c r="E28" s="642">
        <v>6</v>
      </c>
    </row>
    <row r="29" spans="1:5" x14ac:dyDescent="0.3">
      <c r="A29" s="640">
        <v>4</v>
      </c>
      <c r="B29" s="640">
        <v>221046254</v>
      </c>
      <c r="C29" s="640">
        <v>7662.9</v>
      </c>
      <c r="D29" s="641">
        <v>1</v>
      </c>
      <c r="E29" s="642">
        <v>6</v>
      </c>
    </row>
    <row r="30" spans="1:5" x14ac:dyDescent="0.3">
      <c r="A30" s="640">
        <v>5</v>
      </c>
      <c r="B30" s="640">
        <v>220819818</v>
      </c>
      <c r="C30" s="640">
        <v>7666.7</v>
      </c>
      <c r="D30" s="641">
        <v>1</v>
      </c>
      <c r="E30" s="642">
        <v>6</v>
      </c>
    </row>
    <row r="31" spans="1:5" x14ac:dyDescent="0.3">
      <c r="A31" s="643">
        <v>6</v>
      </c>
      <c r="B31" s="643">
        <v>220893225</v>
      </c>
      <c r="C31" s="643">
        <v>7679.4</v>
      </c>
      <c r="D31" s="644">
        <v>1</v>
      </c>
      <c r="E31" s="644">
        <v>6</v>
      </c>
    </row>
    <row r="32" spans="1:5" x14ac:dyDescent="0.3">
      <c r="A32" s="640" t="s">
        <v>50</v>
      </c>
      <c r="B32" s="645">
        <f>AVERAGE(B26:B31)</f>
        <v>220883253.5</v>
      </c>
      <c r="C32" s="646">
        <f>AVERAGE(C26:C31)</f>
        <v>7662.75</v>
      </c>
      <c r="D32" s="647">
        <f>AVERAGE(D26:D31)</f>
        <v>1</v>
      </c>
      <c r="E32" s="647">
        <f>AVERAGE(E26:E31)</f>
        <v>6</v>
      </c>
    </row>
    <row r="33" spans="1:5" x14ac:dyDescent="0.3">
      <c r="A33" s="640" t="s">
        <v>115</v>
      </c>
      <c r="B33" s="648">
        <f>(STDEV(B26:B31)/B32)</f>
        <v>6.4647000935103168E-4</v>
      </c>
      <c r="C33" s="649"/>
      <c r="D33" s="650"/>
      <c r="E33" s="651"/>
    </row>
    <row r="34" spans="1:5" x14ac:dyDescent="0.3">
      <c r="A34" s="643" t="s">
        <v>63</v>
      </c>
      <c r="B34" s="652">
        <f>COUNT(B26:B31)</f>
        <v>6</v>
      </c>
      <c r="C34" s="653"/>
      <c r="D34" s="654"/>
      <c r="E34" s="655"/>
    </row>
    <row r="36" spans="1:5" x14ac:dyDescent="0.3">
      <c r="A36" s="656" t="s">
        <v>122</v>
      </c>
      <c r="B36" s="657" t="s">
        <v>123</v>
      </c>
    </row>
    <row r="37" spans="1:5" x14ac:dyDescent="0.3">
      <c r="A37" s="628"/>
      <c r="B37" s="657" t="s">
        <v>124</v>
      </c>
    </row>
    <row r="38" spans="1:5" ht="17.25" thickBot="1" x14ac:dyDescent="0.35">
      <c r="A38" s="658"/>
      <c r="B38" s="659" t="s">
        <v>125</v>
      </c>
      <c r="C38" s="660"/>
      <c r="D38" s="660"/>
      <c r="E38" s="660"/>
    </row>
    <row r="40" spans="1:5" x14ac:dyDescent="0.3">
      <c r="A40" s="628" t="s">
        <v>28</v>
      </c>
      <c r="B40" s="629" t="s">
        <v>110</v>
      </c>
    </row>
    <row r="41" spans="1:5" x14ac:dyDescent="0.3">
      <c r="A41" s="628" t="s">
        <v>30</v>
      </c>
      <c r="B41" s="631">
        <v>99.5</v>
      </c>
    </row>
    <row r="42" spans="1:5" x14ac:dyDescent="0.3">
      <c r="A42" s="630" t="s">
        <v>118</v>
      </c>
      <c r="B42" s="632">
        <f>'CLAVULANIC ACID'!D43</f>
        <v>10.82</v>
      </c>
    </row>
    <row r="43" spans="1:5" x14ac:dyDescent="0.3">
      <c r="A43" s="630" t="s">
        <v>119</v>
      </c>
      <c r="B43" s="632">
        <f>B42/50</f>
        <v>0.21640000000000001</v>
      </c>
    </row>
    <row r="45" spans="1:5" s="628" customFormat="1" ht="15" x14ac:dyDescent="0.25">
      <c r="A45" s="661" t="s">
        <v>120</v>
      </c>
      <c r="B45" s="662" t="s">
        <v>121</v>
      </c>
      <c r="C45" s="661" t="s">
        <v>112</v>
      </c>
      <c r="D45" s="661" t="s">
        <v>113</v>
      </c>
      <c r="E45" s="663" t="s">
        <v>114</v>
      </c>
    </row>
    <row r="46" spans="1:5" x14ac:dyDescent="0.3">
      <c r="A46" s="637">
        <v>1</v>
      </c>
      <c r="B46" s="664">
        <v>131205683</v>
      </c>
      <c r="C46" s="637">
        <v>9751.1</v>
      </c>
      <c r="D46" s="638">
        <v>1.2</v>
      </c>
      <c r="E46" s="639">
        <v>3.8</v>
      </c>
    </row>
    <row r="47" spans="1:5" x14ac:dyDescent="0.3">
      <c r="A47" s="640">
        <v>2</v>
      </c>
      <c r="B47" s="665">
        <v>131625176</v>
      </c>
      <c r="C47" s="640">
        <v>9836</v>
      </c>
      <c r="D47" s="641">
        <v>1.2</v>
      </c>
      <c r="E47" s="642">
        <v>3.8</v>
      </c>
    </row>
    <row r="48" spans="1:5" x14ac:dyDescent="0.3">
      <c r="A48" s="640">
        <v>3</v>
      </c>
      <c r="B48" s="665">
        <v>131501037</v>
      </c>
      <c r="C48" s="640">
        <v>9836.2000000000007</v>
      </c>
      <c r="D48" s="641">
        <v>1.2</v>
      </c>
      <c r="E48" s="642">
        <v>3.8</v>
      </c>
    </row>
    <row r="49" spans="1:5" x14ac:dyDescent="0.3">
      <c r="A49" s="640">
        <v>4</v>
      </c>
      <c r="B49" s="665">
        <v>131495906</v>
      </c>
      <c r="C49" s="640">
        <v>9835.7000000000007</v>
      </c>
      <c r="D49" s="641">
        <v>1.2</v>
      </c>
      <c r="E49" s="642">
        <v>3.8</v>
      </c>
    </row>
    <row r="50" spans="1:5" x14ac:dyDescent="0.3">
      <c r="A50" s="640">
        <v>5</v>
      </c>
      <c r="B50" s="665">
        <v>131401693</v>
      </c>
      <c r="C50" s="640">
        <v>9853.2999999999993</v>
      </c>
      <c r="D50" s="641">
        <v>1.2</v>
      </c>
      <c r="E50" s="642">
        <v>3.8</v>
      </c>
    </row>
    <row r="51" spans="1:5" x14ac:dyDescent="0.3">
      <c r="A51" s="643">
        <v>6</v>
      </c>
      <c r="B51" s="666">
        <v>131375420</v>
      </c>
      <c r="C51" s="643">
        <v>9875.7999999999993</v>
      </c>
      <c r="D51" s="644">
        <v>1.2</v>
      </c>
      <c r="E51" s="667">
        <v>3.8</v>
      </c>
    </row>
    <row r="52" spans="1:5" x14ac:dyDescent="0.3">
      <c r="A52" s="640" t="s">
        <v>50</v>
      </c>
      <c r="B52" s="645">
        <f>AVERAGE(B46:B51)</f>
        <v>131434152.5</v>
      </c>
      <c r="C52" s="646">
        <f>AVERAGE(C46:C51)</f>
        <v>9831.35</v>
      </c>
      <c r="D52" s="647">
        <f>AVERAGE(D46:D51)</f>
        <v>1.2</v>
      </c>
      <c r="E52" s="647">
        <f>AVERAGE(E46:E51)</f>
        <v>3.8000000000000003</v>
      </c>
    </row>
    <row r="53" spans="1:5" x14ac:dyDescent="0.3">
      <c r="A53" s="640" t="s">
        <v>115</v>
      </c>
      <c r="B53" s="648">
        <f>(STDEV(B46:B51)/B52)</f>
        <v>1.0839111264539848E-3</v>
      </c>
      <c r="C53" s="649"/>
      <c r="D53" s="650"/>
      <c r="E53" s="651"/>
    </row>
    <row r="54" spans="1:5" x14ac:dyDescent="0.3">
      <c r="A54" s="643" t="s">
        <v>63</v>
      </c>
      <c r="B54" s="652">
        <f>COUNT(B46:B51)</f>
        <v>6</v>
      </c>
      <c r="C54" s="653"/>
      <c r="D54" s="654"/>
      <c r="E54" s="655"/>
    </row>
    <row r="56" spans="1:5" x14ac:dyDescent="0.3">
      <c r="A56" s="656" t="s">
        <v>122</v>
      </c>
      <c r="B56" s="657" t="s">
        <v>123</v>
      </c>
    </row>
    <row r="57" spans="1:5" x14ac:dyDescent="0.3">
      <c r="A57" s="628"/>
      <c r="B57" s="657" t="s">
        <v>126</v>
      </c>
    </row>
    <row r="58" spans="1:5" ht="17.25" thickBot="1" x14ac:dyDescent="0.35">
      <c r="A58" s="658"/>
      <c r="B58" s="659" t="s">
        <v>125</v>
      </c>
      <c r="C58" s="660"/>
      <c r="D58" s="660"/>
      <c r="E58" s="660"/>
    </row>
    <row r="60" spans="1:5" x14ac:dyDescent="0.3">
      <c r="A60" s="629" t="s">
        <v>23</v>
      </c>
      <c r="C60" s="629" t="s">
        <v>127</v>
      </c>
      <c r="E60" s="629" t="s">
        <v>128</v>
      </c>
    </row>
    <row r="62" spans="1:5" ht="17.25" thickBot="1" x14ac:dyDescent="0.35">
      <c r="A62" s="668" t="s">
        <v>129</v>
      </c>
      <c r="C62" s="660"/>
      <c r="E62" s="660"/>
    </row>
  </sheetData>
  <mergeCells count="1">
    <mergeCell ref="A15:E15"/>
  </mergeCells>
  <printOptions horizontalCentered="1"/>
  <pageMargins left="0.5" right="0.5" top="0.5" bottom="0.5" header="0.25" footer="0.57999999999999996"/>
  <pageSetup paperSize="9" scale="5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F35" sqref="F35"/>
    </sheetView>
  </sheetViews>
  <sheetFormatPr defaultRowHeight="15" x14ac:dyDescent="0.2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25"/>
    <row r="11" spans="1:7" ht="13.5" customHeight="1" x14ac:dyDescent="0.25">
      <c r="A11" s="580" t="s">
        <v>0</v>
      </c>
      <c r="B11" s="581"/>
      <c r="C11" s="581"/>
      <c r="D11" s="581"/>
      <c r="E11" s="581"/>
      <c r="F11" s="582"/>
      <c r="G11" s="41"/>
    </row>
    <row r="12" spans="1:7" ht="16.5" customHeight="1" x14ac:dyDescent="0.3">
      <c r="A12" s="579" t="s">
        <v>1</v>
      </c>
      <c r="B12" s="579"/>
      <c r="C12" s="579"/>
      <c r="D12" s="579"/>
      <c r="E12" s="579"/>
      <c r="F12" s="579"/>
      <c r="G12" s="40"/>
    </row>
    <row r="14" spans="1:7" ht="16.5" customHeight="1" x14ac:dyDescent="0.3">
      <c r="A14" s="584" t="s">
        <v>2</v>
      </c>
      <c r="B14" s="584"/>
      <c r="C14" s="10" t="s">
        <v>3</v>
      </c>
    </row>
    <row r="15" spans="1:7" ht="16.5" customHeight="1" x14ac:dyDescent="0.3">
      <c r="A15" s="584" t="s">
        <v>4</v>
      </c>
      <c r="B15" s="584"/>
      <c r="C15" s="10" t="s">
        <v>5</v>
      </c>
    </row>
    <row r="16" spans="1:7" ht="16.5" customHeight="1" x14ac:dyDescent="0.3">
      <c r="A16" s="584" t="s">
        <v>6</v>
      </c>
      <c r="B16" s="584"/>
      <c r="C16" s="10" t="s">
        <v>7</v>
      </c>
    </row>
    <row r="17" spans="1:5" ht="16.5" customHeight="1" x14ac:dyDescent="0.3">
      <c r="A17" s="584" t="s">
        <v>8</v>
      </c>
      <c r="B17" s="584"/>
      <c r="C17" s="10" t="s">
        <v>9</v>
      </c>
    </row>
    <row r="18" spans="1:5" ht="16.5" customHeight="1" x14ac:dyDescent="0.3">
      <c r="A18" s="584" t="s">
        <v>10</v>
      </c>
      <c r="B18" s="584"/>
      <c r="C18" s="47" t="s">
        <v>11</v>
      </c>
    </row>
    <row r="19" spans="1:5" ht="16.5" customHeight="1" x14ac:dyDescent="0.3">
      <c r="A19" s="584" t="s">
        <v>12</v>
      </c>
      <c r="B19" s="584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79" t="s">
        <v>13</v>
      </c>
      <c r="B21" s="579"/>
      <c r="C21" s="9" t="s">
        <v>14</v>
      </c>
      <c r="D21" s="16"/>
    </row>
    <row r="22" spans="1:5" ht="15.75" customHeight="1" x14ac:dyDescent="0.3">
      <c r="A22" s="583"/>
      <c r="B22" s="583"/>
      <c r="C22" s="7"/>
      <c r="D22" s="583"/>
      <c r="E22" s="583"/>
    </row>
    <row r="23" spans="1:5" ht="33.75" customHeight="1" x14ac:dyDescent="0.3">
      <c r="C23" s="36" t="s">
        <v>15</v>
      </c>
      <c r="D23" s="35" t="s">
        <v>16</v>
      </c>
      <c r="E23" s="2"/>
    </row>
    <row r="24" spans="1:5" ht="15.75" customHeight="1" x14ac:dyDescent="0.25">
      <c r="C24" s="45">
        <v>1036.29</v>
      </c>
      <c r="D24" s="37">
        <f t="shared" ref="D24:D43" si="0">(C24-$C$46)/$C$46</f>
        <v>7.8838028990922092E-3</v>
      </c>
      <c r="E24" s="3"/>
    </row>
    <row r="25" spans="1:5" ht="15.75" customHeight="1" x14ac:dyDescent="0.25">
      <c r="C25" s="45">
        <v>988.47</v>
      </c>
      <c r="D25" s="38">
        <f t="shared" si="0"/>
        <v>-3.8625382227305348E-2</v>
      </c>
      <c r="E25" s="3"/>
    </row>
    <row r="26" spans="1:5" ht="15.75" customHeight="1" x14ac:dyDescent="0.25">
      <c r="C26" s="45">
        <v>1042.6500000000001</v>
      </c>
      <c r="D26" s="38">
        <f t="shared" si="0"/>
        <v>1.4069466165589382E-2</v>
      </c>
      <c r="E26" s="3"/>
    </row>
    <row r="27" spans="1:5" ht="15.75" customHeight="1" x14ac:dyDescent="0.25">
      <c r="C27" s="45">
        <v>1020.19</v>
      </c>
      <c r="D27" s="38">
        <f t="shared" si="0"/>
        <v>-7.7748729799332504E-3</v>
      </c>
      <c r="E27" s="3"/>
    </row>
    <row r="28" spans="1:5" ht="15.75" customHeight="1" x14ac:dyDescent="0.25">
      <c r="C28" s="45">
        <v>1029.26</v>
      </c>
      <c r="D28" s="38">
        <f t="shared" si="0"/>
        <v>1.0465052947723845E-3</v>
      </c>
      <c r="E28" s="3"/>
    </row>
    <row r="29" spans="1:5" ht="15.75" customHeight="1" x14ac:dyDescent="0.25">
      <c r="C29" s="45">
        <v>1011.8</v>
      </c>
      <c r="D29" s="38">
        <f t="shared" si="0"/>
        <v>-1.5934891031177095E-2</v>
      </c>
      <c r="E29" s="3"/>
    </row>
    <row r="30" spans="1:5" ht="15.75" customHeight="1" x14ac:dyDescent="0.25">
      <c r="C30" s="45">
        <v>1078.0899999999999</v>
      </c>
      <c r="D30" s="38">
        <f t="shared" si="0"/>
        <v>4.8538004870723711E-2</v>
      </c>
      <c r="E30" s="3"/>
    </row>
    <row r="31" spans="1:5" ht="15.75" customHeight="1" x14ac:dyDescent="0.25">
      <c r="C31" s="45">
        <v>988.76</v>
      </c>
      <c r="D31" s="38">
        <f t="shared" si="0"/>
        <v>-3.8343331543770141E-2</v>
      </c>
      <c r="E31" s="3"/>
    </row>
    <row r="32" spans="1:5" ht="15.75" customHeight="1" x14ac:dyDescent="0.25">
      <c r="C32" s="45">
        <v>1042.5</v>
      </c>
      <c r="D32" s="38">
        <f t="shared" si="0"/>
        <v>1.3923577881002099E-2</v>
      </c>
      <c r="E32" s="3"/>
    </row>
    <row r="33" spans="1:7" ht="15.75" customHeight="1" x14ac:dyDescent="0.25">
      <c r="C33" s="45">
        <v>1032.81</v>
      </c>
      <c r="D33" s="38">
        <f t="shared" si="0"/>
        <v>4.4991946966692776E-3</v>
      </c>
      <c r="E33" s="3"/>
    </row>
    <row r="34" spans="1:7" ht="15.75" customHeight="1" x14ac:dyDescent="0.25">
      <c r="C34" s="45">
        <v>1037.24</v>
      </c>
      <c r="D34" s="38">
        <f t="shared" si="0"/>
        <v>8.8077620348111525E-3</v>
      </c>
      <c r="E34" s="3"/>
    </row>
    <row r="35" spans="1:7" ht="15.75" customHeight="1" x14ac:dyDescent="0.25">
      <c r="C35" s="45">
        <v>1043.77</v>
      </c>
      <c r="D35" s="38">
        <f t="shared" si="0"/>
        <v>1.5158765357173662E-2</v>
      </c>
      <c r="E35" s="3"/>
    </row>
    <row r="36" spans="1:7" ht="15.75" customHeight="1" x14ac:dyDescent="0.25">
      <c r="C36" s="45">
        <v>989.78</v>
      </c>
      <c r="D36" s="38">
        <f t="shared" si="0"/>
        <v>-3.7351291208577241E-2</v>
      </c>
      <c r="E36" s="3"/>
    </row>
    <row r="37" spans="1:7" ht="15.75" customHeight="1" x14ac:dyDescent="0.25">
      <c r="C37" s="45">
        <v>1034.3499999999999</v>
      </c>
      <c r="D37" s="38">
        <f t="shared" si="0"/>
        <v>5.9969810850977736E-3</v>
      </c>
      <c r="E37" s="3"/>
    </row>
    <row r="38" spans="1:7" ht="15.75" customHeight="1" x14ac:dyDescent="0.25">
      <c r="C38" s="45">
        <v>1044.08</v>
      </c>
      <c r="D38" s="38">
        <f t="shared" si="0"/>
        <v>1.5460267811987144E-2</v>
      </c>
      <c r="E38" s="3"/>
    </row>
    <row r="39" spans="1:7" ht="15.75" customHeight="1" x14ac:dyDescent="0.25">
      <c r="C39" s="45">
        <v>1035.92</v>
      </c>
      <c r="D39" s="38">
        <f t="shared" si="0"/>
        <v>7.523945130443902E-3</v>
      </c>
      <c r="E39" s="3"/>
    </row>
    <row r="40" spans="1:7" ht="15.75" customHeight="1" x14ac:dyDescent="0.25">
      <c r="C40" s="45">
        <v>1038.8699999999999</v>
      </c>
      <c r="D40" s="38">
        <f t="shared" si="0"/>
        <v>1.0393081393991884E-2</v>
      </c>
      <c r="E40" s="3"/>
    </row>
    <row r="41" spans="1:7" ht="15.75" customHeight="1" x14ac:dyDescent="0.25">
      <c r="C41" s="45">
        <v>1026.93</v>
      </c>
      <c r="D41" s="38">
        <f t="shared" si="0"/>
        <v>-1.2196260591486332E-3</v>
      </c>
      <c r="E41" s="3"/>
    </row>
    <row r="42" spans="1:7" ht="15.75" customHeight="1" x14ac:dyDescent="0.25">
      <c r="C42" s="45">
        <v>1022.42</v>
      </c>
      <c r="D42" s="38">
        <f t="shared" si="0"/>
        <v>-5.6060004824037175E-3</v>
      </c>
      <c r="E42" s="3"/>
    </row>
    <row r="43" spans="1:7" ht="16.5" customHeight="1" x14ac:dyDescent="0.25">
      <c r="C43" s="46">
        <v>1019.5</v>
      </c>
      <c r="D43" s="39">
        <f t="shared" si="0"/>
        <v>-8.4459590890343991E-3</v>
      </c>
      <c r="E43" s="3"/>
    </row>
    <row r="44" spans="1:7" ht="16.5" customHeight="1" x14ac:dyDescent="0.25">
      <c r="C44" s="4"/>
      <c r="D44" s="3"/>
      <c r="E44" s="5"/>
    </row>
    <row r="45" spans="1:7" ht="16.5" customHeight="1" x14ac:dyDescent="0.25">
      <c r="B45" s="32" t="s">
        <v>17</v>
      </c>
      <c r="C45" s="33">
        <f>SUM(C24:C44)</f>
        <v>20563.679999999997</v>
      </c>
      <c r="D45" s="28"/>
      <c r="E45" s="4"/>
    </row>
    <row r="46" spans="1:7" ht="17.25" customHeight="1" x14ac:dyDescent="0.25">
      <c r="B46" s="32" t="s">
        <v>18</v>
      </c>
      <c r="C46" s="34">
        <f>AVERAGE(C24:C44)</f>
        <v>1028.1839999999997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18</v>
      </c>
      <c r="C48" s="35" t="s">
        <v>19</v>
      </c>
      <c r="D48" s="30"/>
      <c r="G48" s="8"/>
    </row>
    <row r="49" spans="1:6" ht="17.25" customHeight="1" x14ac:dyDescent="0.3">
      <c r="B49" s="577">
        <f>C46</f>
        <v>1028.1839999999997</v>
      </c>
      <c r="C49" s="43">
        <f>-IF(C46&lt;=80,10%,IF(C46&lt;250,7.5%,5%))</f>
        <v>-0.05</v>
      </c>
      <c r="D49" s="31">
        <f>IF(C46&lt;=80,C46*0.9,IF(C46&lt;250,C46*0.925,C46*0.95))</f>
        <v>976.77479999999969</v>
      </c>
    </row>
    <row r="50" spans="1:6" ht="17.25" customHeight="1" x14ac:dyDescent="0.3">
      <c r="B50" s="578"/>
      <c r="C50" s="44">
        <f>IF(C46&lt;=80, 10%, IF(C46&lt;250, 7.5%, 5%))</f>
        <v>0.05</v>
      </c>
      <c r="D50" s="31">
        <f>IF(C46&lt;=80, C46*1.1, IF(C46&lt;250, C46*1.075, C46*1.05))</f>
        <v>1079.5931999999998</v>
      </c>
    </row>
    <row r="51" spans="1:6" ht="16.5" customHeight="1" x14ac:dyDescent="0.25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20</v>
      </c>
      <c r="C52" s="17"/>
      <c r="D52" s="18" t="s">
        <v>21</v>
      </c>
      <c r="E52" s="19"/>
      <c r="F52" s="18" t="s">
        <v>22</v>
      </c>
    </row>
    <row r="53" spans="1:6" ht="34.5" customHeight="1" x14ac:dyDescent="0.3">
      <c r="A53" s="20" t="s">
        <v>23</v>
      </c>
      <c r="B53" s="21"/>
      <c r="C53" s="22"/>
      <c r="D53" s="21"/>
      <c r="E53" s="11"/>
      <c r="F53" s="23"/>
    </row>
    <row r="54" spans="1:6" ht="34.5" customHeight="1" x14ac:dyDescent="0.3">
      <c r="A54" s="20" t="s">
        <v>24</v>
      </c>
      <c r="B54" s="24"/>
      <c r="C54" s="25"/>
      <c r="D54" s="24"/>
      <c r="E54" s="11"/>
      <c r="F54" s="2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5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22" zoomScale="55" zoomScaleNormal="40" zoomScalePageLayoutView="55" workbookViewId="0">
      <selection activeCell="H112" sqref="H112"/>
    </sheetView>
  </sheetViews>
  <sheetFormatPr defaultColWidth="9.140625" defaultRowHeight="1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98" t="s">
        <v>25</v>
      </c>
      <c r="B1" s="598"/>
      <c r="C1" s="598"/>
      <c r="D1" s="598"/>
      <c r="E1" s="598"/>
      <c r="F1" s="598"/>
      <c r="G1" s="598"/>
      <c r="H1" s="598"/>
      <c r="I1" s="598"/>
    </row>
    <row r="2" spans="1:9" ht="18.75" customHeight="1" x14ac:dyDescent="0.25">
      <c r="A2" s="598"/>
      <c r="B2" s="598"/>
      <c r="C2" s="598"/>
      <c r="D2" s="598"/>
      <c r="E2" s="598"/>
      <c r="F2" s="598"/>
      <c r="G2" s="598"/>
      <c r="H2" s="598"/>
      <c r="I2" s="598"/>
    </row>
    <row r="3" spans="1:9" ht="18.75" customHeight="1" x14ac:dyDescent="0.25">
      <c r="A3" s="598"/>
      <c r="B3" s="598"/>
      <c r="C3" s="598"/>
      <c r="D3" s="598"/>
      <c r="E3" s="598"/>
      <c r="F3" s="598"/>
      <c r="G3" s="598"/>
      <c r="H3" s="598"/>
      <c r="I3" s="598"/>
    </row>
    <row r="4" spans="1:9" ht="18.75" customHeight="1" x14ac:dyDescent="0.25">
      <c r="A4" s="598"/>
      <c r="B4" s="598"/>
      <c r="C4" s="598"/>
      <c r="D4" s="598"/>
      <c r="E4" s="598"/>
      <c r="F4" s="598"/>
      <c r="G4" s="598"/>
      <c r="H4" s="598"/>
      <c r="I4" s="598"/>
    </row>
    <row r="5" spans="1:9" ht="18.75" customHeight="1" x14ac:dyDescent="0.25">
      <c r="A5" s="598"/>
      <c r="B5" s="598"/>
      <c r="C5" s="598"/>
      <c r="D5" s="598"/>
      <c r="E5" s="598"/>
      <c r="F5" s="598"/>
      <c r="G5" s="598"/>
      <c r="H5" s="598"/>
      <c r="I5" s="598"/>
    </row>
    <row r="6" spans="1:9" ht="18.75" customHeight="1" x14ac:dyDescent="0.25">
      <c r="A6" s="598"/>
      <c r="B6" s="598"/>
      <c r="C6" s="598"/>
      <c r="D6" s="598"/>
      <c r="E6" s="598"/>
      <c r="F6" s="598"/>
      <c r="G6" s="598"/>
      <c r="H6" s="598"/>
      <c r="I6" s="598"/>
    </row>
    <row r="7" spans="1:9" ht="18.75" customHeight="1" x14ac:dyDescent="0.25">
      <c r="A7" s="598"/>
      <c r="B7" s="598"/>
      <c r="C7" s="598"/>
      <c r="D7" s="598"/>
      <c r="E7" s="598"/>
      <c r="F7" s="598"/>
      <c r="G7" s="598"/>
      <c r="H7" s="598"/>
      <c r="I7" s="598"/>
    </row>
    <row r="8" spans="1:9" x14ac:dyDescent="0.25">
      <c r="A8" s="599" t="s">
        <v>26</v>
      </c>
      <c r="B8" s="599"/>
      <c r="C8" s="599"/>
      <c r="D8" s="599"/>
      <c r="E8" s="599"/>
      <c r="F8" s="599"/>
      <c r="G8" s="599"/>
      <c r="H8" s="599"/>
      <c r="I8" s="599"/>
    </row>
    <row r="9" spans="1:9" x14ac:dyDescent="0.25">
      <c r="A9" s="599"/>
      <c r="B9" s="599"/>
      <c r="C9" s="599"/>
      <c r="D9" s="599"/>
      <c r="E9" s="599"/>
      <c r="F9" s="599"/>
      <c r="G9" s="599"/>
      <c r="H9" s="599"/>
      <c r="I9" s="599"/>
    </row>
    <row r="10" spans="1:9" x14ac:dyDescent="0.25">
      <c r="A10" s="599"/>
      <c r="B10" s="599"/>
      <c r="C10" s="599"/>
      <c r="D10" s="599"/>
      <c r="E10" s="599"/>
      <c r="F10" s="599"/>
      <c r="G10" s="599"/>
      <c r="H10" s="599"/>
      <c r="I10" s="599"/>
    </row>
    <row r="11" spans="1:9" x14ac:dyDescent="0.25">
      <c r="A11" s="599"/>
      <c r="B11" s="599"/>
      <c r="C11" s="599"/>
      <c r="D11" s="599"/>
      <c r="E11" s="599"/>
      <c r="F11" s="599"/>
      <c r="G11" s="599"/>
      <c r="H11" s="599"/>
      <c r="I11" s="599"/>
    </row>
    <row r="12" spans="1:9" x14ac:dyDescent="0.25">
      <c r="A12" s="599"/>
      <c r="B12" s="599"/>
      <c r="C12" s="599"/>
      <c r="D12" s="599"/>
      <c r="E12" s="599"/>
      <c r="F12" s="599"/>
      <c r="G12" s="599"/>
      <c r="H12" s="599"/>
      <c r="I12" s="599"/>
    </row>
    <row r="13" spans="1:9" x14ac:dyDescent="0.25">
      <c r="A13" s="599"/>
      <c r="B13" s="599"/>
      <c r="C13" s="599"/>
      <c r="D13" s="599"/>
      <c r="E13" s="599"/>
      <c r="F13" s="599"/>
      <c r="G13" s="599"/>
      <c r="H13" s="599"/>
      <c r="I13" s="599"/>
    </row>
    <row r="14" spans="1:9" x14ac:dyDescent="0.25">
      <c r="A14" s="599"/>
      <c r="B14" s="599"/>
      <c r="C14" s="599"/>
      <c r="D14" s="599"/>
      <c r="E14" s="599"/>
      <c r="F14" s="599"/>
      <c r="G14" s="599"/>
      <c r="H14" s="599"/>
      <c r="I14" s="599"/>
    </row>
    <row r="15" spans="1:9" ht="19.5" customHeight="1" x14ac:dyDescent="0.3">
      <c r="A15" s="49"/>
    </row>
    <row r="16" spans="1:9" ht="19.5" customHeight="1" x14ac:dyDescent="0.3">
      <c r="A16" s="589" t="s">
        <v>0</v>
      </c>
      <c r="B16" s="590"/>
      <c r="C16" s="590"/>
      <c r="D16" s="590"/>
      <c r="E16" s="590"/>
      <c r="F16" s="590"/>
      <c r="G16" s="590"/>
      <c r="H16" s="620"/>
    </row>
    <row r="17" spans="1:14" ht="20.25" customHeight="1" x14ac:dyDescent="0.25">
      <c r="A17" s="621" t="s">
        <v>27</v>
      </c>
      <c r="B17" s="621"/>
      <c r="C17" s="621"/>
      <c r="D17" s="621"/>
      <c r="E17" s="621"/>
      <c r="F17" s="621"/>
      <c r="G17" s="621"/>
      <c r="H17" s="621"/>
    </row>
    <row r="18" spans="1:14" ht="26.25" customHeight="1" x14ac:dyDescent="0.4">
      <c r="A18" s="51" t="s">
        <v>2</v>
      </c>
      <c r="B18" s="591" t="s">
        <v>3</v>
      </c>
      <c r="C18" s="591"/>
      <c r="D18" s="218"/>
      <c r="E18" s="52"/>
      <c r="F18" s="53"/>
      <c r="G18" s="53"/>
      <c r="H18" s="53"/>
    </row>
    <row r="19" spans="1:14" ht="26.25" customHeight="1" x14ac:dyDescent="0.4">
      <c r="A19" s="51" t="s">
        <v>4</v>
      </c>
      <c r="B19" s="569" t="s">
        <v>5</v>
      </c>
      <c r="C19" s="220">
        <v>21</v>
      </c>
      <c r="D19" s="53"/>
      <c r="E19" s="53"/>
      <c r="F19" s="53"/>
      <c r="G19" s="53"/>
      <c r="H19" s="53"/>
    </row>
    <row r="20" spans="1:14" ht="26.25" customHeight="1" x14ac:dyDescent="0.4">
      <c r="A20" s="51" t="s">
        <v>6</v>
      </c>
      <c r="B20" s="592" t="s">
        <v>7</v>
      </c>
      <c r="C20" s="592"/>
      <c r="D20" s="53"/>
      <c r="E20" s="53"/>
      <c r="F20" s="53"/>
      <c r="G20" s="53"/>
      <c r="H20" s="53"/>
    </row>
    <row r="21" spans="1:14" ht="26.25" customHeight="1" x14ac:dyDescent="0.4">
      <c r="A21" s="51" t="s">
        <v>8</v>
      </c>
      <c r="B21" s="622" t="s">
        <v>9</v>
      </c>
      <c r="C21" s="622"/>
      <c r="D21" s="622"/>
      <c r="E21" s="622"/>
      <c r="F21" s="622"/>
      <c r="G21" s="622"/>
      <c r="H21" s="622"/>
      <c r="I21" s="54"/>
    </row>
    <row r="22" spans="1:14" ht="26.25" customHeight="1" x14ac:dyDescent="0.4">
      <c r="A22" s="51" t="s">
        <v>10</v>
      </c>
      <c r="B22" s="48" t="s">
        <v>11</v>
      </c>
      <c r="C22" s="53"/>
      <c r="D22" s="53"/>
      <c r="E22" s="53"/>
      <c r="F22" s="53"/>
      <c r="G22" s="53"/>
      <c r="H22" s="53"/>
    </row>
    <row r="23" spans="1:14" ht="26.25" customHeight="1" x14ac:dyDescent="0.4">
      <c r="A23" s="51" t="s">
        <v>12</v>
      </c>
      <c r="B23" s="48">
        <v>42299</v>
      </c>
      <c r="C23" s="53"/>
      <c r="D23" s="53"/>
      <c r="E23" s="53"/>
      <c r="F23" s="53"/>
      <c r="G23" s="53"/>
      <c r="H23" s="53"/>
    </row>
    <row r="24" spans="1:14" ht="18.75" x14ac:dyDescent="0.3">
      <c r="A24" s="51"/>
      <c r="B24" s="55"/>
    </row>
    <row r="25" spans="1:14" ht="18.75" x14ac:dyDescent="0.3">
      <c r="A25" s="56" t="s">
        <v>13</v>
      </c>
      <c r="B25" s="55"/>
    </row>
    <row r="26" spans="1:14" ht="26.25" customHeight="1" x14ac:dyDescent="0.4">
      <c r="A26" s="57" t="s">
        <v>28</v>
      </c>
      <c r="B26" s="591" t="s">
        <v>108</v>
      </c>
      <c r="C26" s="591"/>
    </row>
    <row r="27" spans="1:14" ht="26.25" customHeight="1" x14ac:dyDescent="0.4">
      <c r="A27" s="58" t="s">
        <v>29</v>
      </c>
      <c r="B27" s="592" t="s">
        <v>109</v>
      </c>
      <c r="C27" s="592"/>
    </row>
    <row r="28" spans="1:14" ht="27" customHeight="1" x14ac:dyDescent="0.4">
      <c r="A28" s="58" t="s">
        <v>30</v>
      </c>
      <c r="B28" s="59">
        <f>B30+B29</f>
        <v>99.52000000000001</v>
      </c>
    </row>
    <row r="29" spans="1:14" s="15" customFormat="1" ht="27" customHeight="1" x14ac:dyDescent="0.4">
      <c r="A29" s="58" t="s">
        <v>31</v>
      </c>
      <c r="B29" s="60">
        <v>13.59</v>
      </c>
      <c r="C29" s="602" t="s">
        <v>70</v>
      </c>
      <c r="D29" s="603"/>
      <c r="E29" s="603"/>
      <c r="F29" s="603"/>
      <c r="G29" s="604"/>
      <c r="I29" s="61"/>
      <c r="J29" s="61"/>
      <c r="K29" s="61"/>
      <c r="L29" s="61"/>
    </row>
    <row r="30" spans="1:14" s="15" customFormat="1" ht="19.5" customHeight="1" x14ac:dyDescent="0.3">
      <c r="A30" s="58" t="s">
        <v>32</v>
      </c>
      <c r="B30" s="62">
        <v>85.93</v>
      </c>
      <c r="C30" s="63"/>
      <c r="D30" s="63"/>
      <c r="E30" s="63"/>
      <c r="F30" s="63"/>
      <c r="G30" s="64"/>
      <c r="I30" s="61"/>
      <c r="J30" s="61"/>
      <c r="K30" s="61"/>
      <c r="L30" s="61"/>
    </row>
    <row r="31" spans="1:14" s="15" customFormat="1" ht="27" customHeight="1" x14ac:dyDescent="0.4">
      <c r="A31" s="58" t="s">
        <v>33</v>
      </c>
      <c r="B31" s="65">
        <v>1</v>
      </c>
      <c r="C31" s="593" t="s">
        <v>34</v>
      </c>
      <c r="D31" s="594"/>
      <c r="E31" s="594"/>
      <c r="F31" s="594"/>
      <c r="G31" s="594"/>
      <c r="H31" s="595"/>
      <c r="I31" s="61"/>
      <c r="J31" s="61"/>
      <c r="K31" s="61"/>
      <c r="L31" s="61"/>
    </row>
    <row r="32" spans="1:14" s="15" customFormat="1" ht="27" customHeight="1" x14ac:dyDescent="0.4">
      <c r="A32" s="58" t="s">
        <v>35</v>
      </c>
      <c r="B32" s="65">
        <v>1</v>
      </c>
      <c r="C32" s="593" t="s">
        <v>36</v>
      </c>
      <c r="D32" s="594"/>
      <c r="E32" s="594"/>
      <c r="F32" s="594"/>
      <c r="G32" s="594"/>
      <c r="H32" s="595"/>
      <c r="I32" s="61"/>
      <c r="J32" s="61"/>
      <c r="K32" s="61"/>
      <c r="L32" s="66"/>
      <c r="M32" s="66"/>
      <c r="N32" s="67"/>
    </row>
    <row r="33" spans="1:14" s="15" customFormat="1" ht="17.25" customHeight="1" x14ac:dyDescent="0.3">
      <c r="A33" s="58"/>
      <c r="B33" s="68"/>
      <c r="C33" s="69"/>
      <c r="D33" s="69"/>
      <c r="E33" s="69"/>
      <c r="F33" s="69"/>
      <c r="G33" s="69"/>
      <c r="H33" s="69"/>
      <c r="I33" s="61"/>
      <c r="J33" s="61"/>
      <c r="K33" s="61"/>
      <c r="L33" s="66"/>
      <c r="M33" s="66"/>
      <c r="N33" s="67"/>
    </row>
    <row r="34" spans="1:14" s="15" customFormat="1" ht="18.75" x14ac:dyDescent="0.3">
      <c r="A34" s="58" t="s">
        <v>37</v>
      </c>
      <c r="B34" s="70">
        <f>B31/B32</f>
        <v>1</v>
      </c>
      <c r="C34" s="50" t="s">
        <v>38</v>
      </c>
      <c r="D34" s="50"/>
      <c r="E34" s="50"/>
      <c r="F34" s="50"/>
      <c r="G34" s="50"/>
      <c r="I34" s="61"/>
      <c r="J34" s="61"/>
      <c r="K34" s="61"/>
      <c r="L34" s="66"/>
      <c r="M34" s="66"/>
      <c r="N34" s="67"/>
    </row>
    <row r="35" spans="1:14" s="15" customFormat="1" ht="19.5" customHeight="1" x14ac:dyDescent="0.3">
      <c r="A35" s="58"/>
      <c r="B35" s="62"/>
      <c r="G35" s="50"/>
      <c r="I35" s="61"/>
      <c r="J35" s="61"/>
      <c r="K35" s="61"/>
      <c r="L35" s="66"/>
      <c r="M35" s="66"/>
      <c r="N35" s="67"/>
    </row>
    <row r="36" spans="1:14" s="15" customFormat="1" ht="27" customHeight="1" x14ac:dyDescent="0.4">
      <c r="A36" s="71" t="s">
        <v>71</v>
      </c>
      <c r="B36" s="72">
        <v>50</v>
      </c>
      <c r="C36" s="50"/>
      <c r="D36" s="596" t="s">
        <v>39</v>
      </c>
      <c r="E36" s="619"/>
      <c r="F36" s="596" t="s">
        <v>40</v>
      </c>
      <c r="G36" s="597"/>
      <c r="J36" s="61"/>
      <c r="K36" s="61"/>
      <c r="L36" s="66"/>
      <c r="M36" s="66"/>
      <c r="N36" s="67"/>
    </row>
    <row r="37" spans="1:14" s="15" customFormat="1" ht="27" customHeight="1" x14ac:dyDescent="0.4">
      <c r="A37" s="73" t="s">
        <v>41</v>
      </c>
      <c r="B37" s="74">
        <v>1</v>
      </c>
      <c r="C37" s="75" t="s">
        <v>42</v>
      </c>
      <c r="D37" s="76" t="s">
        <v>43</v>
      </c>
      <c r="E37" s="77" t="s">
        <v>44</v>
      </c>
      <c r="F37" s="76" t="s">
        <v>43</v>
      </c>
      <c r="G37" s="78" t="s">
        <v>44</v>
      </c>
      <c r="I37" s="79" t="s">
        <v>72</v>
      </c>
      <c r="J37" s="61"/>
      <c r="K37" s="61"/>
      <c r="L37" s="66"/>
      <c r="M37" s="66"/>
      <c r="N37" s="67"/>
    </row>
    <row r="38" spans="1:14" s="15" customFormat="1" ht="26.25" customHeight="1" x14ac:dyDescent="0.4">
      <c r="A38" s="73" t="s">
        <v>45</v>
      </c>
      <c r="B38" s="74">
        <v>1</v>
      </c>
      <c r="C38" s="80">
        <v>1</v>
      </c>
      <c r="D38" s="440">
        <v>221811539</v>
      </c>
      <c r="E38" s="81">
        <f>IF(ISBLANK(D38),"-",$D$48/$D$45*D38)</f>
        <v>249160714.67886895</v>
      </c>
      <c r="F38" s="440">
        <v>220246637</v>
      </c>
      <c r="G38" s="82">
        <f>IF(ISBLANK(F38),"-",$D$48/$F$45*F38)</f>
        <v>257338719.47700027</v>
      </c>
      <c r="I38" s="83"/>
      <c r="J38" s="61"/>
      <c r="K38" s="61"/>
      <c r="L38" s="66"/>
      <c r="M38" s="66"/>
      <c r="N38" s="67"/>
    </row>
    <row r="39" spans="1:14" s="15" customFormat="1" ht="26.25" customHeight="1" x14ac:dyDescent="0.4">
      <c r="A39" s="73" t="s">
        <v>46</v>
      </c>
      <c r="B39" s="74">
        <v>1</v>
      </c>
      <c r="C39" s="84">
        <v>2</v>
      </c>
      <c r="D39" s="444">
        <v>221615611</v>
      </c>
      <c r="E39" s="86">
        <f>IF(ISBLANK(D39),"-",$D$48/$D$45*D39)</f>
        <v>248940628.92171815</v>
      </c>
      <c r="F39" s="444">
        <v>220028991</v>
      </c>
      <c r="G39" s="87">
        <f>IF(ISBLANK(F39),"-",$D$48/$F$45*F39)</f>
        <v>257084419.37188995</v>
      </c>
      <c r="I39" s="605">
        <f>ABS((F43/D43*D42)-F42)/D42</f>
        <v>3.1424678060250365E-2</v>
      </c>
      <c r="J39" s="61"/>
      <c r="K39" s="61"/>
      <c r="L39" s="66"/>
      <c r="M39" s="66"/>
      <c r="N39" s="67"/>
    </row>
    <row r="40" spans="1:14" ht="26.25" customHeight="1" x14ac:dyDescent="0.4">
      <c r="A40" s="73" t="s">
        <v>47</v>
      </c>
      <c r="B40" s="74">
        <v>1</v>
      </c>
      <c r="C40" s="84">
        <v>3</v>
      </c>
      <c r="D40" s="444">
        <v>221373171</v>
      </c>
      <c r="E40" s="86">
        <f>IF(ISBLANK(D40),"-",$D$48/$D$45*D40)</f>
        <v>248668296.27419639</v>
      </c>
      <c r="F40" s="444">
        <v>219747863</v>
      </c>
      <c r="G40" s="87">
        <f>IF(ISBLANK(F40),"-",$D$48/$F$45*F40)</f>
        <v>256755946.16333362</v>
      </c>
      <c r="I40" s="605"/>
      <c r="L40" s="66"/>
      <c r="M40" s="66"/>
      <c r="N40" s="88"/>
    </row>
    <row r="41" spans="1:14" ht="27" customHeight="1" x14ac:dyDescent="0.4">
      <c r="A41" s="73" t="s">
        <v>48</v>
      </c>
      <c r="B41" s="74">
        <v>1</v>
      </c>
      <c r="C41" s="89">
        <v>4</v>
      </c>
      <c r="D41" s="90"/>
      <c r="E41" s="91" t="str">
        <f>IF(ISBLANK(D41),"-",$D$48/$D$45*D41)</f>
        <v>-</v>
      </c>
      <c r="F41" s="90"/>
      <c r="G41" s="92" t="str">
        <f>IF(ISBLANK(F41),"-",$D$48/$F$45*F41)</f>
        <v>-</v>
      </c>
      <c r="I41" s="93"/>
      <c r="L41" s="66"/>
      <c r="M41" s="66"/>
      <c r="N41" s="88"/>
    </row>
    <row r="42" spans="1:14" ht="27" customHeight="1" x14ac:dyDescent="0.4">
      <c r="A42" s="73" t="s">
        <v>49</v>
      </c>
      <c r="B42" s="74">
        <v>1</v>
      </c>
      <c r="C42" s="94" t="s">
        <v>50</v>
      </c>
      <c r="D42" s="95">
        <f>AVERAGE(D38:D41)</f>
        <v>221600107</v>
      </c>
      <c r="E42" s="96">
        <f>AVERAGE(E38:E41)</f>
        <v>248923213.29159451</v>
      </c>
      <c r="F42" s="95">
        <f>AVERAGE(F38:F41)</f>
        <v>220007830.33333334</v>
      </c>
      <c r="G42" s="97">
        <f>AVERAGE(G38:G41)</f>
        <v>257059695.0040746</v>
      </c>
      <c r="H42" s="98"/>
    </row>
    <row r="43" spans="1:14" ht="26.25" customHeight="1" x14ac:dyDescent="0.4">
      <c r="A43" s="73" t="s">
        <v>51</v>
      </c>
      <c r="B43" s="74">
        <v>1</v>
      </c>
      <c r="C43" s="99" t="s">
        <v>73</v>
      </c>
      <c r="D43" s="100">
        <v>25.9</v>
      </c>
      <c r="E43" s="88"/>
      <c r="F43" s="100">
        <v>24.9</v>
      </c>
      <c r="H43" s="98"/>
    </row>
    <row r="44" spans="1:14" ht="26.25" customHeight="1" x14ac:dyDescent="0.4">
      <c r="A44" s="73" t="s">
        <v>53</v>
      </c>
      <c r="B44" s="74">
        <v>1</v>
      </c>
      <c r="C44" s="101" t="s">
        <v>74</v>
      </c>
      <c r="D44" s="102">
        <f>D43*$B$34</f>
        <v>25.9</v>
      </c>
      <c r="E44" s="103"/>
      <c r="F44" s="102">
        <f>F43*$B$34</f>
        <v>24.9</v>
      </c>
      <c r="H44" s="98"/>
    </row>
    <row r="45" spans="1:14" ht="19.5" customHeight="1" x14ac:dyDescent="0.3">
      <c r="A45" s="73" t="s">
        <v>55</v>
      </c>
      <c r="B45" s="104">
        <f>(B44/B43)*(B42/B41)*(B40/B39)*(B38/B37)*B36</f>
        <v>50</v>
      </c>
      <c r="C45" s="101" t="s">
        <v>56</v>
      </c>
      <c r="D45" s="105">
        <f>D44*$B$30/100</f>
        <v>22.255870000000002</v>
      </c>
      <c r="E45" s="106"/>
      <c r="F45" s="105">
        <f>F44*$B$30/100</f>
        <v>21.396570000000001</v>
      </c>
      <c r="H45" s="98"/>
    </row>
    <row r="46" spans="1:14" ht="19.5" customHeight="1" x14ac:dyDescent="0.3">
      <c r="A46" s="585" t="s">
        <v>57</v>
      </c>
      <c r="B46" s="586"/>
      <c r="C46" s="101" t="s">
        <v>58</v>
      </c>
      <c r="D46" s="107">
        <f>D45/$B$45</f>
        <v>0.44511740000000005</v>
      </c>
      <c r="E46" s="108"/>
      <c r="F46" s="109">
        <f>F45/$B$45</f>
        <v>0.42793140000000002</v>
      </c>
      <c r="H46" s="98"/>
    </row>
    <row r="47" spans="1:14" ht="27" customHeight="1" x14ac:dyDescent="0.4">
      <c r="A47" s="587"/>
      <c r="B47" s="588"/>
      <c r="C47" s="110" t="s">
        <v>75</v>
      </c>
      <c r="D47" s="111">
        <v>0.5</v>
      </c>
      <c r="E47" s="112"/>
      <c r="F47" s="108"/>
      <c r="H47" s="98"/>
    </row>
    <row r="48" spans="1:14" ht="18.75" x14ac:dyDescent="0.3">
      <c r="C48" s="113" t="s">
        <v>59</v>
      </c>
      <c r="D48" s="105">
        <f>D47*$B$45</f>
        <v>25</v>
      </c>
      <c r="F48" s="114"/>
      <c r="H48" s="98"/>
    </row>
    <row r="49" spans="1:12" ht="19.5" customHeight="1" x14ac:dyDescent="0.3">
      <c r="C49" s="115" t="s">
        <v>60</v>
      </c>
      <c r="D49" s="116">
        <f>D48/B34</f>
        <v>25</v>
      </c>
      <c r="F49" s="114"/>
      <c r="H49" s="98"/>
    </row>
    <row r="50" spans="1:12" ht="18.75" x14ac:dyDescent="0.3">
      <c r="C50" s="71" t="s">
        <v>61</v>
      </c>
      <c r="D50" s="117">
        <f>AVERAGE(E38:E41,G38:G41)</f>
        <v>252991454.14783457</v>
      </c>
      <c r="F50" s="118"/>
      <c r="H50" s="98"/>
    </row>
    <row r="51" spans="1:12" ht="18.75" x14ac:dyDescent="0.3">
      <c r="C51" s="73" t="s">
        <v>62</v>
      </c>
      <c r="D51" s="119">
        <f>STDEV(E38:E41,G38:G41)/D50</f>
        <v>1.7641273355942223E-2</v>
      </c>
      <c r="F51" s="118"/>
      <c r="H51" s="98"/>
    </row>
    <row r="52" spans="1:12" ht="19.5" customHeight="1" x14ac:dyDescent="0.3">
      <c r="C52" s="120" t="s">
        <v>63</v>
      </c>
      <c r="D52" s="121">
        <f>COUNT(E38:E41,G38:G41)</f>
        <v>6</v>
      </c>
      <c r="F52" s="118"/>
    </row>
    <row r="54" spans="1:12" ht="18.75" x14ac:dyDescent="0.3">
      <c r="A54" s="122" t="s">
        <v>13</v>
      </c>
      <c r="B54" s="123" t="s">
        <v>64</v>
      </c>
    </row>
    <row r="55" spans="1:12" ht="18.75" x14ac:dyDescent="0.3">
      <c r="A55" s="50" t="s">
        <v>65</v>
      </c>
      <c r="B55" s="124" t="str">
        <f>B21</f>
        <v xml:space="preserve">Each fil coated tablet contains: Amoxicillin trihydrate Ph. Eur. equivalent to Amoxicillin 500mg
Potassium Clavulanate Ph. Eur. equivalent to clavulanic acid 25mg </v>
      </c>
    </row>
    <row r="56" spans="1:12" ht="26.25" customHeight="1" x14ac:dyDescent="0.4">
      <c r="A56" s="125" t="s">
        <v>66</v>
      </c>
      <c r="B56" s="126">
        <v>500</v>
      </c>
      <c r="C56" s="50" t="str">
        <f>B20</f>
        <v>Amoxicillin &amp; Clavulanate Potassium</v>
      </c>
      <c r="H56" s="127"/>
    </row>
    <row r="57" spans="1:12" ht="18.75" x14ac:dyDescent="0.3">
      <c r="A57" s="124" t="s">
        <v>67</v>
      </c>
      <c r="B57" s="219">
        <f>Uniformity!C46</f>
        <v>1028.1839999999997</v>
      </c>
      <c r="H57" s="127"/>
    </row>
    <row r="58" spans="1:12" ht="19.5" customHeight="1" x14ac:dyDescent="0.3">
      <c r="H58" s="127"/>
    </row>
    <row r="59" spans="1:12" s="15" customFormat="1" ht="27" customHeight="1" x14ac:dyDescent="0.4">
      <c r="A59" s="71" t="s">
        <v>76</v>
      </c>
      <c r="B59" s="72">
        <v>100</v>
      </c>
      <c r="C59" s="50"/>
      <c r="D59" s="128" t="s">
        <v>77</v>
      </c>
      <c r="E59" s="129" t="s">
        <v>42</v>
      </c>
      <c r="F59" s="129" t="s">
        <v>43</v>
      </c>
      <c r="G59" s="129" t="s">
        <v>78</v>
      </c>
      <c r="H59" s="75" t="s">
        <v>79</v>
      </c>
      <c r="L59" s="61"/>
    </row>
    <row r="60" spans="1:12" s="15" customFormat="1" ht="26.25" customHeight="1" x14ac:dyDescent="0.4">
      <c r="A60" s="73" t="s">
        <v>80</v>
      </c>
      <c r="B60" s="74">
        <v>2</v>
      </c>
      <c r="C60" s="608" t="s">
        <v>81</v>
      </c>
      <c r="D60" s="611">
        <v>1022.63</v>
      </c>
      <c r="E60" s="130">
        <v>1</v>
      </c>
      <c r="F60" s="131">
        <v>237833529</v>
      </c>
      <c r="G60" s="221">
        <f>IF(ISBLANK(F60),"-",(F60/$D$50*$D$47*$B$68)*($B$57/$D$60))</f>
        <v>472.59546006708047</v>
      </c>
      <c r="H60" s="132">
        <f t="shared" ref="H60:H71" si="0">IF(ISBLANK(F60),"-",G60/$B$56)</f>
        <v>0.94519092013416095</v>
      </c>
      <c r="L60" s="61"/>
    </row>
    <row r="61" spans="1:12" s="15" customFormat="1" ht="26.25" customHeight="1" x14ac:dyDescent="0.4">
      <c r="A61" s="73" t="s">
        <v>82</v>
      </c>
      <c r="B61" s="74">
        <v>20</v>
      </c>
      <c r="C61" s="609"/>
      <c r="D61" s="612"/>
      <c r="E61" s="133">
        <v>2</v>
      </c>
      <c r="F61" s="85">
        <v>237990715</v>
      </c>
      <c r="G61" s="222">
        <f>IF(ISBLANK(F61),"-",(F61/$D$50*$D$47*$B$68)*($B$57/$D$60))</f>
        <v>472.9078020244927</v>
      </c>
      <c r="H61" s="134">
        <f t="shared" si="0"/>
        <v>0.94581560404898535</v>
      </c>
      <c r="L61" s="61"/>
    </row>
    <row r="62" spans="1:12" s="15" customFormat="1" ht="26.25" customHeight="1" x14ac:dyDescent="0.4">
      <c r="A62" s="73" t="s">
        <v>83</v>
      </c>
      <c r="B62" s="74">
        <v>1</v>
      </c>
      <c r="C62" s="609"/>
      <c r="D62" s="612"/>
      <c r="E62" s="133">
        <v>3</v>
      </c>
      <c r="F62" s="135">
        <v>237941166</v>
      </c>
      <c r="G62" s="222">
        <f>IF(ISBLANK(F62),"-",(F62/$D$50*$D$47*$B$68)*($B$57/$D$60))</f>
        <v>472.80934394522473</v>
      </c>
      <c r="H62" s="134">
        <f t="shared" si="0"/>
        <v>0.94561868789044945</v>
      </c>
      <c r="L62" s="61"/>
    </row>
    <row r="63" spans="1:12" ht="27" customHeight="1" x14ac:dyDescent="0.4">
      <c r="A63" s="73" t="s">
        <v>84</v>
      </c>
      <c r="B63" s="74">
        <v>1</v>
      </c>
      <c r="C63" s="618"/>
      <c r="D63" s="613"/>
      <c r="E63" s="136">
        <v>4</v>
      </c>
      <c r="F63" s="137"/>
      <c r="G63" s="222" t="str">
        <f>IF(ISBLANK(F63),"-",(F63/$D$50*$D$47*$B$68)*($B$57/$D$60))</f>
        <v>-</v>
      </c>
      <c r="H63" s="134" t="str">
        <f t="shared" si="0"/>
        <v>-</v>
      </c>
    </row>
    <row r="64" spans="1:12" ht="26.25" customHeight="1" x14ac:dyDescent="0.4">
      <c r="A64" s="73" t="s">
        <v>85</v>
      </c>
      <c r="B64" s="74">
        <v>1</v>
      </c>
      <c r="C64" s="608" t="s">
        <v>86</v>
      </c>
      <c r="D64" s="611">
        <v>1031.3</v>
      </c>
      <c r="E64" s="130">
        <v>1</v>
      </c>
      <c r="F64" s="131"/>
      <c r="G64" s="223" t="str">
        <f>IF(ISBLANK(F64),"-",(F64/$D$50*$D$47*$B$68)*($B$57/$D$64))</f>
        <v>-</v>
      </c>
      <c r="H64" s="138" t="str">
        <f t="shared" si="0"/>
        <v>-</v>
      </c>
    </row>
    <row r="65" spans="1:8" ht="26.25" customHeight="1" x14ac:dyDescent="0.4">
      <c r="A65" s="73" t="s">
        <v>87</v>
      </c>
      <c r="B65" s="74">
        <v>1</v>
      </c>
      <c r="C65" s="609"/>
      <c r="D65" s="612"/>
      <c r="E65" s="133">
        <v>2</v>
      </c>
      <c r="F65" s="85"/>
      <c r="G65" s="224" t="str">
        <f>IF(ISBLANK(F65),"-",(F65/$D$50*$D$47*$B$68)*($B$57/$D$64))</f>
        <v>-</v>
      </c>
      <c r="H65" s="139" t="str">
        <f t="shared" si="0"/>
        <v>-</v>
      </c>
    </row>
    <row r="66" spans="1:8" ht="26.25" customHeight="1" x14ac:dyDescent="0.4">
      <c r="A66" s="73" t="s">
        <v>88</v>
      </c>
      <c r="B66" s="74">
        <v>1</v>
      </c>
      <c r="C66" s="609"/>
      <c r="D66" s="612"/>
      <c r="E66" s="133">
        <v>3</v>
      </c>
      <c r="F66" s="85"/>
      <c r="G66" s="224" t="str">
        <f>IF(ISBLANK(F66),"-",(F66/$D$50*$D$47*$B$68)*($B$57/$D$64))</f>
        <v>-</v>
      </c>
      <c r="H66" s="139" t="str">
        <f t="shared" si="0"/>
        <v>-</v>
      </c>
    </row>
    <row r="67" spans="1:8" ht="27" customHeight="1" x14ac:dyDescent="0.4">
      <c r="A67" s="73" t="s">
        <v>89</v>
      </c>
      <c r="B67" s="74">
        <v>1</v>
      </c>
      <c r="C67" s="618"/>
      <c r="D67" s="613"/>
      <c r="E67" s="136">
        <v>4</v>
      </c>
      <c r="F67" s="137"/>
      <c r="G67" s="225" t="str">
        <f>IF(ISBLANK(F67),"-",(F67/$D$50*$D$47*$B$68)*($B$57/$D$64))</f>
        <v>-</v>
      </c>
      <c r="H67" s="140" t="str">
        <f t="shared" si="0"/>
        <v>-</v>
      </c>
    </row>
    <row r="68" spans="1:8" ht="26.25" customHeight="1" x14ac:dyDescent="0.4">
      <c r="A68" s="73" t="s">
        <v>90</v>
      </c>
      <c r="B68" s="141">
        <f>(B67/B66)*(B65/B64)*(B63/B62)*(B61/B60)*B59</f>
        <v>1000</v>
      </c>
      <c r="C68" s="608" t="s">
        <v>91</v>
      </c>
      <c r="D68" s="611">
        <v>1052.6199999999999</v>
      </c>
      <c r="E68" s="130">
        <v>1</v>
      </c>
      <c r="F68" s="131">
        <v>243955623</v>
      </c>
      <c r="G68" s="223">
        <f>IF(ISBLANK(F68),"-",(F68/$D$50*$D$47*$B$68)*($B$57/$D$68))</f>
        <v>470.94935851280189</v>
      </c>
      <c r="H68" s="134">
        <f t="shared" si="0"/>
        <v>0.94189871702560379</v>
      </c>
    </row>
    <row r="69" spans="1:8" ht="27" customHeight="1" x14ac:dyDescent="0.4">
      <c r="A69" s="120" t="s">
        <v>92</v>
      </c>
      <c r="B69" s="142">
        <f>(D47*B68)/B56*B57</f>
        <v>1028.1839999999997</v>
      </c>
      <c r="C69" s="609"/>
      <c r="D69" s="612"/>
      <c r="E69" s="133">
        <v>2</v>
      </c>
      <c r="F69" s="85">
        <v>244234021</v>
      </c>
      <c r="G69" s="224">
        <f>IF(ISBLANK(F69),"-",(F69/$D$50*$D$47*$B$68)*($B$57/$D$68))</f>
        <v>471.48679789582951</v>
      </c>
      <c r="H69" s="134">
        <f t="shared" si="0"/>
        <v>0.94297359579165907</v>
      </c>
    </row>
    <row r="70" spans="1:8" ht="26.25" customHeight="1" x14ac:dyDescent="0.4">
      <c r="A70" s="614" t="s">
        <v>57</v>
      </c>
      <c r="B70" s="615"/>
      <c r="C70" s="609"/>
      <c r="D70" s="612"/>
      <c r="E70" s="133">
        <v>3</v>
      </c>
      <c r="F70" s="85">
        <v>244112226</v>
      </c>
      <c r="G70" s="224">
        <f>IF(ISBLANK(F70),"-",(F70/$D$50*$D$47*$B$68)*($B$57/$D$68))</f>
        <v>471.25167612894955</v>
      </c>
      <c r="H70" s="134">
        <f t="shared" si="0"/>
        <v>0.94250335225789916</v>
      </c>
    </row>
    <row r="71" spans="1:8" ht="27" customHeight="1" x14ac:dyDescent="0.4">
      <c r="A71" s="616"/>
      <c r="B71" s="617"/>
      <c r="C71" s="610"/>
      <c r="D71" s="613"/>
      <c r="E71" s="136">
        <v>4</v>
      </c>
      <c r="F71" s="137"/>
      <c r="G71" s="225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5"/>
      <c r="G72" s="146" t="s">
        <v>50</v>
      </c>
      <c r="H72" s="147">
        <f>AVERAGE(H60:H71)</f>
        <v>0.94400014619145978</v>
      </c>
    </row>
    <row r="73" spans="1:8" ht="26.25" customHeight="1" x14ac:dyDescent="0.4">
      <c r="C73" s="144"/>
      <c r="D73" s="144"/>
      <c r="E73" s="144"/>
      <c r="F73" s="145"/>
      <c r="G73" s="148" t="s">
        <v>62</v>
      </c>
      <c r="H73" s="226">
        <f>STDEV(H60:H71)/H72</f>
        <v>1.8374706207069536E-3</v>
      </c>
    </row>
    <row r="74" spans="1:8" ht="27" customHeight="1" x14ac:dyDescent="0.4">
      <c r="A74" s="144"/>
      <c r="B74" s="144"/>
      <c r="C74" s="145"/>
      <c r="D74" s="145"/>
      <c r="E74" s="149"/>
      <c r="F74" s="145"/>
      <c r="G74" s="150" t="s">
        <v>63</v>
      </c>
      <c r="H74" s="151">
        <f>COUNT(H60:H71)</f>
        <v>6</v>
      </c>
    </row>
    <row r="76" spans="1:8" ht="26.25" customHeight="1" x14ac:dyDescent="0.4">
      <c r="A76" s="57" t="s">
        <v>93</v>
      </c>
      <c r="B76" s="152" t="s">
        <v>68</v>
      </c>
      <c r="C76" s="600" t="str">
        <f>B20</f>
        <v>Amoxicillin &amp; Clavulanate Potassium</v>
      </c>
      <c r="D76" s="600"/>
      <c r="E76" s="153" t="s">
        <v>69</v>
      </c>
      <c r="F76" s="153"/>
      <c r="G76" s="154">
        <f>H72</f>
        <v>0.94400014619145978</v>
      </c>
      <c r="H76" s="155"/>
    </row>
    <row r="77" spans="1:8" ht="18.75" x14ac:dyDescent="0.3">
      <c r="A77" s="56" t="s">
        <v>94</v>
      </c>
      <c r="B77" s="56" t="s">
        <v>95</v>
      </c>
    </row>
    <row r="78" spans="1:8" ht="18.75" x14ac:dyDescent="0.3">
      <c r="A78" s="56"/>
      <c r="B78" s="56"/>
    </row>
    <row r="79" spans="1:8" ht="26.25" customHeight="1" x14ac:dyDescent="0.4">
      <c r="A79" s="57" t="s">
        <v>28</v>
      </c>
      <c r="B79" s="591" t="str">
        <f>B26</f>
        <v>Amoxicillin trihydrate</v>
      </c>
      <c r="C79" s="591"/>
    </row>
    <row r="80" spans="1:8" ht="26.25" customHeight="1" x14ac:dyDescent="0.4">
      <c r="A80" s="58" t="s">
        <v>29</v>
      </c>
      <c r="B80" s="591" t="str">
        <f>B27</f>
        <v>A1 2</v>
      </c>
      <c r="C80" s="591"/>
    </row>
    <row r="81" spans="1:12" ht="27" customHeight="1" x14ac:dyDescent="0.4">
      <c r="A81" s="58" t="s">
        <v>30</v>
      </c>
      <c r="B81" s="156">
        <f>B28</f>
        <v>99.52000000000001</v>
      </c>
    </row>
    <row r="82" spans="1:12" s="15" customFormat="1" ht="27" customHeight="1" x14ac:dyDescent="0.4">
      <c r="A82" s="58" t="s">
        <v>31</v>
      </c>
      <c r="B82" s="60">
        <v>13.59</v>
      </c>
      <c r="C82" s="602" t="s">
        <v>70</v>
      </c>
      <c r="D82" s="603"/>
      <c r="E82" s="603"/>
      <c r="F82" s="603"/>
      <c r="G82" s="604"/>
      <c r="I82" s="61"/>
      <c r="J82" s="61"/>
      <c r="K82" s="61"/>
      <c r="L82" s="61"/>
    </row>
    <row r="83" spans="1:12" s="15" customFormat="1" ht="19.5" customHeight="1" x14ac:dyDescent="0.3">
      <c r="A83" s="58" t="s">
        <v>32</v>
      </c>
      <c r="B83" s="62">
        <f>B81-B82</f>
        <v>85.93</v>
      </c>
      <c r="C83" s="63"/>
      <c r="D83" s="63"/>
      <c r="E83" s="63"/>
      <c r="F83" s="63"/>
      <c r="G83" s="64"/>
      <c r="I83" s="61"/>
      <c r="J83" s="61"/>
      <c r="K83" s="61"/>
      <c r="L83" s="61"/>
    </row>
    <row r="84" spans="1:12" s="15" customFormat="1" ht="27" customHeight="1" x14ac:dyDescent="0.4">
      <c r="A84" s="58" t="s">
        <v>33</v>
      </c>
      <c r="B84" s="65">
        <v>1</v>
      </c>
      <c r="C84" s="593" t="s">
        <v>96</v>
      </c>
      <c r="D84" s="594"/>
      <c r="E84" s="594"/>
      <c r="F84" s="594"/>
      <c r="G84" s="594"/>
      <c r="H84" s="595"/>
      <c r="I84" s="61"/>
      <c r="J84" s="61"/>
      <c r="K84" s="61"/>
      <c r="L84" s="61"/>
    </row>
    <row r="85" spans="1:12" s="15" customFormat="1" ht="27" customHeight="1" x14ac:dyDescent="0.4">
      <c r="A85" s="58" t="s">
        <v>35</v>
      </c>
      <c r="B85" s="65">
        <v>1</v>
      </c>
      <c r="C85" s="593" t="s">
        <v>97</v>
      </c>
      <c r="D85" s="594"/>
      <c r="E85" s="594"/>
      <c r="F85" s="594"/>
      <c r="G85" s="594"/>
      <c r="H85" s="595"/>
      <c r="I85" s="61"/>
      <c r="J85" s="61"/>
      <c r="K85" s="61"/>
      <c r="L85" s="61"/>
    </row>
    <row r="86" spans="1:12" s="15" customFormat="1" ht="18.75" x14ac:dyDescent="0.3">
      <c r="A86" s="58"/>
      <c r="B86" s="68"/>
      <c r="C86" s="69"/>
      <c r="D86" s="69"/>
      <c r="E86" s="69"/>
      <c r="F86" s="69"/>
      <c r="G86" s="69"/>
      <c r="H86" s="69"/>
      <c r="I86" s="61"/>
      <c r="J86" s="61"/>
      <c r="K86" s="61"/>
      <c r="L86" s="61"/>
    </row>
    <row r="87" spans="1:12" s="15" customFormat="1" ht="18.75" x14ac:dyDescent="0.3">
      <c r="A87" s="58" t="s">
        <v>37</v>
      </c>
      <c r="B87" s="70">
        <f>B84/B85</f>
        <v>1</v>
      </c>
      <c r="C87" s="50" t="s">
        <v>38</v>
      </c>
      <c r="D87" s="50"/>
      <c r="E87" s="50"/>
      <c r="F87" s="50"/>
      <c r="G87" s="50"/>
      <c r="I87" s="61"/>
      <c r="J87" s="61"/>
      <c r="K87" s="61"/>
      <c r="L87" s="61"/>
    </row>
    <row r="88" spans="1:12" ht="19.5" customHeight="1" x14ac:dyDescent="0.3">
      <c r="A88" s="56"/>
      <c r="B88" s="56"/>
    </row>
    <row r="89" spans="1:12" ht="27" customHeight="1" x14ac:dyDescent="0.4">
      <c r="A89" s="71" t="s">
        <v>71</v>
      </c>
      <c r="B89" s="72">
        <v>50</v>
      </c>
      <c r="D89" s="157" t="s">
        <v>39</v>
      </c>
      <c r="E89" s="158"/>
      <c r="F89" s="596" t="s">
        <v>40</v>
      </c>
      <c r="G89" s="597"/>
    </row>
    <row r="90" spans="1:12" ht="27" customHeight="1" x14ac:dyDescent="0.4">
      <c r="A90" s="73" t="s">
        <v>41</v>
      </c>
      <c r="B90" s="74">
        <v>1</v>
      </c>
      <c r="C90" s="159" t="s">
        <v>42</v>
      </c>
      <c r="D90" s="76" t="s">
        <v>43</v>
      </c>
      <c r="E90" s="77" t="s">
        <v>44</v>
      </c>
      <c r="F90" s="76" t="s">
        <v>43</v>
      </c>
      <c r="G90" s="160" t="s">
        <v>44</v>
      </c>
      <c r="I90" s="79" t="s">
        <v>72</v>
      </c>
    </row>
    <row r="91" spans="1:12" ht="26.25" customHeight="1" x14ac:dyDescent="0.4">
      <c r="A91" s="73" t="s">
        <v>45</v>
      </c>
      <c r="B91" s="74">
        <v>1</v>
      </c>
      <c r="C91" s="161">
        <v>1</v>
      </c>
      <c r="D91" s="440">
        <v>221811539</v>
      </c>
      <c r="E91" s="81">
        <f>IF(ISBLANK(D91),"-",$D$101/$D$98*D91)</f>
        <v>249160714.67886895</v>
      </c>
      <c r="F91" s="440">
        <v>220246637</v>
      </c>
      <c r="G91" s="82">
        <f>IF(ISBLANK(F91),"-",$D$101/$F$98*F91)</f>
        <v>257338719.47700027</v>
      </c>
      <c r="I91" s="83"/>
    </row>
    <row r="92" spans="1:12" ht="26.25" customHeight="1" x14ac:dyDescent="0.4">
      <c r="A92" s="73" t="s">
        <v>46</v>
      </c>
      <c r="B92" s="74">
        <v>1</v>
      </c>
      <c r="C92" s="145">
        <v>2</v>
      </c>
      <c r="D92" s="444">
        <v>221615611</v>
      </c>
      <c r="E92" s="86">
        <f>IF(ISBLANK(D92),"-",$D$101/$D$98*D92)</f>
        <v>248940628.92171815</v>
      </c>
      <c r="F92" s="444">
        <v>220028991</v>
      </c>
      <c r="G92" s="87">
        <f>IF(ISBLANK(F92),"-",$D$101/$F$98*F92)</f>
        <v>257084419.37188995</v>
      </c>
      <c r="I92" s="605">
        <f>ABS((F96/D96*D95)-F95)/D95</f>
        <v>3.1424678060250365E-2</v>
      </c>
    </row>
    <row r="93" spans="1:12" ht="26.25" customHeight="1" x14ac:dyDescent="0.4">
      <c r="A93" s="73" t="s">
        <v>47</v>
      </c>
      <c r="B93" s="74">
        <v>1</v>
      </c>
      <c r="C93" s="145">
        <v>3</v>
      </c>
      <c r="D93" s="444">
        <v>221373171</v>
      </c>
      <c r="E93" s="86">
        <f>IF(ISBLANK(D93),"-",$D$101/$D$98*D93)</f>
        <v>248668296.27419639</v>
      </c>
      <c r="F93" s="444">
        <v>219747863</v>
      </c>
      <c r="G93" s="87">
        <f>IF(ISBLANK(F93),"-",$D$101/$F$98*F93)</f>
        <v>256755946.16333362</v>
      </c>
      <c r="I93" s="605"/>
    </row>
    <row r="94" spans="1:12" ht="27" customHeight="1" x14ac:dyDescent="0.4">
      <c r="A94" s="73" t="s">
        <v>48</v>
      </c>
      <c r="B94" s="74">
        <v>1</v>
      </c>
      <c r="C94" s="162">
        <v>4</v>
      </c>
      <c r="D94" s="90"/>
      <c r="E94" s="91" t="str">
        <f>IF(ISBLANK(D94),"-",$D$101/$D$98*D94)</f>
        <v>-</v>
      </c>
      <c r="F94" s="163"/>
      <c r="G94" s="92" t="str">
        <f>IF(ISBLANK(F94),"-",$D$101/$F$98*F94)</f>
        <v>-</v>
      </c>
      <c r="I94" s="93"/>
    </row>
    <row r="95" spans="1:12" ht="27" customHeight="1" x14ac:dyDescent="0.4">
      <c r="A95" s="73" t="s">
        <v>49</v>
      </c>
      <c r="B95" s="74">
        <v>1</v>
      </c>
      <c r="C95" s="164" t="s">
        <v>50</v>
      </c>
      <c r="D95" s="165">
        <f>AVERAGE(D91:D94)</f>
        <v>221600107</v>
      </c>
      <c r="E95" s="96">
        <f>AVERAGE(E91:E94)</f>
        <v>248923213.29159451</v>
      </c>
      <c r="F95" s="166">
        <f>AVERAGE(F91:F94)</f>
        <v>220007830.33333334</v>
      </c>
      <c r="G95" s="167">
        <f>AVERAGE(G91:G94)</f>
        <v>257059695.0040746</v>
      </c>
    </row>
    <row r="96" spans="1:12" ht="26.25" customHeight="1" x14ac:dyDescent="0.4">
      <c r="A96" s="73" t="s">
        <v>51</v>
      </c>
      <c r="B96" s="59">
        <v>1</v>
      </c>
      <c r="C96" s="168" t="s">
        <v>52</v>
      </c>
      <c r="D96" s="169">
        <v>25.9</v>
      </c>
      <c r="E96" s="88"/>
      <c r="F96" s="100">
        <v>24.9</v>
      </c>
    </row>
    <row r="97" spans="1:10" ht="26.25" customHeight="1" x14ac:dyDescent="0.4">
      <c r="A97" s="73" t="s">
        <v>53</v>
      </c>
      <c r="B97" s="59">
        <v>1</v>
      </c>
      <c r="C97" s="170" t="s">
        <v>54</v>
      </c>
      <c r="D97" s="171">
        <f>D96*$B$87</f>
        <v>25.9</v>
      </c>
      <c r="E97" s="103"/>
      <c r="F97" s="102">
        <f>F96*$B$87</f>
        <v>24.9</v>
      </c>
    </row>
    <row r="98" spans="1:10" ht="19.5" customHeight="1" x14ac:dyDescent="0.3">
      <c r="A98" s="73" t="s">
        <v>55</v>
      </c>
      <c r="B98" s="172">
        <f>(B97/B96)*(B95/B94)*(B93/B92)*(B91/B90)*B89</f>
        <v>50</v>
      </c>
      <c r="C98" s="170" t="s">
        <v>98</v>
      </c>
      <c r="D98" s="173">
        <f>D97*$B$83/100</f>
        <v>22.255870000000002</v>
      </c>
      <c r="E98" s="106"/>
      <c r="F98" s="105">
        <f>F97*$B$83/100</f>
        <v>21.396570000000001</v>
      </c>
    </row>
    <row r="99" spans="1:10" ht="19.5" customHeight="1" x14ac:dyDescent="0.3">
      <c r="A99" s="585" t="s">
        <v>57</v>
      </c>
      <c r="B99" s="606"/>
      <c r="C99" s="170" t="s">
        <v>99</v>
      </c>
      <c r="D99" s="174">
        <f>D98/$B$98</f>
        <v>0.44511740000000005</v>
      </c>
      <c r="E99" s="106"/>
      <c r="F99" s="109">
        <f>F98/$B$98</f>
        <v>0.42793140000000002</v>
      </c>
      <c r="G99" s="175"/>
      <c r="H99" s="98"/>
    </row>
    <row r="100" spans="1:10" ht="19.5" customHeight="1" x14ac:dyDescent="0.3">
      <c r="A100" s="587"/>
      <c r="B100" s="607"/>
      <c r="C100" s="170" t="s">
        <v>75</v>
      </c>
      <c r="D100" s="176">
        <v>0.5</v>
      </c>
      <c r="F100" s="114"/>
      <c r="G100" s="177"/>
      <c r="H100" s="98"/>
    </row>
    <row r="101" spans="1:10" ht="18.75" x14ac:dyDescent="0.3">
      <c r="C101" s="170" t="s">
        <v>59</v>
      </c>
      <c r="D101" s="171">
        <f>D100*$B$98</f>
        <v>25</v>
      </c>
      <c r="F101" s="114"/>
      <c r="G101" s="175"/>
      <c r="H101" s="98"/>
    </row>
    <row r="102" spans="1:10" ht="19.5" customHeight="1" x14ac:dyDescent="0.3">
      <c r="C102" s="178" t="s">
        <v>60</v>
      </c>
      <c r="D102" s="179">
        <f>D101/B34</f>
        <v>25</v>
      </c>
      <c r="F102" s="118"/>
      <c r="G102" s="175"/>
      <c r="H102" s="98"/>
      <c r="J102" s="180"/>
    </row>
    <row r="103" spans="1:10" ht="18.75" x14ac:dyDescent="0.3">
      <c r="C103" s="181" t="s">
        <v>100</v>
      </c>
      <c r="D103" s="182">
        <f>AVERAGE(E91:E94,G91:G94)</f>
        <v>252991454.14783457</v>
      </c>
      <c r="F103" s="118"/>
      <c r="G103" s="183"/>
      <c r="H103" s="98"/>
      <c r="J103" s="184"/>
    </row>
    <row r="104" spans="1:10" ht="18.75" x14ac:dyDescent="0.3">
      <c r="C104" s="148" t="s">
        <v>62</v>
      </c>
      <c r="D104" s="185">
        <f>STDEV(E91:E94,G91:G94)/D103</f>
        <v>1.7641273355942223E-2</v>
      </c>
      <c r="F104" s="118"/>
      <c r="G104" s="175"/>
      <c r="H104" s="98"/>
      <c r="J104" s="184"/>
    </row>
    <row r="105" spans="1:10" ht="19.5" customHeight="1" x14ac:dyDescent="0.3">
      <c r="C105" s="150" t="s">
        <v>63</v>
      </c>
      <c r="D105" s="186">
        <f>COUNT(E91:E94,G91:G94)</f>
        <v>6</v>
      </c>
      <c r="F105" s="118"/>
      <c r="G105" s="175"/>
      <c r="H105" s="98"/>
      <c r="J105" s="184"/>
    </row>
    <row r="106" spans="1:10" ht="19.5" customHeight="1" x14ac:dyDescent="0.3">
      <c r="A106" s="122"/>
      <c r="B106" s="122"/>
      <c r="C106" s="122"/>
      <c r="D106" s="122"/>
      <c r="E106" s="122"/>
    </row>
    <row r="107" spans="1:10" ht="26.25" customHeight="1" x14ac:dyDescent="0.4">
      <c r="A107" s="71" t="s">
        <v>101</v>
      </c>
      <c r="B107" s="72">
        <v>900</v>
      </c>
      <c r="C107" s="187" t="s">
        <v>102</v>
      </c>
      <c r="D107" s="188" t="s">
        <v>43</v>
      </c>
      <c r="E107" s="189" t="s">
        <v>103</v>
      </c>
      <c r="F107" s="190" t="s">
        <v>104</v>
      </c>
    </row>
    <row r="108" spans="1:10" ht="26.25" customHeight="1" x14ac:dyDescent="0.4">
      <c r="A108" s="73" t="s">
        <v>105</v>
      </c>
      <c r="B108" s="74">
        <v>1</v>
      </c>
      <c r="C108" s="191">
        <v>1</v>
      </c>
      <c r="D108" s="192">
        <v>226360325</v>
      </c>
      <c r="E108" s="227">
        <f>IF(ISBLANK(D108),"-",D108/$D$103*$D$100*$B$116)</f>
        <v>402.63077894511508</v>
      </c>
      <c r="F108" s="193">
        <f>IF(ISBLANK(D108), "-", E108/$B$56)</f>
        <v>0.80526155789023013</v>
      </c>
    </row>
    <row r="109" spans="1:10" ht="26.25" customHeight="1" x14ac:dyDescent="0.4">
      <c r="A109" s="73" t="s">
        <v>82</v>
      </c>
      <c r="B109" s="74">
        <v>1</v>
      </c>
      <c r="C109" s="191">
        <v>2</v>
      </c>
      <c r="D109" s="192">
        <v>231687736</v>
      </c>
      <c r="E109" s="228">
        <f t="shared" ref="E109:E113" si="1">IF(ISBLANK(D109),"-",D109/$D$103*$D$100*$B$116)</f>
        <v>412.10673123795073</v>
      </c>
      <c r="F109" s="194">
        <f t="shared" ref="F109:F113" si="2">IF(ISBLANK(D109), "-", E109/$B$56)</f>
        <v>0.82421346247590144</v>
      </c>
    </row>
    <row r="110" spans="1:10" ht="26.25" customHeight="1" x14ac:dyDescent="0.4">
      <c r="A110" s="73" t="s">
        <v>83</v>
      </c>
      <c r="B110" s="74">
        <v>1</v>
      </c>
      <c r="C110" s="191">
        <v>3</v>
      </c>
      <c r="D110" s="192">
        <v>217918413</v>
      </c>
      <c r="E110" s="228">
        <f t="shared" si="1"/>
        <v>387.61501324347938</v>
      </c>
      <c r="F110" s="194">
        <f t="shared" si="2"/>
        <v>0.77523002648695871</v>
      </c>
    </row>
    <row r="111" spans="1:10" ht="26.25" customHeight="1" x14ac:dyDescent="0.4">
      <c r="A111" s="73" t="s">
        <v>84</v>
      </c>
      <c r="B111" s="74">
        <v>1</v>
      </c>
      <c r="C111" s="191">
        <v>4</v>
      </c>
      <c r="D111" s="192">
        <v>231565604</v>
      </c>
      <c r="E111" s="228">
        <f t="shared" si="1"/>
        <v>411.8894930700248</v>
      </c>
      <c r="F111" s="194">
        <f t="shared" si="2"/>
        <v>0.82377898614004963</v>
      </c>
    </row>
    <row r="112" spans="1:10" ht="26.25" customHeight="1" x14ac:dyDescent="0.4">
      <c r="A112" s="73" t="s">
        <v>85</v>
      </c>
      <c r="B112" s="74">
        <v>1</v>
      </c>
      <c r="C112" s="191">
        <v>5</v>
      </c>
      <c r="D112" s="192">
        <v>217602479</v>
      </c>
      <c r="E112" s="228">
        <f t="shared" si="1"/>
        <v>387.05305631699389</v>
      </c>
      <c r="F112" s="194">
        <f t="shared" si="2"/>
        <v>0.77410611263398776</v>
      </c>
    </row>
    <row r="113" spans="1:10" ht="26.25" customHeight="1" x14ac:dyDescent="0.4">
      <c r="A113" s="73" t="s">
        <v>87</v>
      </c>
      <c r="B113" s="74">
        <v>1</v>
      </c>
      <c r="C113" s="195">
        <v>6</v>
      </c>
      <c r="D113" s="196">
        <v>225461937</v>
      </c>
      <c r="E113" s="229">
        <f t="shared" si="1"/>
        <v>401.03280164836514</v>
      </c>
      <c r="F113" s="197">
        <f t="shared" si="2"/>
        <v>0.80206560329673027</v>
      </c>
    </row>
    <row r="114" spans="1:10" ht="26.25" customHeight="1" x14ac:dyDescent="0.4">
      <c r="A114" s="73" t="s">
        <v>88</v>
      </c>
      <c r="B114" s="74">
        <v>1</v>
      </c>
      <c r="C114" s="191"/>
      <c r="D114" s="145"/>
      <c r="E114" s="49"/>
      <c r="F114" s="198"/>
    </row>
    <row r="115" spans="1:10" ht="26.25" customHeight="1" x14ac:dyDescent="0.4">
      <c r="A115" s="73" t="s">
        <v>89</v>
      </c>
      <c r="B115" s="74">
        <v>1</v>
      </c>
      <c r="C115" s="191"/>
      <c r="D115" s="199"/>
      <c r="E115" s="200" t="s">
        <v>50</v>
      </c>
      <c r="F115" s="201">
        <f>AVERAGE(F108:F113)</f>
        <v>0.8007759581539764</v>
      </c>
    </row>
    <row r="116" spans="1:10" ht="27" customHeight="1" x14ac:dyDescent="0.4">
      <c r="A116" s="73" t="s">
        <v>90</v>
      </c>
      <c r="B116" s="104">
        <f>(B115/B114)*(B113/B112)*(B111/B110)*(B109/B108)*B107</f>
        <v>900</v>
      </c>
      <c r="C116" s="202"/>
      <c r="D116" s="203"/>
      <c r="E116" s="164" t="s">
        <v>62</v>
      </c>
      <c r="F116" s="204">
        <f>STDEV(F108:F113)/F115</f>
        <v>2.7722631775540622E-2</v>
      </c>
      <c r="I116" s="49"/>
    </row>
    <row r="117" spans="1:10" ht="27" customHeight="1" x14ac:dyDescent="0.4">
      <c r="A117" s="585" t="s">
        <v>57</v>
      </c>
      <c r="B117" s="586"/>
      <c r="C117" s="205"/>
      <c r="D117" s="206"/>
      <c r="E117" s="207" t="s">
        <v>63</v>
      </c>
      <c r="F117" s="208">
        <f>COUNT(F108:F113)</f>
        <v>6</v>
      </c>
      <c r="I117" s="49"/>
      <c r="J117" s="184"/>
    </row>
    <row r="118" spans="1:10" ht="19.5" customHeight="1" x14ac:dyDescent="0.3">
      <c r="A118" s="587"/>
      <c r="B118" s="588"/>
      <c r="C118" s="49"/>
      <c r="D118" s="49"/>
      <c r="E118" s="49"/>
      <c r="F118" s="145"/>
      <c r="G118" s="49"/>
      <c r="H118" s="49"/>
      <c r="I118" s="49"/>
    </row>
    <row r="119" spans="1:10" ht="18.75" x14ac:dyDescent="0.3">
      <c r="A119" s="217"/>
      <c r="B119" s="69"/>
      <c r="C119" s="49"/>
      <c r="D119" s="49"/>
      <c r="E119" s="49"/>
      <c r="F119" s="145"/>
      <c r="G119" s="49"/>
      <c r="H119" s="49"/>
      <c r="I119" s="49"/>
    </row>
    <row r="120" spans="1:10" ht="26.25" customHeight="1" x14ac:dyDescent="0.4">
      <c r="A120" s="57" t="s">
        <v>93</v>
      </c>
      <c r="B120" s="152" t="s">
        <v>106</v>
      </c>
      <c r="C120" s="600" t="str">
        <f>B20</f>
        <v>Amoxicillin &amp; Clavulanate Potassium</v>
      </c>
      <c r="D120" s="600"/>
      <c r="E120" s="153" t="s">
        <v>107</v>
      </c>
      <c r="F120" s="153"/>
      <c r="G120" s="154">
        <f>F115</f>
        <v>0.8007759581539764</v>
      </c>
      <c r="H120" s="49"/>
      <c r="I120" s="49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601" t="s">
        <v>20</v>
      </c>
      <c r="C122" s="601"/>
      <c r="E122" s="159" t="s">
        <v>21</v>
      </c>
      <c r="F122" s="211"/>
      <c r="G122" s="601" t="s">
        <v>22</v>
      </c>
      <c r="H122" s="601"/>
    </row>
    <row r="123" spans="1:10" ht="69.95" customHeight="1" x14ac:dyDescent="0.3">
      <c r="A123" s="212" t="s">
        <v>23</v>
      </c>
      <c r="B123" s="213"/>
      <c r="C123" s="213"/>
      <c r="E123" s="213"/>
      <c r="F123" s="49"/>
      <c r="G123" s="214"/>
      <c r="H123" s="214"/>
    </row>
    <row r="124" spans="1:10" ht="69.95" customHeight="1" x14ac:dyDescent="0.3">
      <c r="A124" s="212" t="s">
        <v>24</v>
      </c>
      <c r="B124" s="215"/>
      <c r="C124" s="215"/>
      <c r="E124" s="215"/>
      <c r="F124" s="49"/>
      <c r="G124" s="216"/>
      <c r="H124" s="216"/>
    </row>
    <row r="125" spans="1:10" ht="18.75" x14ac:dyDescent="0.3">
      <c r="A125" s="144"/>
      <c r="B125" s="144"/>
      <c r="C125" s="145"/>
      <c r="D125" s="145"/>
      <c r="E125" s="145"/>
      <c r="F125" s="149"/>
      <c r="G125" s="145"/>
      <c r="H125" s="145"/>
      <c r="I125" s="49"/>
    </row>
    <row r="126" spans="1:10" ht="18.75" x14ac:dyDescent="0.3">
      <c r="A126" s="144"/>
      <c r="B126" s="144"/>
      <c r="C126" s="145"/>
      <c r="D126" s="145"/>
      <c r="E126" s="145"/>
      <c r="F126" s="149"/>
      <c r="G126" s="145"/>
      <c r="H126" s="145"/>
      <c r="I126" s="49"/>
    </row>
    <row r="127" spans="1:10" ht="18.75" x14ac:dyDescent="0.3">
      <c r="A127" s="144"/>
      <c r="B127" s="144"/>
      <c r="C127" s="145"/>
      <c r="D127" s="145"/>
      <c r="E127" s="145"/>
      <c r="F127" s="149"/>
      <c r="G127" s="145"/>
      <c r="H127" s="145"/>
      <c r="I127" s="49"/>
    </row>
    <row r="128" spans="1:10" ht="18.75" x14ac:dyDescent="0.3">
      <c r="A128" s="144"/>
      <c r="B128" s="144"/>
      <c r="C128" s="145"/>
      <c r="D128" s="145"/>
      <c r="E128" s="145"/>
      <c r="F128" s="149"/>
      <c r="G128" s="145"/>
      <c r="H128" s="145"/>
      <c r="I128" s="49"/>
    </row>
    <row r="129" spans="1:9" ht="18.75" x14ac:dyDescent="0.3">
      <c r="A129" s="144"/>
      <c r="B129" s="144"/>
      <c r="C129" s="145"/>
      <c r="D129" s="145"/>
      <c r="E129" s="145"/>
      <c r="F129" s="149"/>
      <c r="G129" s="145"/>
      <c r="H129" s="145"/>
      <c r="I129" s="49"/>
    </row>
    <row r="130" spans="1:9" ht="18.75" x14ac:dyDescent="0.3">
      <c r="A130" s="144"/>
      <c r="B130" s="144"/>
      <c r="C130" s="145"/>
      <c r="D130" s="145"/>
      <c r="E130" s="145"/>
      <c r="F130" s="149"/>
      <c r="G130" s="145"/>
      <c r="H130" s="145"/>
      <c r="I130" s="49"/>
    </row>
    <row r="131" spans="1:9" ht="18.75" x14ac:dyDescent="0.3">
      <c r="A131" s="144"/>
      <c r="B131" s="144"/>
      <c r="C131" s="145"/>
      <c r="D131" s="145"/>
      <c r="E131" s="145"/>
      <c r="F131" s="149"/>
      <c r="G131" s="145"/>
      <c r="H131" s="145"/>
      <c r="I131" s="49"/>
    </row>
    <row r="132" spans="1:9" ht="18.75" x14ac:dyDescent="0.3">
      <c r="A132" s="144"/>
      <c r="B132" s="144"/>
      <c r="C132" s="145"/>
      <c r="D132" s="145"/>
      <c r="E132" s="145"/>
      <c r="F132" s="149"/>
      <c r="G132" s="145"/>
      <c r="H132" s="145"/>
      <c r="I132" s="49"/>
    </row>
    <row r="133" spans="1:9" ht="18.75" x14ac:dyDescent="0.3">
      <c r="A133" s="144"/>
      <c r="B133" s="144"/>
      <c r="C133" s="145"/>
      <c r="D133" s="145"/>
      <c r="E133" s="145"/>
      <c r="F133" s="149"/>
      <c r="G133" s="145"/>
      <c r="H133" s="145"/>
      <c r="I133" s="4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1" priority="1" operator="greaterThan">
      <formula>0.02</formula>
    </cfRule>
  </conditionalFormatting>
  <conditionalFormatting sqref="D51">
    <cfRule type="cellIs" dxfId="30" priority="2" operator="greaterThan">
      <formula>0.02</formula>
    </cfRule>
  </conditionalFormatting>
  <conditionalFormatting sqref="H73">
    <cfRule type="cellIs" dxfId="29" priority="3" operator="greaterThan">
      <formula>0.02</formula>
    </cfRule>
  </conditionalFormatting>
  <conditionalFormatting sqref="D104">
    <cfRule type="cellIs" dxfId="28" priority="4" operator="greaterThan">
      <formula>0.02</formula>
    </cfRule>
  </conditionalFormatting>
  <conditionalFormatting sqref="I39">
    <cfRule type="cellIs" dxfId="27" priority="5" operator="lessThanOrEqual">
      <formula>0.02</formula>
    </cfRule>
  </conditionalFormatting>
  <conditionalFormatting sqref="I39">
    <cfRule type="cellIs" dxfId="26" priority="6" operator="greaterThan">
      <formula>0.02</formula>
    </cfRule>
  </conditionalFormatting>
  <conditionalFormatting sqref="I92">
    <cfRule type="cellIs" dxfId="25" priority="7" operator="lessThanOrEqual">
      <formula>0.02</formula>
    </cfRule>
  </conditionalFormatting>
  <conditionalFormatting sqref="I92">
    <cfRule type="cellIs" dxfId="24" priority="8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9" zoomScale="50" zoomScaleNormal="40" zoomScalePageLayoutView="50" workbookViewId="0">
      <selection activeCell="G112" sqref="G112"/>
    </sheetView>
  </sheetViews>
  <sheetFormatPr defaultColWidth="9.140625" defaultRowHeight="1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98" t="s">
        <v>25</v>
      </c>
      <c r="B1" s="598"/>
      <c r="C1" s="598"/>
      <c r="D1" s="598"/>
      <c r="E1" s="598"/>
      <c r="F1" s="598"/>
      <c r="G1" s="598"/>
      <c r="H1" s="598"/>
      <c r="I1" s="598"/>
    </row>
    <row r="2" spans="1:9" ht="18.75" customHeight="1" x14ac:dyDescent="0.25">
      <c r="A2" s="598"/>
      <c r="B2" s="598"/>
      <c r="C2" s="598"/>
      <c r="D2" s="598"/>
      <c r="E2" s="598"/>
      <c r="F2" s="598"/>
      <c r="G2" s="598"/>
      <c r="H2" s="598"/>
      <c r="I2" s="598"/>
    </row>
    <row r="3" spans="1:9" ht="18.75" customHeight="1" x14ac:dyDescent="0.25">
      <c r="A3" s="598"/>
      <c r="B3" s="598"/>
      <c r="C3" s="598"/>
      <c r="D3" s="598"/>
      <c r="E3" s="598"/>
      <c r="F3" s="598"/>
      <c r="G3" s="598"/>
      <c r="H3" s="598"/>
      <c r="I3" s="598"/>
    </row>
    <row r="4" spans="1:9" ht="18.75" customHeight="1" x14ac:dyDescent="0.25">
      <c r="A4" s="598"/>
      <c r="B4" s="598"/>
      <c r="C4" s="598"/>
      <c r="D4" s="598"/>
      <c r="E4" s="598"/>
      <c r="F4" s="598"/>
      <c r="G4" s="598"/>
      <c r="H4" s="598"/>
      <c r="I4" s="598"/>
    </row>
    <row r="5" spans="1:9" ht="18.75" customHeight="1" x14ac:dyDescent="0.25">
      <c r="A5" s="598"/>
      <c r="B5" s="598"/>
      <c r="C5" s="598"/>
      <c r="D5" s="598"/>
      <c r="E5" s="598"/>
      <c r="F5" s="598"/>
      <c r="G5" s="598"/>
      <c r="H5" s="598"/>
      <c r="I5" s="598"/>
    </row>
    <row r="6" spans="1:9" ht="18.75" customHeight="1" x14ac:dyDescent="0.25">
      <c r="A6" s="598"/>
      <c r="B6" s="598"/>
      <c r="C6" s="598"/>
      <c r="D6" s="598"/>
      <c r="E6" s="598"/>
      <c r="F6" s="598"/>
      <c r="G6" s="598"/>
      <c r="H6" s="598"/>
      <c r="I6" s="598"/>
    </row>
    <row r="7" spans="1:9" ht="18.75" customHeight="1" x14ac:dyDescent="0.25">
      <c r="A7" s="598"/>
      <c r="B7" s="598"/>
      <c r="C7" s="598"/>
      <c r="D7" s="598"/>
      <c r="E7" s="598"/>
      <c r="F7" s="598"/>
      <c r="G7" s="598"/>
      <c r="H7" s="598"/>
      <c r="I7" s="598"/>
    </row>
    <row r="8" spans="1:9" x14ac:dyDescent="0.25">
      <c r="A8" s="599" t="s">
        <v>26</v>
      </c>
      <c r="B8" s="599"/>
      <c r="C8" s="599"/>
      <c r="D8" s="599"/>
      <c r="E8" s="599"/>
      <c r="F8" s="599"/>
      <c r="G8" s="599"/>
      <c r="H8" s="599"/>
      <c r="I8" s="599"/>
    </row>
    <row r="9" spans="1:9" x14ac:dyDescent="0.25">
      <c r="A9" s="599"/>
      <c r="B9" s="599"/>
      <c r="C9" s="599"/>
      <c r="D9" s="599"/>
      <c r="E9" s="599"/>
      <c r="F9" s="599"/>
      <c r="G9" s="599"/>
      <c r="H9" s="599"/>
      <c r="I9" s="599"/>
    </row>
    <row r="10" spans="1:9" x14ac:dyDescent="0.25">
      <c r="A10" s="599"/>
      <c r="B10" s="599"/>
      <c r="C10" s="599"/>
      <c r="D10" s="599"/>
      <c r="E10" s="599"/>
      <c r="F10" s="599"/>
      <c r="G10" s="599"/>
      <c r="H10" s="599"/>
      <c r="I10" s="599"/>
    </row>
    <row r="11" spans="1:9" x14ac:dyDescent="0.25">
      <c r="A11" s="599"/>
      <c r="B11" s="599"/>
      <c r="C11" s="599"/>
      <c r="D11" s="599"/>
      <c r="E11" s="599"/>
      <c r="F11" s="599"/>
      <c r="G11" s="599"/>
      <c r="H11" s="599"/>
      <c r="I11" s="599"/>
    </row>
    <row r="12" spans="1:9" x14ac:dyDescent="0.25">
      <c r="A12" s="599"/>
      <c r="B12" s="599"/>
      <c r="C12" s="599"/>
      <c r="D12" s="599"/>
      <c r="E12" s="599"/>
      <c r="F12" s="599"/>
      <c r="G12" s="599"/>
      <c r="H12" s="599"/>
      <c r="I12" s="599"/>
    </row>
    <row r="13" spans="1:9" x14ac:dyDescent="0.25">
      <c r="A13" s="599"/>
      <c r="B13" s="599"/>
      <c r="C13" s="599"/>
      <c r="D13" s="599"/>
      <c r="E13" s="599"/>
      <c r="F13" s="599"/>
      <c r="G13" s="599"/>
      <c r="H13" s="599"/>
      <c r="I13" s="599"/>
    </row>
    <row r="14" spans="1:9" x14ac:dyDescent="0.25">
      <c r="A14" s="599"/>
      <c r="B14" s="599"/>
      <c r="C14" s="599"/>
      <c r="D14" s="599"/>
      <c r="E14" s="599"/>
      <c r="F14" s="599"/>
      <c r="G14" s="599"/>
      <c r="H14" s="599"/>
      <c r="I14" s="599"/>
    </row>
    <row r="15" spans="1:9" ht="19.5" customHeight="1" x14ac:dyDescent="0.3">
      <c r="A15" s="230"/>
    </row>
    <row r="16" spans="1:9" ht="19.5" customHeight="1" x14ac:dyDescent="0.3">
      <c r="A16" s="589" t="s">
        <v>0</v>
      </c>
      <c r="B16" s="590"/>
      <c r="C16" s="590"/>
      <c r="D16" s="590"/>
      <c r="E16" s="590"/>
      <c r="F16" s="590"/>
      <c r="G16" s="590"/>
      <c r="H16" s="620"/>
    </row>
    <row r="17" spans="1:14" ht="20.25" customHeight="1" x14ac:dyDescent="0.25">
      <c r="A17" s="621" t="s">
        <v>27</v>
      </c>
      <c r="B17" s="621"/>
      <c r="C17" s="621"/>
      <c r="D17" s="621"/>
      <c r="E17" s="621"/>
      <c r="F17" s="621"/>
      <c r="G17" s="621"/>
      <c r="H17" s="621"/>
    </row>
    <row r="18" spans="1:14" ht="26.25" customHeight="1" x14ac:dyDescent="0.4">
      <c r="A18" s="232" t="s">
        <v>2</v>
      </c>
      <c r="B18" s="623" t="s">
        <v>3</v>
      </c>
      <c r="C18" s="623"/>
      <c r="D18" s="402"/>
      <c r="E18" s="233"/>
      <c r="F18" s="234"/>
      <c r="G18" s="234"/>
      <c r="H18" s="234"/>
    </row>
    <row r="19" spans="1:14" ht="26.25" customHeight="1" x14ac:dyDescent="0.4">
      <c r="A19" s="232" t="s">
        <v>4</v>
      </c>
      <c r="B19" s="235" t="s">
        <v>5</v>
      </c>
      <c r="C19" s="404">
        <v>21</v>
      </c>
      <c r="D19" s="234"/>
      <c r="E19" s="234"/>
      <c r="F19" s="234"/>
      <c r="G19" s="234"/>
      <c r="H19" s="234"/>
    </row>
    <row r="20" spans="1:14" ht="26.25" customHeight="1" x14ac:dyDescent="0.4">
      <c r="A20" s="232" t="s">
        <v>6</v>
      </c>
      <c r="B20" s="622" t="s">
        <v>7</v>
      </c>
      <c r="C20" s="622"/>
      <c r="D20" s="234"/>
      <c r="E20" s="234"/>
      <c r="F20" s="234"/>
      <c r="G20" s="234"/>
      <c r="H20" s="234"/>
    </row>
    <row r="21" spans="1:14" ht="26.25" customHeight="1" x14ac:dyDescent="0.4">
      <c r="A21" s="232" t="s">
        <v>8</v>
      </c>
      <c r="B21" s="622" t="s">
        <v>9</v>
      </c>
      <c r="C21" s="622"/>
      <c r="D21" s="622"/>
      <c r="E21" s="622"/>
      <c r="F21" s="622"/>
      <c r="G21" s="622"/>
      <c r="H21" s="622"/>
      <c r="I21" s="236"/>
    </row>
    <row r="22" spans="1:14" ht="26.25" customHeight="1" x14ac:dyDescent="0.4">
      <c r="A22" s="232" t="s">
        <v>10</v>
      </c>
      <c r="B22" s="237" t="s">
        <v>11</v>
      </c>
      <c r="C22" s="234"/>
      <c r="D22" s="234"/>
      <c r="E22" s="234"/>
      <c r="F22" s="234"/>
      <c r="G22" s="234"/>
      <c r="H22" s="234"/>
    </row>
    <row r="23" spans="1:14" ht="26.25" customHeight="1" x14ac:dyDescent="0.4">
      <c r="A23" s="232" t="s">
        <v>12</v>
      </c>
      <c r="B23" s="48">
        <v>42299</v>
      </c>
      <c r="C23" s="234"/>
      <c r="D23" s="234"/>
      <c r="E23" s="234"/>
      <c r="F23" s="234"/>
      <c r="G23" s="234"/>
      <c r="H23" s="234"/>
    </row>
    <row r="24" spans="1:14" ht="18.75" x14ac:dyDescent="0.3">
      <c r="A24" s="232"/>
      <c r="B24" s="238"/>
    </row>
    <row r="25" spans="1:14" ht="18.75" x14ac:dyDescent="0.3">
      <c r="A25" s="239" t="s">
        <v>13</v>
      </c>
      <c r="B25" s="238"/>
    </row>
    <row r="26" spans="1:14" ht="26.25" customHeight="1" x14ac:dyDescent="0.4">
      <c r="A26" s="240" t="s">
        <v>28</v>
      </c>
      <c r="B26" s="623" t="s">
        <v>110</v>
      </c>
      <c r="C26" s="623"/>
    </row>
    <row r="27" spans="1:14" ht="26.25" customHeight="1" x14ac:dyDescent="0.4">
      <c r="A27" s="241" t="s">
        <v>29</v>
      </c>
      <c r="B27" s="592" t="s">
        <v>111</v>
      </c>
      <c r="C27" s="592"/>
    </row>
    <row r="28" spans="1:14" ht="27" customHeight="1" x14ac:dyDescent="0.4">
      <c r="A28" s="241" t="s">
        <v>30</v>
      </c>
      <c r="B28" s="242">
        <v>99.5</v>
      </c>
    </row>
    <row r="29" spans="1:14" s="15" customFormat="1" ht="27" customHeight="1" x14ac:dyDescent="0.4">
      <c r="A29" s="241" t="s">
        <v>31</v>
      </c>
      <c r="B29" s="243">
        <v>0</v>
      </c>
      <c r="C29" s="602" t="s">
        <v>70</v>
      </c>
      <c r="D29" s="603"/>
      <c r="E29" s="603"/>
      <c r="F29" s="603"/>
      <c r="G29" s="604"/>
      <c r="I29" s="244"/>
      <c r="J29" s="244"/>
      <c r="K29" s="244"/>
      <c r="L29" s="244"/>
    </row>
    <row r="30" spans="1:14" s="15" customFormat="1" ht="19.5" customHeight="1" x14ac:dyDescent="0.3">
      <c r="A30" s="241" t="s">
        <v>32</v>
      </c>
      <c r="B30" s="245">
        <f>B28-B29</f>
        <v>99.5</v>
      </c>
      <c r="C30" s="246"/>
      <c r="D30" s="246"/>
      <c r="E30" s="246"/>
      <c r="F30" s="246"/>
      <c r="G30" s="247"/>
      <c r="I30" s="244"/>
      <c r="J30" s="244"/>
      <c r="K30" s="244"/>
      <c r="L30" s="244"/>
    </row>
    <row r="31" spans="1:14" s="15" customFormat="1" ht="27" customHeight="1" x14ac:dyDescent="0.4">
      <c r="A31" s="241" t="s">
        <v>33</v>
      </c>
      <c r="B31" s="248">
        <v>199.16</v>
      </c>
      <c r="C31" s="593" t="s">
        <v>34</v>
      </c>
      <c r="D31" s="594"/>
      <c r="E31" s="594"/>
      <c r="F31" s="594"/>
      <c r="G31" s="594"/>
      <c r="H31" s="595"/>
      <c r="I31" s="244"/>
      <c r="J31" s="244"/>
      <c r="K31" s="244"/>
      <c r="L31" s="244"/>
    </row>
    <row r="32" spans="1:14" s="15" customFormat="1" ht="27" customHeight="1" x14ac:dyDescent="0.4">
      <c r="A32" s="241" t="s">
        <v>35</v>
      </c>
      <c r="B32" s="248">
        <v>205.09</v>
      </c>
      <c r="C32" s="593" t="s">
        <v>36</v>
      </c>
      <c r="D32" s="594"/>
      <c r="E32" s="594"/>
      <c r="F32" s="594"/>
      <c r="G32" s="594"/>
      <c r="H32" s="595"/>
      <c r="I32" s="244"/>
      <c r="J32" s="244"/>
      <c r="K32" s="244"/>
      <c r="L32" s="249"/>
      <c r="M32" s="249"/>
      <c r="N32" s="250"/>
    </row>
    <row r="33" spans="1:14" s="15" customFormat="1" ht="17.25" customHeight="1" x14ac:dyDescent="0.3">
      <c r="A33" s="241"/>
      <c r="B33" s="251"/>
      <c r="C33" s="252"/>
      <c r="D33" s="252"/>
      <c r="E33" s="252"/>
      <c r="F33" s="252"/>
      <c r="G33" s="252"/>
      <c r="H33" s="252"/>
      <c r="I33" s="244"/>
      <c r="J33" s="244"/>
      <c r="K33" s="244"/>
      <c r="L33" s="249"/>
      <c r="M33" s="249"/>
      <c r="N33" s="250"/>
    </row>
    <row r="34" spans="1:14" s="15" customFormat="1" ht="18.75" x14ac:dyDescent="0.3">
      <c r="A34" s="241" t="s">
        <v>37</v>
      </c>
      <c r="B34" s="253">
        <f>B31/B32</f>
        <v>0.97108586474230818</v>
      </c>
      <c r="C34" s="231" t="s">
        <v>38</v>
      </c>
      <c r="D34" s="231"/>
      <c r="E34" s="231"/>
      <c r="F34" s="231"/>
      <c r="G34" s="231"/>
      <c r="I34" s="244"/>
      <c r="J34" s="244"/>
      <c r="K34" s="244"/>
      <c r="L34" s="249"/>
      <c r="M34" s="249"/>
      <c r="N34" s="250"/>
    </row>
    <row r="35" spans="1:14" s="15" customFormat="1" ht="19.5" customHeight="1" x14ac:dyDescent="0.3">
      <c r="A35" s="241"/>
      <c r="B35" s="245"/>
      <c r="G35" s="231"/>
      <c r="I35" s="244"/>
      <c r="J35" s="244"/>
      <c r="K35" s="244"/>
      <c r="L35" s="249"/>
      <c r="M35" s="249"/>
      <c r="N35" s="250"/>
    </row>
    <row r="36" spans="1:14" s="15" customFormat="1" ht="27" customHeight="1" x14ac:dyDescent="0.4">
      <c r="A36" s="254" t="s">
        <v>71</v>
      </c>
      <c r="B36" s="255">
        <v>50</v>
      </c>
      <c r="C36" s="231"/>
      <c r="D36" s="596" t="s">
        <v>39</v>
      </c>
      <c r="E36" s="619"/>
      <c r="F36" s="596" t="s">
        <v>40</v>
      </c>
      <c r="G36" s="597"/>
      <c r="J36" s="244"/>
      <c r="K36" s="244"/>
      <c r="L36" s="249"/>
      <c r="M36" s="249"/>
      <c r="N36" s="250"/>
    </row>
    <row r="37" spans="1:14" s="15" customFormat="1" ht="27" customHeight="1" x14ac:dyDescent="0.4">
      <c r="A37" s="256" t="s">
        <v>41</v>
      </c>
      <c r="B37" s="257">
        <v>1</v>
      </c>
      <c r="C37" s="258" t="s">
        <v>42</v>
      </c>
      <c r="D37" s="259" t="s">
        <v>43</v>
      </c>
      <c r="E37" s="260" t="s">
        <v>44</v>
      </c>
      <c r="F37" s="259" t="s">
        <v>43</v>
      </c>
      <c r="G37" s="261" t="s">
        <v>44</v>
      </c>
      <c r="I37" s="262" t="s">
        <v>72</v>
      </c>
      <c r="J37" s="244"/>
      <c r="K37" s="244"/>
      <c r="L37" s="249"/>
      <c r="M37" s="249"/>
      <c r="N37" s="250"/>
    </row>
    <row r="38" spans="1:14" s="15" customFormat="1" ht="26.25" customHeight="1" x14ac:dyDescent="0.4">
      <c r="A38" s="256" t="s">
        <v>45</v>
      </c>
      <c r="B38" s="257">
        <v>1</v>
      </c>
      <c r="C38" s="263">
        <v>1</v>
      </c>
      <c r="D38" s="264">
        <v>131881430</v>
      </c>
      <c r="E38" s="265">
        <f>IF(ISBLANK(D38),"-",$D$48/$D$45*D38)</f>
        <v>126146636.01029336</v>
      </c>
      <c r="F38" s="264">
        <v>152694737</v>
      </c>
      <c r="G38" s="266">
        <f>IF(ISBLANK(F38),"-",$D$48/$F$45*F38)</f>
        <v>124532220.77907807</v>
      </c>
      <c r="I38" s="267"/>
      <c r="J38" s="244"/>
      <c r="K38" s="244"/>
      <c r="L38" s="249"/>
      <c r="M38" s="249"/>
      <c r="N38" s="250"/>
    </row>
    <row r="39" spans="1:14" s="15" customFormat="1" ht="26.25" customHeight="1" x14ac:dyDescent="0.4">
      <c r="A39" s="256" t="s">
        <v>46</v>
      </c>
      <c r="B39" s="257">
        <v>1</v>
      </c>
      <c r="C39" s="268">
        <v>2</v>
      </c>
      <c r="D39" s="269">
        <v>131345064</v>
      </c>
      <c r="E39" s="270">
        <f>IF(ISBLANK(D39),"-",$D$48/$D$45*D39)</f>
        <v>125633593.60113616</v>
      </c>
      <c r="F39" s="269">
        <v>152489453</v>
      </c>
      <c r="G39" s="271">
        <f>IF(ISBLANK(F39),"-",$D$48/$F$45*F39)</f>
        <v>124364798.6863938</v>
      </c>
      <c r="I39" s="605">
        <f>ABS((F43/D43*D42)-F42)/D42</f>
        <v>1.4313854277079763E-2</v>
      </c>
      <c r="J39" s="244"/>
      <c r="K39" s="244"/>
      <c r="L39" s="249"/>
      <c r="M39" s="249"/>
      <c r="N39" s="250"/>
    </row>
    <row r="40" spans="1:14" ht="26.25" customHeight="1" x14ac:dyDescent="0.4">
      <c r="A40" s="256" t="s">
        <v>47</v>
      </c>
      <c r="B40" s="257">
        <v>1</v>
      </c>
      <c r="C40" s="268">
        <v>3</v>
      </c>
      <c r="D40" s="269">
        <v>131582605</v>
      </c>
      <c r="E40" s="270">
        <f>IF(ISBLANK(D40),"-",$D$48/$D$45*D40)</f>
        <v>125860805.25682205</v>
      </c>
      <c r="F40" s="269">
        <v>152207774</v>
      </c>
      <c r="G40" s="271">
        <f>IF(ISBLANK(F40),"-",$D$48/$F$45*F40)</f>
        <v>124135071.63681756</v>
      </c>
      <c r="I40" s="605"/>
      <c r="L40" s="249"/>
      <c r="M40" s="249"/>
      <c r="N40" s="272"/>
    </row>
    <row r="41" spans="1:14" ht="27" customHeight="1" x14ac:dyDescent="0.4">
      <c r="A41" s="256" t="s">
        <v>48</v>
      </c>
      <c r="B41" s="257">
        <v>1</v>
      </c>
      <c r="C41" s="273">
        <v>4</v>
      </c>
      <c r="D41" s="274"/>
      <c r="E41" s="275" t="str">
        <f>IF(ISBLANK(D41),"-",$D$48/$D$45*D41)</f>
        <v>-</v>
      </c>
      <c r="F41" s="274"/>
      <c r="G41" s="276" t="str">
        <f>IF(ISBLANK(F41),"-",$D$48/$F$45*F41)</f>
        <v>-</v>
      </c>
      <c r="I41" s="277"/>
      <c r="L41" s="249"/>
      <c r="M41" s="249"/>
      <c r="N41" s="272"/>
    </row>
    <row r="42" spans="1:14" ht="27" customHeight="1" x14ac:dyDescent="0.4">
      <c r="A42" s="256" t="s">
        <v>49</v>
      </c>
      <c r="B42" s="257">
        <v>1</v>
      </c>
      <c r="C42" s="278" t="s">
        <v>50</v>
      </c>
      <c r="D42" s="279">
        <f>AVERAGE(D38:D41)</f>
        <v>131603033</v>
      </c>
      <c r="E42" s="280">
        <f>AVERAGE(E38:E41)</f>
        <v>125880344.95608385</v>
      </c>
      <c r="F42" s="279">
        <f>AVERAGE(F38:F41)</f>
        <v>152463988</v>
      </c>
      <c r="G42" s="281">
        <f>AVERAGE(G38:G41)</f>
        <v>124344030.36742981</v>
      </c>
      <c r="H42" s="282"/>
    </row>
    <row r="43" spans="1:14" ht="26.25" customHeight="1" x14ac:dyDescent="0.4">
      <c r="A43" s="256" t="s">
        <v>51</v>
      </c>
      <c r="B43" s="257">
        <v>1</v>
      </c>
      <c r="C43" s="283" t="s">
        <v>73</v>
      </c>
      <c r="D43" s="284">
        <v>10.82</v>
      </c>
      <c r="E43" s="272"/>
      <c r="F43" s="284">
        <v>12.69</v>
      </c>
      <c r="H43" s="282"/>
    </row>
    <row r="44" spans="1:14" ht="26.25" customHeight="1" x14ac:dyDescent="0.4">
      <c r="A44" s="256" t="s">
        <v>53</v>
      </c>
      <c r="B44" s="257">
        <v>1</v>
      </c>
      <c r="C44" s="285" t="s">
        <v>74</v>
      </c>
      <c r="D44" s="286">
        <f>D43*$B$34</f>
        <v>10.507149056511775</v>
      </c>
      <c r="E44" s="287"/>
      <c r="F44" s="286">
        <f>F43*$B$34</f>
        <v>12.32307962357989</v>
      </c>
      <c r="H44" s="282"/>
    </row>
    <row r="45" spans="1:14" ht="19.5" customHeight="1" x14ac:dyDescent="0.3">
      <c r="A45" s="256" t="s">
        <v>55</v>
      </c>
      <c r="B45" s="288">
        <f>(B44/B43)*(B42/B41)*(B40/B39)*(B38/B37)*B36</f>
        <v>50</v>
      </c>
      <c r="C45" s="285" t="s">
        <v>56</v>
      </c>
      <c r="D45" s="289">
        <f>D44*$B$30/100</f>
        <v>10.454613311229217</v>
      </c>
      <c r="E45" s="290"/>
      <c r="F45" s="289">
        <f>F44*$B$30/100</f>
        <v>12.261464225461991</v>
      </c>
      <c r="H45" s="282"/>
    </row>
    <row r="46" spans="1:14" ht="19.5" customHeight="1" x14ac:dyDescent="0.3">
      <c r="A46" s="585" t="s">
        <v>57</v>
      </c>
      <c r="B46" s="586"/>
      <c r="C46" s="285" t="s">
        <v>58</v>
      </c>
      <c r="D46" s="291">
        <f>D45/$B$45</f>
        <v>0.20909226622458432</v>
      </c>
      <c r="E46" s="292"/>
      <c r="F46" s="293">
        <f>F45/$B$45</f>
        <v>0.24522928450923981</v>
      </c>
      <c r="H46" s="282"/>
    </row>
    <row r="47" spans="1:14" ht="27" customHeight="1" x14ac:dyDescent="0.4">
      <c r="A47" s="587"/>
      <c r="B47" s="588"/>
      <c r="C47" s="294" t="s">
        <v>75</v>
      </c>
      <c r="D47" s="295">
        <v>0.2</v>
      </c>
      <c r="E47" s="296"/>
      <c r="F47" s="292"/>
      <c r="H47" s="282"/>
    </row>
    <row r="48" spans="1:14" ht="18.75" x14ac:dyDescent="0.3">
      <c r="C48" s="297" t="s">
        <v>59</v>
      </c>
      <c r="D48" s="289">
        <f>D47*$B$45</f>
        <v>10</v>
      </c>
      <c r="F48" s="298"/>
      <c r="H48" s="282"/>
    </row>
    <row r="49" spans="1:12" ht="19.5" customHeight="1" x14ac:dyDescent="0.3">
      <c r="C49" s="299" t="s">
        <v>60</v>
      </c>
      <c r="D49" s="300">
        <f>D48/B34</f>
        <v>10.297750552319744</v>
      </c>
      <c r="F49" s="298"/>
      <c r="H49" s="282"/>
    </row>
    <row r="50" spans="1:12" ht="18.75" x14ac:dyDescent="0.3">
      <c r="C50" s="254" t="s">
        <v>61</v>
      </c>
      <c r="D50" s="301">
        <f>AVERAGE(E38:E41,G38:G41)</f>
        <v>125112187.66175683</v>
      </c>
      <c r="F50" s="302"/>
      <c r="H50" s="282"/>
    </row>
    <row r="51" spans="1:12" ht="18.75" x14ac:dyDescent="0.3">
      <c r="C51" s="256" t="s">
        <v>62</v>
      </c>
      <c r="D51" s="303">
        <f>STDEV(E38:E41,G38:G41)/D50</f>
        <v>6.9239133364278112E-3</v>
      </c>
      <c r="F51" s="302"/>
      <c r="H51" s="282"/>
    </row>
    <row r="52" spans="1:12" ht="19.5" customHeight="1" x14ac:dyDescent="0.3">
      <c r="C52" s="304" t="s">
        <v>63</v>
      </c>
      <c r="D52" s="305">
        <f>COUNT(E38:E41,G38:G41)</f>
        <v>6</v>
      </c>
      <c r="F52" s="302"/>
    </row>
    <row r="54" spans="1:12" ht="18.75" x14ac:dyDescent="0.3">
      <c r="A54" s="306" t="s">
        <v>13</v>
      </c>
      <c r="B54" s="307" t="s">
        <v>64</v>
      </c>
    </row>
    <row r="55" spans="1:12" ht="18.75" x14ac:dyDescent="0.3">
      <c r="A55" s="231" t="s">
        <v>65</v>
      </c>
      <c r="B55" s="308" t="str">
        <f>B21</f>
        <v xml:space="preserve">Each fil coated tablet contains: Amoxicillin trihydrate Ph. Eur. equivalent to Amoxicillin 500mg
Potassium Clavulanate Ph. Eur. equivalent to clavulanic acid 25mg </v>
      </c>
    </row>
    <row r="56" spans="1:12" ht="26.25" customHeight="1" x14ac:dyDescent="0.4">
      <c r="A56" s="309" t="s">
        <v>66</v>
      </c>
      <c r="B56" s="310">
        <v>125</v>
      </c>
      <c r="C56" s="231" t="str">
        <f>B20</f>
        <v>Amoxicillin &amp; Clavulanate Potassium</v>
      </c>
      <c r="H56" s="311"/>
    </row>
    <row r="57" spans="1:12" ht="18.75" x14ac:dyDescent="0.3">
      <c r="A57" s="308" t="s">
        <v>67</v>
      </c>
      <c r="B57" s="403">
        <f>Uniformity!C46</f>
        <v>1028.1839999999997</v>
      </c>
      <c r="H57" s="311"/>
    </row>
    <row r="58" spans="1:12" ht="19.5" customHeight="1" x14ac:dyDescent="0.3">
      <c r="H58" s="311"/>
    </row>
    <row r="59" spans="1:12" s="15" customFormat="1" ht="27" customHeight="1" x14ac:dyDescent="0.4">
      <c r="A59" s="254" t="s">
        <v>76</v>
      </c>
      <c r="B59" s="255">
        <v>100</v>
      </c>
      <c r="C59" s="231"/>
      <c r="D59" s="312" t="s">
        <v>77</v>
      </c>
      <c r="E59" s="313" t="s">
        <v>42</v>
      </c>
      <c r="F59" s="313" t="s">
        <v>43</v>
      </c>
      <c r="G59" s="313" t="s">
        <v>78</v>
      </c>
      <c r="H59" s="258" t="s">
        <v>79</v>
      </c>
      <c r="L59" s="244"/>
    </row>
    <row r="60" spans="1:12" s="15" customFormat="1" ht="26.25" customHeight="1" x14ac:dyDescent="0.4">
      <c r="A60" s="256" t="s">
        <v>80</v>
      </c>
      <c r="B60" s="257">
        <v>2</v>
      </c>
      <c r="C60" s="608" t="s">
        <v>81</v>
      </c>
      <c r="D60" s="611">
        <v>1022.63</v>
      </c>
      <c r="E60" s="314">
        <v>1</v>
      </c>
      <c r="F60" s="315">
        <v>74072420</v>
      </c>
      <c r="G60" s="405">
        <f>IF(ISBLANK(F60),"-",(F60/$D$50*$D$47*$B$68)*($B$57/$D$60))</f>
        <v>119.0526929350799</v>
      </c>
      <c r="H60" s="316">
        <f t="shared" ref="H60:H71" si="0">IF(ISBLANK(F60),"-",G60/$B$56)</f>
        <v>0.95242154348063923</v>
      </c>
      <c r="L60" s="244"/>
    </row>
    <row r="61" spans="1:12" s="15" customFormat="1" ht="26.25" customHeight="1" x14ac:dyDescent="0.4">
      <c r="A61" s="256" t="s">
        <v>82</v>
      </c>
      <c r="B61" s="257">
        <v>20</v>
      </c>
      <c r="C61" s="609"/>
      <c r="D61" s="612"/>
      <c r="E61" s="317">
        <v>2</v>
      </c>
      <c r="F61" s="269">
        <v>73975789</v>
      </c>
      <c r="G61" s="406">
        <f>IF(ISBLANK(F61),"-",(F61/$D$50*$D$47*$B$68)*($B$57/$D$60))</f>
        <v>118.89738302660099</v>
      </c>
      <c r="H61" s="318">
        <f t="shared" si="0"/>
        <v>0.95117906421280796</v>
      </c>
      <c r="L61" s="244"/>
    </row>
    <row r="62" spans="1:12" s="15" customFormat="1" ht="26.25" customHeight="1" x14ac:dyDescent="0.4">
      <c r="A62" s="256" t="s">
        <v>83</v>
      </c>
      <c r="B62" s="257">
        <v>1</v>
      </c>
      <c r="C62" s="609"/>
      <c r="D62" s="612"/>
      <c r="E62" s="317">
        <v>3</v>
      </c>
      <c r="F62" s="319">
        <v>73912653</v>
      </c>
      <c r="G62" s="406">
        <f>IF(ISBLANK(F62),"-",(F62/$D$50*$D$47*$B$68)*($B$57/$D$60))</f>
        <v>118.79590786457511</v>
      </c>
      <c r="H62" s="318">
        <f t="shared" si="0"/>
        <v>0.9503672629166009</v>
      </c>
      <c r="L62" s="244"/>
    </row>
    <row r="63" spans="1:12" ht="27" customHeight="1" x14ac:dyDescent="0.4">
      <c r="A63" s="256" t="s">
        <v>84</v>
      </c>
      <c r="B63" s="257">
        <v>1</v>
      </c>
      <c r="C63" s="618"/>
      <c r="D63" s="613"/>
      <c r="E63" s="320">
        <v>4</v>
      </c>
      <c r="F63" s="321"/>
      <c r="G63" s="406" t="str">
        <f>IF(ISBLANK(F63),"-",(F63/$D$50*$D$47*$B$68)*($B$57/$D$60))</f>
        <v>-</v>
      </c>
      <c r="H63" s="318" t="str">
        <f t="shared" si="0"/>
        <v>-</v>
      </c>
    </row>
    <row r="64" spans="1:12" ht="26.25" customHeight="1" x14ac:dyDescent="0.4">
      <c r="A64" s="256" t="s">
        <v>85</v>
      </c>
      <c r="B64" s="257">
        <v>1</v>
      </c>
      <c r="C64" s="608" t="s">
        <v>86</v>
      </c>
      <c r="D64" s="611">
        <v>1031.3</v>
      </c>
      <c r="E64" s="314">
        <v>1</v>
      </c>
      <c r="F64" s="315">
        <v>73135851</v>
      </c>
      <c r="G64" s="407">
        <f>IF(ISBLANK(F64),"-",(F64/$D$50*$D$47*$B$68)*($B$57/$D$64))</f>
        <v>116.55918989549633</v>
      </c>
      <c r="H64" s="322">
        <f t="shared" si="0"/>
        <v>0.9324735191639707</v>
      </c>
    </row>
    <row r="65" spans="1:8" ht="26.25" customHeight="1" x14ac:dyDescent="0.4">
      <c r="A65" s="256" t="s">
        <v>87</v>
      </c>
      <c r="B65" s="257">
        <v>1</v>
      </c>
      <c r="C65" s="609"/>
      <c r="D65" s="612"/>
      <c r="E65" s="317">
        <v>2</v>
      </c>
      <c r="F65" s="269">
        <v>73070228</v>
      </c>
      <c r="G65" s="408">
        <f>IF(ISBLANK(F65),"-",(F65/$D$50*$D$47*$B$68)*($B$57/$D$64))</f>
        <v>116.45460420169599</v>
      </c>
      <c r="H65" s="323">
        <f t="shared" si="0"/>
        <v>0.93163683361356786</v>
      </c>
    </row>
    <row r="66" spans="1:8" ht="26.25" customHeight="1" x14ac:dyDescent="0.4">
      <c r="A66" s="256" t="s">
        <v>88</v>
      </c>
      <c r="B66" s="257">
        <v>1</v>
      </c>
      <c r="C66" s="609"/>
      <c r="D66" s="612"/>
      <c r="E66" s="317">
        <v>3</v>
      </c>
      <c r="F66" s="269">
        <v>72999223</v>
      </c>
      <c r="G66" s="408">
        <f>IF(ISBLANK(F66),"-",(F66/$D$50*$D$47*$B$68)*($B$57/$D$64))</f>
        <v>116.34144102432997</v>
      </c>
      <c r="H66" s="323">
        <f t="shared" si="0"/>
        <v>0.93073152819463978</v>
      </c>
    </row>
    <row r="67" spans="1:8" ht="27" customHeight="1" x14ac:dyDescent="0.4">
      <c r="A67" s="256" t="s">
        <v>89</v>
      </c>
      <c r="B67" s="257">
        <v>1</v>
      </c>
      <c r="C67" s="618"/>
      <c r="D67" s="613"/>
      <c r="E67" s="320">
        <v>4</v>
      </c>
      <c r="F67" s="321"/>
      <c r="G67" s="409" t="str">
        <f>IF(ISBLANK(F67),"-",(F67/$D$50*$D$47*$B$68)*($B$57/$D$64))</f>
        <v>-</v>
      </c>
      <c r="H67" s="324" t="str">
        <f t="shared" si="0"/>
        <v>-</v>
      </c>
    </row>
    <row r="68" spans="1:8" ht="26.25" customHeight="1" x14ac:dyDescent="0.4">
      <c r="A68" s="256" t="s">
        <v>90</v>
      </c>
      <c r="B68" s="325">
        <f>(B67/B66)*(B65/B64)*(B63/B62)*(B61/B60)*B59</f>
        <v>1000</v>
      </c>
      <c r="C68" s="608" t="s">
        <v>91</v>
      </c>
      <c r="D68" s="611">
        <v>1052.6199999999999</v>
      </c>
      <c r="E68" s="314">
        <v>1</v>
      </c>
      <c r="F68" s="315">
        <v>73197776</v>
      </c>
      <c r="G68" s="407">
        <f>IF(ISBLANK(F68),"-",(F68/$D$50*$D$47*$B$68)*($B$57/$D$68))</f>
        <v>114.29506722393327</v>
      </c>
      <c r="H68" s="318">
        <f t="shared" si="0"/>
        <v>0.9143605377914662</v>
      </c>
    </row>
    <row r="69" spans="1:8" ht="27" customHeight="1" x14ac:dyDescent="0.4">
      <c r="A69" s="304" t="s">
        <v>92</v>
      </c>
      <c r="B69" s="326">
        <f>(D47*B68)/B56*B57</f>
        <v>1645.0943999999997</v>
      </c>
      <c r="C69" s="609"/>
      <c r="D69" s="612"/>
      <c r="E69" s="317">
        <v>2</v>
      </c>
      <c r="F69" s="269">
        <v>73230039</v>
      </c>
      <c r="G69" s="408">
        <f>IF(ISBLANK(F69),"-",(F69/$D$50*$D$47*$B$68)*($B$57/$D$68))</f>
        <v>114.34544446154011</v>
      </c>
      <c r="H69" s="318">
        <f t="shared" si="0"/>
        <v>0.91476355569232093</v>
      </c>
    </row>
    <row r="70" spans="1:8" ht="26.25" customHeight="1" x14ac:dyDescent="0.4">
      <c r="A70" s="614" t="s">
        <v>57</v>
      </c>
      <c r="B70" s="615"/>
      <c r="C70" s="609"/>
      <c r="D70" s="612"/>
      <c r="E70" s="317">
        <v>3</v>
      </c>
      <c r="F70" s="269">
        <v>73169942</v>
      </c>
      <c r="G70" s="408">
        <f>IF(ISBLANK(F70),"-",(F70/$D$50*$D$47*$B$68)*($B$57/$D$68))</f>
        <v>114.25160567257259</v>
      </c>
      <c r="H70" s="318">
        <f t="shared" si="0"/>
        <v>0.91401284538058081</v>
      </c>
    </row>
    <row r="71" spans="1:8" ht="27" customHeight="1" x14ac:dyDescent="0.4">
      <c r="A71" s="616"/>
      <c r="B71" s="617"/>
      <c r="C71" s="610"/>
      <c r="D71" s="613"/>
      <c r="E71" s="320">
        <v>4</v>
      </c>
      <c r="F71" s="321"/>
      <c r="G71" s="409" t="str">
        <f>IF(ISBLANK(F71),"-",(F71/$D$50*$D$47*$B$68)*($B$57/$D$68))</f>
        <v>-</v>
      </c>
      <c r="H71" s="327" t="str">
        <f t="shared" si="0"/>
        <v>-</v>
      </c>
    </row>
    <row r="72" spans="1:8" ht="26.25" customHeight="1" x14ac:dyDescent="0.4">
      <c r="A72" s="328"/>
      <c r="B72" s="328"/>
      <c r="C72" s="328"/>
      <c r="D72" s="328"/>
      <c r="E72" s="328"/>
      <c r="F72" s="329"/>
      <c r="G72" s="330" t="s">
        <v>50</v>
      </c>
      <c r="H72" s="331">
        <f>AVERAGE(H60:H71)</f>
        <v>0.93243852116073278</v>
      </c>
    </row>
    <row r="73" spans="1:8" ht="26.25" customHeight="1" x14ac:dyDescent="0.4">
      <c r="C73" s="328"/>
      <c r="D73" s="328"/>
      <c r="E73" s="328"/>
      <c r="F73" s="329"/>
      <c r="G73" s="332" t="s">
        <v>62</v>
      </c>
      <c r="H73" s="410">
        <f>STDEV(H60:H71)/H72</f>
        <v>1.7185471671164042E-2</v>
      </c>
    </row>
    <row r="74" spans="1:8" ht="27" customHeight="1" x14ac:dyDescent="0.4">
      <c r="A74" s="328"/>
      <c r="B74" s="328"/>
      <c r="C74" s="329"/>
      <c r="D74" s="329"/>
      <c r="E74" s="333"/>
      <c r="F74" s="329"/>
      <c r="G74" s="334" t="s">
        <v>63</v>
      </c>
      <c r="H74" s="335">
        <f>COUNT(H60:H71)</f>
        <v>9</v>
      </c>
    </row>
    <row r="76" spans="1:8" ht="26.25" customHeight="1" x14ac:dyDescent="0.4">
      <c r="A76" s="240" t="s">
        <v>93</v>
      </c>
      <c r="B76" s="336" t="s">
        <v>68</v>
      </c>
      <c r="C76" s="600" t="str">
        <f>B20</f>
        <v>Amoxicillin &amp; Clavulanate Potassium</v>
      </c>
      <c r="D76" s="600"/>
      <c r="E76" s="337" t="s">
        <v>69</v>
      </c>
      <c r="F76" s="337"/>
      <c r="G76" s="338">
        <f>H72</f>
        <v>0.93243852116073278</v>
      </c>
      <c r="H76" s="339"/>
    </row>
    <row r="77" spans="1:8" ht="18.75" x14ac:dyDescent="0.3">
      <c r="A77" s="239" t="s">
        <v>94</v>
      </c>
      <c r="B77" s="239" t="s">
        <v>95</v>
      </c>
    </row>
    <row r="78" spans="1:8" ht="18.75" x14ac:dyDescent="0.3">
      <c r="A78" s="239"/>
      <c r="B78" s="239"/>
    </row>
    <row r="79" spans="1:8" ht="26.25" customHeight="1" x14ac:dyDescent="0.4">
      <c r="A79" s="240" t="s">
        <v>28</v>
      </c>
      <c r="B79" s="591" t="str">
        <f>B26</f>
        <v>Clavulanate lithium</v>
      </c>
      <c r="C79" s="591"/>
    </row>
    <row r="80" spans="1:8" ht="26.25" customHeight="1" x14ac:dyDescent="0.4">
      <c r="A80" s="241" t="s">
        <v>29</v>
      </c>
      <c r="B80" s="591" t="str">
        <f>B27</f>
        <v>C14 1</v>
      </c>
      <c r="C80" s="591"/>
    </row>
    <row r="81" spans="1:12" ht="27" customHeight="1" x14ac:dyDescent="0.4">
      <c r="A81" s="241" t="s">
        <v>30</v>
      </c>
      <c r="B81" s="340">
        <v>99.5</v>
      </c>
    </row>
    <row r="82" spans="1:12" s="15" customFormat="1" ht="27" customHeight="1" x14ac:dyDescent="0.4">
      <c r="A82" s="241" t="s">
        <v>31</v>
      </c>
      <c r="B82" s="243">
        <v>0</v>
      </c>
      <c r="C82" s="602" t="s">
        <v>70</v>
      </c>
      <c r="D82" s="603"/>
      <c r="E82" s="603"/>
      <c r="F82" s="603"/>
      <c r="G82" s="604"/>
      <c r="I82" s="244"/>
      <c r="J82" s="244"/>
      <c r="K82" s="244"/>
      <c r="L82" s="244"/>
    </row>
    <row r="83" spans="1:12" s="15" customFormat="1" ht="19.5" customHeight="1" x14ac:dyDescent="0.3">
      <c r="A83" s="241" t="s">
        <v>32</v>
      </c>
      <c r="B83" s="245">
        <f>B81-B82</f>
        <v>99.5</v>
      </c>
      <c r="C83" s="246"/>
      <c r="D83" s="246"/>
      <c r="E83" s="246"/>
      <c r="F83" s="246"/>
      <c r="G83" s="247"/>
      <c r="I83" s="244"/>
      <c r="J83" s="244"/>
      <c r="K83" s="244"/>
      <c r="L83" s="244"/>
    </row>
    <row r="84" spans="1:12" s="15" customFormat="1" ht="27" customHeight="1" x14ac:dyDescent="0.4">
      <c r="A84" s="241" t="s">
        <v>33</v>
      </c>
      <c r="B84" s="424">
        <v>199.16</v>
      </c>
      <c r="C84" s="593" t="s">
        <v>96</v>
      </c>
      <c r="D84" s="594"/>
      <c r="E84" s="594"/>
      <c r="F84" s="594"/>
      <c r="G84" s="594"/>
      <c r="H84" s="595"/>
      <c r="I84" s="244"/>
      <c r="J84" s="244"/>
      <c r="K84" s="244"/>
      <c r="L84" s="244"/>
    </row>
    <row r="85" spans="1:12" s="15" customFormat="1" ht="27" customHeight="1" x14ac:dyDescent="0.4">
      <c r="A85" s="241" t="s">
        <v>35</v>
      </c>
      <c r="B85" s="424">
        <v>205.09</v>
      </c>
      <c r="C85" s="593" t="s">
        <v>97</v>
      </c>
      <c r="D85" s="594"/>
      <c r="E85" s="594"/>
      <c r="F85" s="594"/>
      <c r="G85" s="594"/>
      <c r="H85" s="595"/>
      <c r="I85" s="244"/>
      <c r="J85" s="244"/>
      <c r="K85" s="244"/>
      <c r="L85" s="244"/>
    </row>
    <row r="86" spans="1:12" s="15" customFormat="1" ht="18.75" x14ac:dyDescent="0.3">
      <c r="A86" s="241"/>
      <c r="B86" s="251"/>
      <c r="C86" s="252"/>
      <c r="D86" s="252"/>
      <c r="E86" s="252"/>
      <c r="F86" s="252"/>
      <c r="G86" s="252"/>
      <c r="H86" s="252"/>
      <c r="I86" s="244"/>
      <c r="J86" s="244"/>
      <c r="K86" s="244"/>
      <c r="L86" s="244"/>
    </row>
    <row r="87" spans="1:12" s="15" customFormat="1" ht="18.75" x14ac:dyDescent="0.3">
      <c r="A87" s="241" t="s">
        <v>37</v>
      </c>
      <c r="B87" s="253">
        <f>B84/B85</f>
        <v>0.97108586474230818</v>
      </c>
      <c r="C87" s="231" t="s">
        <v>38</v>
      </c>
      <c r="D87" s="231"/>
      <c r="E87" s="231"/>
      <c r="F87" s="231"/>
      <c r="G87" s="231"/>
      <c r="I87" s="244"/>
      <c r="J87" s="244"/>
      <c r="K87" s="244"/>
      <c r="L87" s="244"/>
    </row>
    <row r="88" spans="1:12" ht="19.5" customHeight="1" x14ac:dyDescent="0.3">
      <c r="A88" s="239"/>
      <c r="B88" s="239"/>
    </row>
    <row r="89" spans="1:12" ht="27" customHeight="1" x14ac:dyDescent="0.4">
      <c r="A89" s="254" t="s">
        <v>71</v>
      </c>
      <c r="B89" s="255">
        <v>50</v>
      </c>
      <c r="D89" s="341" t="s">
        <v>39</v>
      </c>
      <c r="E89" s="342"/>
      <c r="F89" s="596" t="s">
        <v>40</v>
      </c>
      <c r="G89" s="597"/>
    </row>
    <row r="90" spans="1:12" ht="27" customHeight="1" x14ac:dyDescent="0.4">
      <c r="A90" s="256" t="s">
        <v>41</v>
      </c>
      <c r="B90" s="257">
        <v>1</v>
      </c>
      <c r="C90" s="343" t="s">
        <v>42</v>
      </c>
      <c r="D90" s="259" t="s">
        <v>43</v>
      </c>
      <c r="E90" s="260" t="s">
        <v>44</v>
      </c>
      <c r="F90" s="259" t="s">
        <v>43</v>
      </c>
      <c r="G90" s="344" t="s">
        <v>44</v>
      </c>
      <c r="I90" s="262" t="s">
        <v>72</v>
      </c>
    </row>
    <row r="91" spans="1:12" ht="26.25" customHeight="1" x14ac:dyDescent="0.4">
      <c r="A91" s="256" t="s">
        <v>45</v>
      </c>
      <c r="B91" s="257">
        <v>1</v>
      </c>
      <c r="C91" s="345">
        <v>1</v>
      </c>
      <c r="D91" s="440">
        <v>131881430</v>
      </c>
      <c r="E91" s="265">
        <f>IF(ISBLANK(D91),"-",$D$101/$D$98*D91)</f>
        <v>87601830.562703729</v>
      </c>
      <c r="F91" s="440">
        <v>152694737</v>
      </c>
      <c r="G91" s="266">
        <f>IF(ISBLANK(F91),"-",$D$101/$F$98*F91)</f>
        <v>86480708.874359772</v>
      </c>
      <c r="I91" s="267"/>
    </row>
    <row r="92" spans="1:12" ht="26.25" customHeight="1" x14ac:dyDescent="0.4">
      <c r="A92" s="256" t="s">
        <v>46</v>
      </c>
      <c r="B92" s="257">
        <v>1</v>
      </c>
      <c r="C92" s="329">
        <v>2</v>
      </c>
      <c r="D92" s="444">
        <v>131345064</v>
      </c>
      <c r="E92" s="270">
        <f>IF(ISBLANK(D92),"-",$D$101/$D$98*D92)</f>
        <v>87245551.111900121</v>
      </c>
      <c r="F92" s="444">
        <v>152489453</v>
      </c>
      <c r="G92" s="271">
        <f>IF(ISBLANK(F92),"-",$D$101/$F$98*F92)</f>
        <v>86364443.53221792</v>
      </c>
      <c r="I92" s="605">
        <f>ABS((F96/D96*D95)-F95)/D95</f>
        <v>1.4313854277079763E-2</v>
      </c>
    </row>
    <row r="93" spans="1:12" ht="26.25" customHeight="1" x14ac:dyDescent="0.4">
      <c r="A93" s="256" t="s">
        <v>47</v>
      </c>
      <c r="B93" s="257">
        <v>1</v>
      </c>
      <c r="C93" s="329">
        <v>3</v>
      </c>
      <c r="D93" s="444">
        <v>131582605</v>
      </c>
      <c r="E93" s="270">
        <f>IF(ISBLANK(D93),"-",$D$101/$D$98*D93)</f>
        <v>87403336.983904198</v>
      </c>
      <c r="F93" s="444">
        <v>152207774</v>
      </c>
      <c r="G93" s="271">
        <f>IF(ISBLANK(F93),"-",$D$101/$F$98*F93)</f>
        <v>86204910.858901083</v>
      </c>
      <c r="I93" s="605"/>
    </row>
    <row r="94" spans="1:12" ht="27" customHeight="1" x14ac:dyDescent="0.4">
      <c r="A94" s="256" t="s">
        <v>48</v>
      </c>
      <c r="B94" s="257">
        <v>1</v>
      </c>
      <c r="C94" s="346">
        <v>4</v>
      </c>
      <c r="D94" s="274"/>
      <c r="E94" s="275" t="str">
        <f>IF(ISBLANK(D94),"-",$D$101/$D$98*D94)</f>
        <v>-</v>
      </c>
      <c r="F94" s="347"/>
      <c r="G94" s="276" t="str">
        <f>IF(ISBLANK(F94),"-",$D$101/$F$98*F94)</f>
        <v>-</v>
      </c>
      <c r="I94" s="277"/>
    </row>
    <row r="95" spans="1:12" ht="27" customHeight="1" x14ac:dyDescent="0.4">
      <c r="A95" s="256" t="s">
        <v>49</v>
      </c>
      <c r="B95" s="257">
        <v>1</v>
      </c>
      <c r="C95" s="348" t="s">
        <v>50</v>
      </c>
      <c r="D95" s="349">
        <f>AVERAGE(D91:D94)</f>
        <v>131603033</v>
      </c>
      <c r="E95" s="280">
        <f>AVERAGE(E91:E94)</f>
        <v>87416906.219502687</v>
      </c>
      <c r="F95" s="350">
        <f>AVERAGE(F91:F94)</f>
        <v>152463988</v>
      </c>
      <c r="G95" s="351">
        <f>AVERAGE(G91:G94)</f>
        <v>86350021.08849293</v>
      </c>
    </row>
    <row r="96" spans="1:12" ht="26.25" customHeight="1" x14ac:dyDescent="0.4">
      <c r="A96" s="256" t="s">
        <v>51</v>
      </c>
      <c r="B96" s="242">
        <v>1</v>
      </c>
      <c r="C96" s="352" t="s">
        <v>52</v>
      </c>
      <c r="D96" s="353">
        <v>10.82</v>
      </c>
      <c r="E96" s="272"/>
      <c r="F96" s="284">
        <v>12.69</v>
      </c>
    </row>
    <row r="97" spans="1:10" ht="26.25" customHeight="1" x14ac:dyDescent="0.4">
      <c r="A97" s="256" t="s">
        <v>53</v>
      </c>
      <c r="B97" s="242">
        <v>1</v>
      </c>
      <c r="C97" s="354" t="s">
        <v>54</v>
      </c>
      <c r="D97" s="355">
        <f>D96*$B$87</f>
        <v>10.507149056511775</v>
      </c>
      <c r="E97" s="287"/>
      <c r="F97" s="286">
        <f>F96*$B$87</f>
        <v>12.32307962357989</v>
      </c>
    </row>
    <row r="98" spans="1:10" ht="19.5" customHeight="1" x14ac:dyDescent="0.3">
      <c r="A98" s="256" t="s">
        <v>55</v>
      </c>
      <c r="B98" s="356">
        <f>(B97/B96)*(B95/B94)*(B93/B92)*(B91/B90)*B89</f>
        <v>50</v>
      </c>
      <c r="C98" s="354" t="s">
        <v>98</v>
      </c>
      <c r="D98" s="357">
        <f>D97*$B$83/100</f>
        <v>10.454613311229217</v>
      </c>
      <c r="E98" s="290"/>
      <c r="F98" s="289">
        <f>F97*$B$83/100</f>
        <v>12.261464225461991</v>
      </c>
    </row>
    <row r="99" spans="1:10" ht="19.5" customHeight="1" x14ac:dyDescent="0.3">
      <c r="A99" s="585" t="s">
        <v>57</v>
      </c>
      <c r="B99" s="606"/>
      <c r="C99" s="354" t="s">
        <v>99</v>
      </c>
      <c r="D99" s="358">
        <f>D98/$B$98</f>
        <v>0.20909226622458432</v>
      </c>
      <c r="E99" s="290"/>
      <c r="F99" s="293">
        <f>F98/$B$98</f>
        <v>0.24522928450923981</v>
      </c>
      <c r="G99" s="359"/>
      <c r="H99" s="282"/>
    </row>
    <row r="100" spans="1:10" ht="19.5" customHeight="1" x14ac:dyDescent="0.3">
      <c r="A100" s="587"/>
      <c r="B100" s="607"/>
      <c r="C100" s="354" t="s">
        <v>75</v>
      </c>
      <c r="D100" s="360">
        <f>$B$56/$B$116</f>
        <v>0.1388888888888889</v>
      </c>
      <c r="F100" s="298"/>
      <c r="G100" s="361"/>
      <c r="H100" s="282"/>
    </row>
    <row r="101" spans="1:10" ht="18.75" x14ac:dyDescent="0.3">
      <c r="C101" s="354" t="s">
        <v>59</v>
      </c>
      <c r="D101" s="355">
        <f>D100*$B$98</f>
        <v>6.9444444444444446</v>
      </c>
      <c r="F101" s="298"/>
      <c r="G101" s="359"/>
      <c r="H101" s="282"/>
    </row>
    <row r="102" spans="1:10" ht="19.5" customHeight="1" x14ac:dyDescent="0.3">
      <c r="C102" s="362" t="s">
        <v>60</v>
      </c>
      <c r="D102" s="363">
        <f>D101/B34</f>
        <v>7.1512156613331559</v>
      </c>
      <c r="F102" s="302"/>
      <c r="G102" s="359"/>
      <c r="H102" s="282"/>
      <c r="J102" s="364"/>
    </row>
    <row r="103" spans="1:10" ht="18.75" x14ac:dyDescent="0.3">
      <c r="C103" s="365" t="s">
        <v>100</v>
      </c>
      <c r="D103" s="366">
        <f>AVERAGE(E91:E94,G91:G94)</f>
        <v>86883463.653997809</v>
      </c>
      <c r="F103" s="302"/>
      <c r="G103" s="367"/>
      <c r="H103" s="282"/>
      <c r="J103" s="368"/>
    </row>
    <row r="104" spans="1:10" ht="18.75" x14ac:dyDescent="0.3">
      <c r="C104" s="332" t="s">
        <v>62</v>
      </c>
      <c r="D104" s="369">
        <f>STDEV(E91:E94,G91:G94)/D103</f>
        <v>6.9239133364278086E-3</v>
      </c>
      <c r="F104" s="302"/>
      <c r="G104" s="359"/>
      <c r="H104" s="282"/>
      <c r="J104" s="368"/>
    </row>
    <row r="105" spans="1:10" ht="19.5" customHeight="1" x14ac:dyDescent="0.3">
      <c r="C105" s="334" t="s">
        <v>63</v>
      </c>
      <c r="D105" s="370">
        <f>COUNT(E91:E94,G91:G94)</f>
        <v>6</v>
      </c>
      <c r="F105" s="302"/>
      <c r="G105" s="359"/>
      <c r="H105" s="282"/>
      <c r="J105" s="368"/>
    </row>
    <row r="106" spans="1:10" ht="19.5" customHeight="1" x14ac:dyDescent="0.3">
      <c r="A106" s="306"/>
      <c r="B106" s="306"/>
      <c r="C106" s="306"/>
      <c r="D106" s="306"/>
      <c r="E106" s="306"/>
    </row>
    <row r="107" spans="1:10" ht="26.25" customHeight="1" x14ac:dyDescent="0.4">
      <c r="A107" s="254" t="s">
        <v>101</v>
      </c>
      <c r="B107" s="255">
        <v>900</v>
      </c>
      <c r="C107" s="371" t="s">
        <v>102</v>
      </c>
      <c r="D107" s="372" t="s">
        <v>43</v>
      </c>
      <c r="E107" s="373" t="s">
        <v>103</v>
      </c>
      <c r="F107" s="374" t="s">
        <v>104</v>
      </c>
    </row>
    <row r="108" spans="1:10" ht="26.25" customHeight="1" x14ac:dyDescent="0.4">
      <c r="A108" s="256" t="s">
        <v>105</v>
      </c>
      <c r="B108" s="257">
        <v>1</v>
      </c>
      <c r="C108" s="375">
        <v>1</v>
      </c>
      <c r="D108" s="376">
        <v>70268428</v>
      </c>
      <c r="E108" s="411">
        <f t="shared" ref="E108:E113" si="1">IF(ISBLANK(D108),"-",D108/$D$103*$D$100*$B$116)</f>
        <v>101.09580270624764</v>
      </c>
      <c r="F108" s="377">
        <f t="shared" ref="F108:F113" si="2">IF(ISBLANK(D108), "-", E108/$B$56)</f>
        <v>0.80876642164998114</v>
      </c>
    </row>
    <row r="109" spans="1:10" ht="26.25" customHeight="1" x14ac:dyDescent="0.4">
      <c r="A109" s="256" t="s">
        <v>82</v>
      </c>
      <c r="B109" s="257">
        <v>1</v>
      </c>
      <c r="C109" s="375">
        <v>2</v>
      </c>
      <c r="D109" s="376">
        <v>69421208</v>
      </c>
      <c r="E109" s="412">
        <f t="shared" si="1"/>
        <v>99.876899873117708</v>
      </c>
      <c r="F109" s="378">
        <f t="shared" si="2"/>
        <v>0.79901519898494167</v>
      </c>
    </row>
    <row r="110" spans="1:10" ht="26.25" customHeight="1" x14ac:dyDescent="0.4">
      <c r="A110" s="256" t="s">
        <v>83</v>
      </c>
      <c r="B110" s="257">
        <v>1</v>
      </c>
      <c r="C110" s="375">
        <v>3</v>
      </c>
      <c r="D110" s="376">
        <v>69275336</v>
      </c>
      <c r="E110" s="412">
        <f t="shared" si="1"/>
        <v>99.667032549312395</v>
      </c>
      <c r="F110" s="378">
        <f t="shared" si="2"/>
        <v>0.79733626039449912</v>
      </c>
    </row>
    <row r="111" spans="1:10" ht="26.25" customHeight="1" x14ac:dyDescent="0.4">
      <c r="A111" s="256" t="s">
        <v>84</v>
      </c>
      <c r="B111" s="257">
        <v>1</v>
      </c>
      <c r="C111" s="375">
        <v>4</v>
      </c>
      <c r="D111" s="376">
        <v>69421549</v>
      </c>
      <c r="E111" s="412">
        <f t="shared" si="1"/>
        <v>99.877390472803853</v>
      </c>
      <c r="F111" s="378">
        <f t="shared" si="2"/>
        <v>0.79901912378243078</v>
      </c>
    </row>
    <row r="112" spans="1:10" ht="26.25" customHeight="1" x14ac:dyDescent="0.4">
      <c r="A112" s="256" t="s">
        <v>85</v>
      </c>
      <c r="B112" s="257">
        <v>1</v>
      </c>
      <c r="C112" s="375">
        <v>5</v>
      </c>
      <c r="D112" s="376">
        <v>69297615</v>
      </c>
      <c r="E112" s="412">
        <f t="shared" si="1"/>
        <v>99.699085541710247</v>
      </c>
      <c r="F112" s="378">
        <f t="shared" si="2"/>
        <v>0.79759268433368202</v>
      </c>
    </row>
    <row r="113" spans="1:10" ht="26.25" customHeight="1" x14ac:dyDescent="0.4">
      <c r="A113" s="256" t="s">
        <v>87</v>
      </c>
      <c r="B113" s="257">
        <v>1</v>
      </c>
      <c r="C113" s="379">
        <v>6</v>
      </c>
      <c r="D113" s="380">
        <v>70183125</v>
      </c>
      <c r="E113" s="413">
        <f t="shared" si="1"/>
        <v>100.97307653314682</v>
      </c>
      <c r="F113" s="381">
        <f t="shared" si="2"/>
        <v>0.80778461226517462</v>
      </c>
    </row>
    <row r="114" spans="1:10" ht="26.25" customHeight="1" x14ac:dyDescent="0.4">
      <c r="A114" s="256" t="s">
        <v>88</v>
      </c>
      <c r="B114" s="257">
        <v>1</v>
      </c>
      <c r="C114" s="375"/>
      <c r="D114" s="329"/>
      <c r="E114" s="230"/>
      <c r="F114" s="382"/>
    </row>
    <row r="115" spans="1:10" ht="26.25" customHeight="1" x14ac:dyDescent="0.4">
      <c r="A115" s="256" t="s">
        <v>89</v>
      </c>
      <c r="B115" s="257">
        <v>1</v>
      </c>
      <c r="C115" s="375"/>
      <c r="D115" s="383"/>
      <c r="E115" s="384" t="s">
        <v>50</v>
      </c>
      <c r="F115" s="385">
        <f>AVERAGE(F108:F113)</f>
        <v>0.80158571690178482</v>
      </c>
    </row>
    <row r="116" spans="1:10" ht="27" customHeight="1" x14ac:dyDescent="0.4">
      <c r="A116" s="256" t="s">
        <v>90</v>
      </c>
      <c r="B116" s="288">
        <f>(B115/B114)*(B113/B112)*(B111/B110)*(B109/B108)*B107</f>
        <v>900</v>
      </c>
      <c r="C116" s="386"/>
      <c r="D116" s="387"/>
      <c r="E116" s="348" t="s">
        <v>62</v>
      </c>
      <c r="F116" s="388">
        <f>STDEV(F108:F113)/F115</f>
        <v>6.5346132275787136E-3</v>
      </c>
      <c r="I116" s="230"/>
    </row>
    <row r="117" spans="1:10" ht="27" customHeight="1" x14ac:dyDescent="0.4">
      <c r="A117" s="585" t="s">
        <v>57</v>
      </c>
      <c r="B117" s="586"/>
      <c r="C117" s="389"/>
      <c r="D117" s="390"/>
      <c r="E117" s="391" t="s">
        <v>63</v>
      </c>
      <c r="F117" s="392">
        <f>COUNT(F108:F113)</f>
        <v>6</v>
      </c>
      <c r="I117" s="230"/>
      <c r="J117" s="368"/>
    </row>
    <row r="118" spans="1:10" ht="19.5" customHeight="1" x14ac:dyDescent="0.3">
      <c r="A118" s="587"/>
      <c r="B118" s="588"/>
      <c r="C118" s="230"/>
      <c r="D118" s="230"/>
      <c r="E118" s="230"/>
      <c r="F118" s="329"/>
      <c r="G118" s="230"/>
      <c r="H118" s="230"/>
      <c r="I118" s="230"/>
    </row>
    <row r="119" spans="1:10" ht="18.75" x14ac:dyDescent="0.3">
      <c r="A119" s="401"/>
      <c r="B119" s="252"/>
      <c r="C119" s="230"/>
      <c r="D119" s="230"/>
      <c r="E119" s="230"/>
      <c r="F119" s="329"/>
      <c r="G119" s="230"/>
      <c r="H119" s="230"/>
      <c r="I119" s="230"/>
    </row>
    <row r="120" spans="1:10" ht="26.25" customHeight="1" x14ac:dyDescent="0.4">
      <c r="A120" s="240" t="s">
        <v>93</v>
      </c>
      <c r="B120" s="336" t="s">
        <v>106</v>
      </c>
      <c r="C120" s="600" t="str">
        <f>B20</f>
        <v>Amoxicillin &amp; Clavulanate Potassium</v>
      </c>
      <c r="D120" s="600"/>
      <c r="E120" s="337" t="s">
        <v>107</v>
      </c>
      <c r="F120" s="337"/>
      <c r="G120" s="338">
        <f>F115</f>
        <v>0.80158571690178482</v>
      </c>
      <c r="H120" s="230"/>
      <c r="I120" s="230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601" t="s">
        <v>20</v>
      </c>
      <c r="C122" s="601"/>
      <c r="E122" s="343" t="s">
        <v>21</v>
      </c>
      <c r="F122" s="395"/>
      <c r="G122" s="601" t="s">
        <v>22</v>
      </c>
      <c r="H122" s="601"/>
    </row>
    <row r="123" spans="1:10" ht="69.95" customHeight="1" x14ac:dyDescent="0.3">
      <c r="A123" s="396" t="s">
        <v>23</v>
      </c>
      <c r="B123" s="397"/>
      <c r="C123" s="397"/>
      <c r="E123" s="397"/>
      <c r="F123" s="230"/>
      <c r="G123" s="398"/>
      <c r="H123" s="398"/>
    </row>
    <row r="124" spans="1:10" ht="69.95" customHeight="1" x14ac:dyDescent="0.3">
      <c r="A124" s="396" t="s">
        <v>24</v>
      </c>
      <c r="B124" s="399"/>
      <c r="C124" s="399"/>
      <c r="E124" s="399"/>
      <c r="F124" s="230"/>
      <c r="G124" s="400"/>
      <c r="H124" s="400"/>
    </row>
    <row r="125" spans="1:10" ht="18.75" x14ac:dyDescent="0.3">
      <c r="A125" s="328"/>
      <c r="B125" s="328"/>
      <c r="C125" s="329"/>
      <c r="D125" s="329"/>
      <c r="E125" s="329"/>
      <c r="F125" s="333"/>
      <c r="G125" s="329"/>
      <c r="H125" s="329"/>
      <c r="I125" s="230"/>
    </row>
    <row r="126" spans="1:10" ht="18.75" x14ac:dyDescent="0.3">
      <c r="A126" s="328"/>
      <c r="B126" s="328"/>
      <c r="C126" s="329"/>
      <c r="D126" s="329"/>
      <c r="E126" s="329"/>
      <c r="F126" s="333"/>
      <c r="G126" s="329"/>
      <c r="H126" s="329"/>
      <c r="I126" s="230"/>
    </row>
    <row r="127" spans="1:10" ht="18.75" x14ac:dyDescent="0.3">
      <c r="A127" s="328"/>
      <c r="B127" s="328"/>
      <c r="C127" s="329"/>
      <c r="D127" s="329"/>
      <c r="E127" s="329"/>
      <c r="F127" s="333"/>
      <c r="G127" s="329"/>
      <c r="H127" s="329"/>
      <c r="I127" s="230"/>
    </row>
    <row r="128" spans="1:10" ht="18.75" x14ac:dyDescent="0.3">
      <c r="A128" s="328"/>
      <c r="B128" s="328"/>
      <c r="C128" s="329"/>
      <c r="D128" s="329"/>
      <c r="E128" s="329"/>
      <c r="F128" s="333"/>
      <c r="G128" s="329"/>
      <c r="H128" s="329"/>
      <c r="I128" s="230"/>
    </row>
    <row r="129" spans="1:9" ht="18.75" x14ac:dyDescent="0.3">
      <c r="A129" s="328"/>
      <c r="B129" s="328"/>
      <c r="C129" s="329"/>
      <c r="D129" s="329"/>
      <c r="E129" s="329"/>
      <c r="F129" s="333"/>
      <c r="G129" s="329"/>
      <c r="H129" s="329"/>
      <c r="I129" s="230"/>
    </row>
    <row r="130" spans="1:9" ht="18.75" x14ac:dyDescent="0.3">
      <c r="A130" s="328"/>
      <c r="B130" s="328"/>
      <c r="C130" s="329"/>
      <c r="D130" s="329"/>
      <c r="E130" s="329"/>
      <c r="F130" s="333"/>
      <c r="G130" s="329"/>
      <c r="H130" s="329"/>
      <c r="I130" s="230"/>
    </row>
    <row r="131" spans="1:9" ht="18.75" x14ac:dyDescent="0.3">
      <c r="A131" s="328"/>
      <c r="B131" s="328"/>
      <c r="C131" s="329"/>
      <c r="D131" s="329"/>
      <c r="E131" s="329"/>
      <c r="F131" s="333"/>
      <c r="G131" s="329"/>
      <c r="H131" s="329"/>
      <c r="I131" s="230"/>
    </row>
    <row r="132" spans="1:9" ht="18.75" x14ac:dyDescent="0.3">
      <c r="A132" s="328"/>
      <c r="B132" s="328"/>
      <c r="C132" s="329"/>
      <c r="D132" s="329"/>
      <c r="E132" s="329"/>
      <c r="F132" s="333"/>
      <c r="G132" s="329"/>
      <c r="H132" s="329"/>
      <c r="I132" s="230"/>
    </row>
    <row r="133" spans="1:9" ht="18.75" x14ac:dyDescent="0.3">
      <c r="A133" s="328"/>
      <c r="B133" s="328"/>
      <c r="C133" s="329"/>
      <c r="D133" s="329"/>
      <c r="E133" s="329"/>
      <c r="F133" s="333"/>
      <c r="G133" s="329"/>
      <c r="H133" s="329"/>
      <c r="I133" s="23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E62"/>
  <sheetViews>
    <sheetView tabSelected="1" view="pageBreakPreview" topLeftCell="A15" zoomScale="75" zoomScaleNormal="90" zoomScaleSheetLayoutView="75" workbookViewId="0">
      <selection activeCell="D46" sqref="D46"/>
    </sheetView>
  </sheetViews>
  <sheetFormatPr defaultRowHeight="16.5" x14ac:dyDescent="0.3"/>
  <cols>
    <col min="1" max="1" width="37" style="625" customWidth="1"/>
    <col min="2" max="2" width="40.42578125" style="625" customWidth="1"/>
    <col min="3" max="3" width="29.140625" style="625" bestFit="1" customWidth="1"/>
    <col min="4" max="4" width="26" style="625" bestFit="1" customWidth="1"/>
    <col min="5" max="5" width="25.42578125" style="625" bestFit="1" customWidth="1"/>
    <col min="6" max="6" width="29.7109375" style="625" bestFit="1" customWidth="1"/>
    <col min="7" max="7" width="25" style="625" bestFit="1" customWidth="1"/>
    <col min="8" max="16384" width="9.140625" style="625"/>
  </cols>
  <sheetData>
    <row r="8" spans="1:5" ht="15.75" customHeight="1" x14ac:dyDescent="0.3"/>
    <row r="15" spans="1:5" ht="18.75" x14ac:dyDescent="0.3">
      <c r="A15" s="626" t="s">
        <v>133</v>
      </c>
      <c r="B15" s="624"/>
      <c r="C15" s="624"/>
      <c r="D15" s="624"/>
      <c r="E15" s="624"/>
    </row>
    <row r="16" spans="1:5" x14ac:dyDescent="0.3">
      <c r="B16" s="627"/>
    </row>
    <row r="17" spans="1:5" x14ac:dyDescent="0.3">
      <c r="B17" s="627"/>
    </row>
    <row r="18" spans="1:5" x14ac:dyDescent="0.3">
      <c r="A18" s="628" t="s">
        <v>116</v>
      </c>
      <c r="B18" s="629" t="s">
        <v>130</v>
      </c>
      <c r="C18" s="628"/>
    </row>
    <row r="19" spans="1:5" x14ac:dyDescent="0.3">
      <c r="A19" s="628" t="s">
        <v>117</v>
      </c>
      <c r="B19" s="630" t="s">
        <v>131</v>
      </c>
      <c r="C19" s="628"/>
      <c r="D19" s="628"/>
    </row>
    <row r="20" spans="1:5" x14ac:dyDescent="0.3">
      <c r="A20" s="628" t="s">
        <v>28</v>
      </c>
      <c r="B20" s="629" t="s">
        <v>132</v>
      </c>
    </row>
    <row r="21" spans="1:5" x14ac:dyDescent="0.3">
      <c r="A21" s="628" t="s">
        <v>30</v>
      </c>
      <c r="B21" s="631">
        <v>85.93</v>
      </c>
    </row>
    <row r="22" spans="1:5" x14ac:dyDescent="0.3">
      <c r="A22" s="630" t="s">
        <v>118</v>
      </c>
      <c r="B22" s="632">
        <f>'AMOXICILLIN S2'!D96</f>
        <v>25.02</v>
      </c>
    </row>
    <row r="23" spans="1:5" x14ac:dyDescent="0.3">
      <c r="A23" s="630" t="s">
        <v>119</v>
      </c>
      <c r="B23" s="633">
        <f>B22/50</f>
        <v>0.50039999999999996</v>
      </c>
    </row>
    <row r="25" spans="1:5" s="628" customFormat="1" ht="15" x14ac:dyDescent="0.25">
      <c r="A25" s="634" t="s">
        <v>120</v>
      </c>
      <c r="B25" s="635" t="s">
        <v>121</v>
      </c>
      <c r="C25" s="634" t="s">
        <v>112</v>
      </c>
      <c r="D25" s="634" t="s">
        <v>113</v>
      </c>
      <c r="E25" s="636" t="s">
        <v>114</v>
      </c>
    </row>
    <row r="26" spans="1:5" x14ac:dyDescent="0.3">
      <c r="A26" s="637">
        <v>1</v>
      </c>
      <c r="B26" s="637">
        <v>212593740</v>
      </c>
      <c r="C26" s="637">
        <v>7407.8</v>
      </c>
      <c r="D26" s="638">
        <v>1</v>
      </c>
      <c r="E26" s="639">
        <v>5.9</v>
      </c>
    </row>
    <row r="27" spans="1:5" x14ac:dyDescent="0.3">
      <c r="A27" s="640">
        <v>2</v>
      </c>
      <c r="B27" s="640">
        <v>213326005</v>
      </c>
      <c r="C27" s="640">
        <v>7379.1</v>
      </c>
      <c r="D27" s="641">
        <v>1</v>
      </c>
      <c r="E27" s="642">
        <v>5.9</v>
      </c>
    </row>
    <row r="28" spans="1:5" x14ac:dyDescent="0.3">
      <c r="A28" s="640">
        <v>3</v>
      </c>
      <c r="B28" s="640">
        <v>213034177</v>
      </c>
      <c r="C28" s="640">
        <v>7397.8</v>
      </c>
      <c r="D28" s="641">
        <v>1</v>
      </c>
      <c r="E28" s="642">
        <v>5.9</v>
      </c>
    </row>
    <row r="29" spans="1:5" x14ac:dyDescent="0.3">
      <c r="A29" s="640">
        <v>4</v>
      </c>
      <c r="B29" s="640">
        <v>213420300</v>
      </c>
      <c r="C29" s="640">
        <v>7355.5</v>
      </c>
      <c r="D29" s="641">
        <v>1</v>
      </c>
      <c r="E29" s="642">
        <v>5.9</v>
      </c>
    </row>
    <row r="30" spans="1:5" x14ac:dyDescent="0.3">
      <c r="A30" s="640">
        <v>5</v>
      </c>
      <c r="B30" s="640">
        <v>213338700</v>
      </c>
      <c r="C30" s="640">
        <v>7391.4</v>
      </c>
      <c r="D30" s="641">
        <v>1</v>
      </c>
      <c r="E30" s="642">
        <v>5.9</v>
      </c>
    </row>
    <row r="31" spans="1:5" x14ac:dyDescent="0.3">
      <c r="A31" s="643">
        <v>6</v>
      </c>
      <c r="B31" s="643">
        <v>213510213</v>
      </c>
      <c r="C31" s="643">
        <v>7379.9</v>
      </c>
      <c r="D31" s="644">
        <v>1</v>
      </c>
      <c r="E31" s="644">
        <v>5.9</v>
      </c>
    </row>
    <row r="32" spans="1:5" x14ac:dyDescent="0.3">
      <c r="A32" s="640" t="s">
        <v>50</v>
      </c>
      <c r="B32" s="645">
        <f>AVERAGE(B26:B31)</f>
        <v>213203855.83333334</v>
      </c>
      <c r="C32" s="646">
        <f>AVERAGE(C26:C31)</f>
        <v>7385.25</v>
      </c>
      <c r="D32" s="647">
        <f>AVERAGE(D26:D31)</f>
        <v>1</v>
      </c>
      <c r="E32" s="647">
        <f>AVERAGE(E26:E31)</f>
        <v>5.8999999999999995</v>
      </c>
    </row>
    <row r="33" spans="1:5" x14ac:dyDescent="0.3">
      <c r="A33" s="640" t="s">
        <v>115</v>
      </c>
      <c r="B33" s="648">
        <f>(STDEV(B26:B31)/B32)</f>
        <v>1.5903504181479097E-3</v>
      </c>
      <c r="C33" s="649"/>
      <c r="D33" s="650"/>
      <c r="E33" s="651"/>
    </row>
    <row r="34" spans="1:5" x14ac:dyDescent="0.3">
      <c r="A34" s="643" t="s">
        <v>63</v>
      </c>
      <c r="B34" s="652">
        <f>COUNT(B26:B31)</f>
        <v>6</v>
      </c>
      <c r="C34" s="653"/>
      <c r="D34" s="654"/>
      <c r="E34" s="655"/>
    </row>
    <row r="36" spans="1:5" x14ac:dyDescent="0.3">
      <c r="A36" s="656" t="s">
        <v>122</v>
      </c>
      <c r="B36" s="657" t="s">
        <v>123</v>
      </c>
    </row>
    <row r="37" spans="1:5" x14ac:dyDescent="0.3">
      <c r="A37" s="628"/>
      <c r="B37" s="657" t="s">
        <v>124</v>
      </c>
    </row>
    <row r="38" spans="1:5" ht="17.25" thickBot="1" x14ac:dyDescent="0.35">
      <c r="A38" s="658"/>
      <c r="B38" s="659" t="s">
        <v>125</v>
      </c>
      <c r="C38" s="660"/>
      <c r="D38" s="660"/>
      <c r="E38" s="660"/>
    </row>
    <row r="40" spans="1:5" x14ac:dyDescent="0.3">
      <c r="A40" s="628" t="s">
        <v>28</v>
      </c>
      <c r="B40" s="629" t="s">
        <v>110</v>
      </c>
    </row>
    <row r="41" spans="1:5" x14ac:dyDescent="0.3">
      <c r="A41" s="628" t="s">
        <v>30</v>
      </c>
      <c r="B41" s="631">
        <v>99.5</v>
      </c>
    </row>
    <row r="42" spans="1:5" x14ac:dyDescent="0.3">
      <c r="A42" s="630" t="s">
        <v>118</v>
      </c>
      <c r="B42" s="632">
        <f>'CLAVULANIC ACID (S2)'!D96</f>
        <v>10.76</v>
      </c>
    </row>
    <row r="43" spans="1:5" x14ac:dyDescent="0.3">
      <c r="A43" s="630" t="s">
        <v>119</v>
      </c>
      <c r="B43" s="632">
        <f>B42/50</f>
        <v>0.2152</v>
      </c>
    </row>
    <row r="45" spans="1:5" s="628" customFormat="1" ht="15" x14ac:dyDescent="0.25">
      <c r="A45" s="661" t="s">
        <v>120</v>
      </c>
      <c r="B45" s="662" t="s">
        <v>121</v>
      </c>
      <c r="C45" s="661" t="s">
        <v>112</v>
      </c>
      <c r="D45" s="661" t="s">
        <v>113</v>
      </c>
      <c r="E45" s="663" t="s">
        <v>114</v>
      </c>
    </row>
    <row r="46" spans="1:5" x14ac:dyDescent="0.3">
      <c r="A46" s="637">
        <v>1</v>
      </c>
      <c r="B46" s="664">
        <v>130199792</v>
      </c>
      <c r="C46" s="637">
        <v>9594.1</v>
      </c>
      <c r="D46" s="638">
        <v>1.2</v>
      </c>
      <c r="E46" s="639">
        <v>3.8</v>
      </c>
    </row>
    <row r="47" spans="1:5" x14ac:dyDescent="0.3">
      <c r="A47" s="640">
        <v>2</v>
      </c>
      <c r="B47" s="665">
        <v>130602006</v>
      </c>
      <c r="C47" s="640">
        <v>9523.7999999999993</v>
      </c>
      <c r="D47" s="641">
        <v>1.2</v>
      </c>
      <c r="E47" s="642">
        <v>3.8</v>
      </c>
    </row>
    <row r="48" spans="1:5" x14ac:dyDescent="0.3">
      <c r="A48" s="640">
        <v>3</v>
      </c>
      <c r="B48" s="665">
        <v>130437374</v>
      </c>
      <c r="C48" s="640">
        <v>9585.9</v>
      </c>
      <c r="D48" s="641">
        <v>1.2</v>
      </c>
      <c r="E48" s="642">
        <v>3.8</v>
      </c>
    </row>
    <row r="49" spans="1:5" x14ac:dyDescent="0.3">
      <c r="A49" s="640">
        <v>4</v>
      </c>
      <c r="B49" s="665">
        <v>130656654</v>
      </c>
      <c r="C49" s="640">
        <v>9455.2999999999993</v>
      </c>
      <c r="D49" s="641">
        <v>1.2</v>
      </c>
      <c r="E49" s="642">
        <v>3.8</v>
      </c>
    </row>
    <row r="50" spans="1:5" x14ac:dyDescent="0.3">
      <c r="A50" s="640">
        <v>5</v>
      </c>
      <c r="B50" s="665">
        <v>130578744</v>
      </c>
      <c r="C50" s="640">
        <v>9612.1</v>
      </c>
      <c r="D50" s="641">
        <v>1.2</v>
      </c>
      <c r="E50" s="642">
        <v>3.8</v>
      </c>
    </row>
    <row r="51" spans="1:5" x14ac:dyDescent="0.3">
      <c r="A51" s="643">
        <v>6</v>
      </c>
      <c r="B51" s="666">
        <v>130650647</v>
      </c>
      <c r="C51" s="643">
        <v>9577.1</v>
      </c>
      <c r="D51" s="644">
        <v>1.2</v>
      </c>
      <c r="E51" s="667">
        <v>3.8</v>
      </c>
    </row>
    <row r="52" spans="1:5" x14ac:dyDescent="0.3">
      <c r="A52" s="640" t="s">
        <v>50</v>
      </c>
      <c r="B52" s="645">
        <f>AVERAGE(B46:B51)</f>
        <v>130520869.5</v>
      </c>
      <c r="C52" s="646">
        <f>AVERAGE(C46:C51)</f>
        <v>9558.0500000000011</v>
      </c>
      <c r="D52" s="647">
        <f>AVERAGE(D46:D51)</f>
        <v>1.2</v>
      </c>
      <c r="E52" s="647">
        <f>AVERAGE(E46:E51)</f>
        <v>3.8000000000000003</v>
      </c>
    </row>
    <row r="53" spans="1:5" x14ac:dyDescent="0.3">
      <c r="A53" s="640" t="s">
        <v>115</v>
      </c>
      <c r="B53" s="648">
        <f>(STDEV(B46:B51)/B52)</f>
        <v>1.350159509752438E-3</v>
      </c>
      <c r="C53" s="649"/>
      <c r="D53" s="650"/>
      <c r="E53" s="651"/>
    </row>
    <row r="54" spans="1:5" x14ac:dyDescent="0.3">
      <c r="A54" s="643" t="s">
        <v>63</v>
      </c>
      <c r="B54" s="652">
        <f>COUNT(B46:B51)</f>
        <v>6</v>
      </c>
      <c r="C54" s="653"/>
      <c r="D54" s="654"/>
      <c r="E54" s="655"/>
    </row>
    <row r="56" spans="1:5" x14ac:dyDescent="0.3">
      <c r="A56" s="656" t="s">
        <v>122</v>
      </c>
      <c r="B56" s="657" t="s">
        <v>123</v>
      </c>
    </row>
    <row r="57" spans="1:5" x14ac:dyDescent="0.3">
      <c r="A57" s="628"/>
      <c r="B57" s="657" t="s">
        <v>126</v>
      </c>
    </row>
    <row r="58" spans="1:5" ht="17.25" thickBot="1" x14ac:dyDescent="0.35">
      <c r="A58" s="658"/>
      <c r="B58" s="659" t="s">
        <v>125</v>
      </c>
      <c r="C58" s="660"/>
      <c r="D58" s="660"/>
      <c r="E58" s="660"/>
    </row>
    <row r="60" spans="1:5" x14ac:dyDescent="0.3">
      <c r="A60" s="629" t="s">
        <v>23</v>
      </c>
      <c r="C60" s="629" t="s">
        <v>127</v>
      </c>
      <c r="E60" s="629" t="s">
        <v>128</v>
      </c>
    </row>
    <row r="62" spans="1:5" ht="17.25" thickBot="1" x14ac:dyDescent="0.35">
      <c r="A62" s="668" t="s">
        <v>129</v>
      </c>
      <c r="C62" s="660"/>
      <c r="E62" s="660"/>
    </row>
  </sheetData>
  <mergeCells count="1">
    <mergeCell ref="A15:E15"/>
  </mergeCells>
  <printOptions horizontalCentered="1"/>
  <pageMargins left="0.5" right="0.5" top="0.5" bottom="0.5" header="0.25" footer="0.57999999999999996"/>
  <pageSetup paperSize="9" scale="58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67" zoomScale="55" zoomScaleNormal="40" zoomScalePageLayoutView="55" workbookViewId="0">
      <selection activeCell="K43" sqref="K43"/>
    </sheetView>
  </sheetViews>
  <sheetFormatPr defaultColWidth="9.140625" defaultRowHeight="15" x14ac:dyDescent="0.25"/>
  <cols>
    <col min="1" max="1" width="55.42578125" style="456" customWidth="1"/>
    <col min="2" max="2" width="33.7109375" style="456" customWidth="1"/>
    <col min="3" max="3" width="42.28515625" style="456" customWidth="1"/>
    <col min="4" max="4" width="30.5703125" style="456" customWidth="1"/>
    <col min="5" max="5" width="39.85546875" style="456" customWidth="1"/>
    <col min="6" max="6" width="30.7109375" style="456" customWidth="1"/>
    <col min="7" max="7" width="39.85546875" style="456" customWidth="1"/>
    <col min="8" max="8" width="30" style="456" customWidth="1"/>
    <col min="9" max="9" width="30.28515625" style="456" hidden="1" customWidth="1"/>
    <col min="10" max="10" width="30.42578125" style="456" customWidth="1"/>
    <col min="11" max="11" width="21.28515625" style="456" customWidth="1"/>
    <col min="12" max="12" width="9.140625" style="456"/>
  </cols>
  <sheetData>
    <row r="1" spans="1:9" ht="18.75" customHeight="1" x14ac:dyDescent="0.25">
      <c r="A1" s="598" t="s">
        <v>25</v>
      </c>
      <c r="B1" s="598"/>
      <c r="C1" s="598"/>
      <c r="D1" s="598"/>
      <c r="E1" s="598"/>
      <c r="F1" s="598"/>
      <c r="G1" s="598"/>
      <c r="H1" s="598"/>
      <c r="I1" s="598"/>
    </row>
    <row r="2" spans="1:9" ht="18.75" customHeight="1" x14ac:dyDescent="0.25">
      <c r="A2" s="598"/>
      <c r="B2" s="598"/>
      <c r="C2" s="598"/>
      <c r="D2" s="598"/>
      <c r="E2" s="598"/>
      <c r="F2" s="598"/>
      <c r="G2" s="598"/>
      <c r="H2" s="598"/>
      <c r="I2" s="598"/>
    </row>
    <row r="3" spans="1:9" ht="18.75" customHeight="1" x14ac:dyDescent="0.25">
      <c r="A3" s="598"/>
      <c r="B3" s="598"/>
      <c r="C3" s="598"/>
      <c r="D3" s="598"/>
      <c r="E3" s="598"/>
      <c r="F3" s="598"/>
      <c r="G3" s="598"/>
      <c r="H3" s="598"/>
      <c r="I3" s="598"/>
    </row>
    <row r="4" spans="1:9" ht="18.75" customHeight="1" x14ac:dyDescent="0.25">
      <c r="A4" s="598"/>
      <c r="B4" s="598"/>
      <c r="C4" s="598"/>
      <c r="D4" s="598"/>
      <c r="E4" s="598"/>
      <c r="F4" s="598"/>
      <c r="G4" s="598"/>
      <c r="H4" s="598"/>
      <c r="I4" s="598"/>
    </row>
    <row r="5" spans="1:9" ht="18.75" customHeight="1" x14ac:dyDescent="0.25">
      <c r="A5" s="598"/>
      <c r="B5" s="598"/>
      <c r="C5" s="598"/>
      <c r="D5" s="598"/>
      <c r="E5" s="598"/>
      <c r="F5" s="598"/>
      <c r="G5" s="598"/>
      <c r="H5" s="598"/>
      <c r="I5" s="598"/>
    </row>
    <row r="6" spans="1:9" ht="18.75" customHeight="1" x14ac:dyDescent="0.25">
      <c r="A6" s="598"/>
      <c r="B6" s="598"/>
      <c r="C6" s="598"/>
      <c r="D6" s="598"/>
      <c r="E6" s="598"/>
      <c r="F6" s="598"/>
      <c r="G6" s="598"/>
      <c r="H6" s="598"/>
      <c r="I6" s="598"/>
    </row>
    <row r="7" spans="1:9" ht="18.75" customHeight="1" x14ac:dyDescent="0.25">
      <c r="A7" s="598"/>
      <c r="B7" s="598"/>
      <c r="C7" s="598"/>
      <c r="D7" s="598"/>
      <c r="E7" s="598"/>
      <c r="F7" s="598"/>
      <c r="G7" s="598"/>
      <c r="H7" s="598"/>
      <c r="I7" s="598"/>
    </row>
    <row r="8" spans="1:9" x14ac:dyDescent="0.25">
      <c r="A8" s="599" t="s">
        <v>26</v>
      </c>
      <c r="B8" s="599"/>
      <c r="C8" s="599"/>
      <c r="D8" s="599"/>
      <c r="E8" s="599"/>
      <c r="F8" s="599"/>
      <c r="G8" s="599"/>
      <c r="H8" s="599"/>
      <c r="I8" s="599"/>
    </row>
    <row r="9" spans="1:9" x14ac:dyDescent="0.25">
      <c r="A9" s="599"/>
      <c r="B9" s="599"/>
      <c r="C9" s="599"/>
      <c r="D9" s="599"/>
      <c r="E9" s="599"/>
      <c r="F9" s="599"/>
      <c r="G9" s="599"/>
      <c r="H9" s="599"/>
      <c r="I9" s="599"/>
    </row>
    <row r="10" spans="1:9" x14ac:dyDescent="0.25">
      <c r="A10" s="599"/>
      <c r="B10" s="599"/>
      <c r="C10" s="599"/>
      <c r="D10" s="599"/>
      <c r="E10" s="599"/>
      <c r="F10" s="599"/>
      <c r="G10" s="599"/>
      <c r="H10" s="599"/>
      <c r="I10" s="599"/>
    </row>
    <row r="11" spans="1:9" x14ac:dyDescent="0.25">
      <c r="A11" s="599"/>
      <c r="B11" s="599"/>
      <c r="C11" s="599"/>
      <c r="D11" s="599"/>
      <c r="E11" s="599"/>
      <c r="F11" s="599"/>
      <c r="G11" s="599"/>
      <c r="H11" s="599"/>
      <c r="I11" s="599"/>
    </row>
    <row r="12" spans="1:9" x14ac:dyDescent="0.25">
      <c r="A12" s="599"/>
      <c r="B12" s="599"/>
      <c r="C12" s="599"/>
      <c r="D12" s="599"/>
      <c r="E12" s="599"/>
      <c r="F12" s="599"/>
      <c r="G12" s="599"/>
      <c r="H12" s="599"/>
      <c r="I12" s="599"/>
    </row>
    <row r="13" spans="1:9" x14ac:dyDescent="0.25">
      <c r="A13" s="599"/>
      <c r="B13" s="599"/>
      <c r="C13" s="599"/>
      <c r="D13" s="599"/>
      <c r="E13" s="599"/>
      <c r="F13" s="599"/>
      <c r="G13" s="599"/>
      <c r="H13" s="599"/>
      <c r="I13" s="599"/>
    </row>
    <row r="14" spans="1:9" x14ac:dyDescent="0.25">
      <c r="A14" s="599"/>
      <c r="B14" s="599"/>
      <c r="C14" s="599"/>
      <c r="D14" s="599"/>
      <c r="E14" s="599"/>
      <c r="F14" s="599"/>
      <c r="G14" s="599"/>
      <c r="H14" s="599"/>
      <c r="I14" s="599"/>
    </row>
    <row r="15" spans="1:9" ht="19.5" customHeight="1" thickBot="1" x14ac:dyDescent="0.35">
      <c r="A15" s="504"/>
    </row>
    <row r="16" spans="1:9" ht="19.5" customHeight="1" thickBot="1" x14ac:dyDescent="0.35">
      <c r="A16" s="589" t="s">
        <v>0</v>
      </c>
      <c r="B16" s="590"/>
      <c r="C16" s="590"/>
      <c r="D16" s="590"/>
      <c r="E16" s="590"/>
      <c r="F16" s="590"/>
      <c r="G16" s="590"/>
      <c r="H16" s="620"/>
    </row>
    <row r="17" spans="1:14" ht="20.25" customHeight="1" x14ac:dyDescent="0.25">
      <c r="A17" s="621" t="s">
        <v>27</v>
      </c>
      <c r="B17" s="621"/>
      <c r="C17" s="621"/>
      <c r="D17" s="621"/>
      <c r="E17" s="621"/>
      <c r="F17" s="621"/>
      <c r="G17" s="621"/>
      <c r="H17" s="621"/>
    </row>
    <row r="18" spans="1:14" ht="26.25" customHeight="1" x14ac:dyDescent="0.4">
      <c r="A18" s="414" t="s">
        <v>2</v>
      </c>
      <c r="B18" s="591" t="s">
        <v>3</v>
      </c>
      <c r="C18" s="591"/>
      <c r="D18" s="558"/>
      <c r="E18" s="415"/>
      <c r="F18" s="570"/>
      <c r="G18" s="570"/>
      <c r="H18" s="570"/>
    </row>
    <row r="19" spans="1:14" ht="26.25" customHeight="1" x14ac:dyDescent="0.4">
      <c r="A19" s="414" t="s">
        <v>4</v>
      </c>
      <c r="B19" s="574" t="s">
        <v>5</v>
      </c>
      <c r="C19" s="404">
        <v>21</v>
      </c>
      <c r="D19" s="570"/>
      <c r="E19" s="570"/>
      <c r="F19" s="570"/>
      <c r="G19" s="570"/>
      <c r="H19" s="570"/>
    </row>
    <row r="20" spans="1:14" ht="26.25" customHeight="1" x14ac:dyDescent="0.4">
      <c r="A20" s="414" t="s">
        <v>6</v>
      </c>
      <c r="B20" s="592" t="s">
        <v>7</v>
      </c>
      <c r="C20" s="592"/>
      <c r="D20" s="570"/>
      <c r="E20" s="570"/>
      <c r="F20" s="570"/>
      <c r="G20" s="570"/>
      <c r="H20" s="570"/>
    </row>
    <row r="21" spans="1:14" ht="26.25" customHeight="1" x14ac:dyDescent="0.4">
      <c r="A21" s="414" t="s">
        <v>8</v>
      </c>
      <c r="B21" s="622" t="s">
        <v>9</v>
      </c>
      <c r="C21" s="622"/>
      <c r="D21" s="622"/>
      <c r="E21" s="622"/>
      <c r="F21" s="622"/>
      <c r="G21" s="622"/>
      <c r="H21" s="622"/>
      <c r="I21" s="416"/>
    </row>
    <row r="22" spans="1:14" ht="26.25" customHeight="1" x14ac:dyDescent="0.4">
      <c r="A22" s="414" t="s">
        <v>10</v>
      </c>
      <c r="B22" s="48" t="s">
        <v>11</v>
      </c>
      <c r="C22" s="570"/>
      <c r="D22" s="570"/>
      <c r="E22" s="570"/>
      <c r="F22" s="570"/>
      <c r="G22" s="570"/>
      <c r="H22" s="570"/>
    </row>
    <row r="23" spans="1:14" ht="26.25" customHeight="1" x14ac:dyDescent="0.4">
      <c r="A23" s="414" t="s">
        <v>12</v>
      </c>
      <c r="B23" s="48">
        <v>42299</v>
      </c>
      <c r="C23" s="570"/>
      <c r="D23" s="570"/>
      <c r="E23" s="570"/>
      <c r="F23" s="570"/>
      <c r="G23" s="570"/>
      <c r="H23" s="570"/>
    </row>
    <row r="24" spans="1:14" ht="18.75" x14ac:dyDescent="0.3">
      <c r="A24" s="414"/>
      <c r="B24" s="418"/>
    </row>
    <row r="25" spans="1:14" ht="18.75" x14ac:dyDescent="0.3">
      <c r="A25" s="419" t="s">
        <v>13</v>
      </c>
      <c r="B25" s="418"/>
    </row>
    <row r="26" spans="1:14" ht="26.25" customHeight="1" x14ac:dyDescent="0.4">
      <c r="A26" s="553" t="s">
        <v>28</v>
      </c>
      <c r="B26" s="591" t="s">
        <v>108</v>
      </c>
      <c r="C26" s="591"/>
    </row>
    <row r="27" spans="1:14" ht="26.25" customHeight="1" x14ac:dyDescent="0.4">
      <c r="A27" s="511" t="s">
        <v>29</v>
      </c>
      <c r="B27" s="592" t="s">
        <v>109</v>
      </c>
      <c r="C27" s="592"/>
    </row>
    <row r="28" spans="1:14" ht="27" customHeight="1" thickBot="1" x14ac:dyDescent="0.45">
      <c r="A28" s="511" t="s">
        <v>30</v>
      </c>
      <c r="B28" s="506">
        <f>B30+B29</f>
        <v>99.52000000000001</v>
      </c>
    </row>
    <row r="29" spans="1:14" s="15" customFormat="1" ht="27" customHeight="1" thickBot="1" x14ac:dyDescent="0.45">
      <c r="A29" s="511" t="s">
        <v>31</v>
      </c>
      <c r="B29" s="420">
        <v>13.59</v>
      </c>
      <c r="C29" s="602" t="s">
        <v>70</v>
      </c>
      <c r="D29" s="603"/>
      <c r="E29" s="603"/>
      <c r="F29" s="603"/>
      <c r="G29" s="604"/>
      <c r="I29" s="421"/>
      <c r="J29" s="421"/>
      <c r="K29" s="421"/>
      <c r="L29" s="421"/>
    </row>
    <row r="30" spans="1:14" s="15" customFormat="1" ht="19.5" customHeight="1" thickBot="1" x14ac:dyDescent="0.35">
      <c r="A30" s="511" t="s">
        <v>32</v>
      </c>
      <c r="B30" s="571">
        <v>85.93</v>
      </c>
      <c r="C30" s="422"/>
      <c r="D30" s="422"/>
      <c r="E30" s="422"/>
      <c r="F30" s="422"/>
      <c r="G30" s="423"/>
      <c r="I30" s="421"/>
      <c r="J30" s="421"/>
      <c r="K30" s="421"/>
      <c r="L30" s="421"/>
    </row>
    <row r="31" spans="1:14" s="15" customFormat="1" ht="27" customHeight="1" thickBot="1" x14ac:dyDescent="0.45">
      <c r="A31" s="511" t="s">
        <v>33</v>
      </c>
      <c r="B31" s="424">
        <v>1</v>
      </c>
      <c r="C31" s="593" t="s">
        <v>34</v>
      </c>
      <c r="D31" s="594"/>
      <c r="E31" s="594"/>
      <c r="F31" s="594"/>
      <c r="G31" s="594"/>
      <c r="H31" s="595"/>
      <c r="I31" s="421"/>
      <c r="J31" s="421"/>
      <c r="K31" s="421"/>
      <c r="L31" s="421"/>
    </row>
    <row r="32" spans="1:14" s="15" customFormat="1" ht="27" customHeight="1" thickBot="1" x14ac:dyDescent="0.45">
      <c r="A32" s="511" t="s">
        <v>35</v>
      </c>
      <c r="B32" s="424">
        <v>1</v>
      </c>
      <c r="C32" s="593" t="s">
        <v>36</v>
      </c>
      <c r="D32" s="594"/>
      <c r="E32" s="594"/>
      <c r="F32" s="594"/>
      <c r="G32" s="594"/>
      <c r="H32" s="595"/>
      <c r="I32" s="421"/>
      <c r="J32" s="421"/>
      <c r="K32" s="421"/>
      <c r="L32" s="425"/>
      <c r="M32" s="425"/>
      <c r="N32" s="426"/>
    </row>
    <row r="33" spans="1:14" s="15" customFormat="1" ht="17.25" customHeight="1" thickBot="1" x14ac:dyDescent="0.35">
      <c r="A33" s="511"/>
      <c r="B33" s="427"/>
      <c r="C33" s="428"/>
      <c r="D33" s="428"/>
      <c r="E33" s="428"/>
      <c r="F33" s="428"/>
      <c r="G33" s="428"/>
      <c r="H33" s="428"/>
      <c r="I33" s="421"/>
      <c r="J33" s="421"/>
      <c r="K33" s="421"/>
      <c r="L33" s="425"/>
      <c r="M33" s="425"/>
      <c r="N33" s="426"/>
    </row>
    <row r="34" spans="1:14" s="15" customFormat="1" ht="19.5" thickBot="1" x14ac:dyDescent="0.35">
      <c r="A34" s="511" t="s">
        <v>37</v>
      </c>
      <c r="B34" s="429">
        <f>B31/B32</f>
        <v>1</v>
      </c>
      <c r="C34" s="504" t="s">
        <v>38</v>
      </c>
      <c r="D34" s="504"/>
      <c r="E34" s="504"/>
      <c r="F34" s="504"/>
      <c r="G34" s="504"/>
      <c r="I34" s="421"/>
      <c r="J34" s="421"/>
      <c r="K34" s="421"/>
      <c r="L34" s="425"/>
      <c r="M34" s="425"/>
      <c r="N34" s="426"/>
    </row>
    <row r="35" spans="1:14" s="15" customFormat="1" ht="19.5" customHeight="1" thickBot="1" x14ac:dyDescent="0.35">
      <c r="A35" s="511"/>
      <c r="B35" s="571"/>
      <c r="G35" s="504"/>
      <c r="I35" s="421"/>
      <c r="J35" s="421"/>
      <c r="K35" s="421"/>
      <c r="L35" s="425"/>
      <c r="M35" s="425"/>
      <c r="N35" s="426"/>
    </row>
    <row r="36" spans="1:14" s="15" customFormat="1" ht="27" customHeight="1" thickBot="1" x14ac:dyDescent="0.45">
      <c r="A36" s="430" t="s">
        <v>71</v>
      </c>
      <c r="B36" s="431">
        <v>50</v>
      </c>
      <c r="C36" s="504"/>
      <c r="D36" s="596" t="s">
        <v>39</v>
      </c>
      <c r="E36" s="619"/>
      <c r="F36" s="596" t="s">
        <v>40</v>
      </c>
      <c r="G36" s="597"/>
      <c r="J36" s="421"/>
      <c r="K36" s="421"/>
      <c r="L36" s="425"/>
      <c r="M36" s="425"/>
      <c r="N36" s="426"/>
    </row>
    <row r="37" spans="1:14" s="15" customFormat="1" ht="27" customHeight="1" thickBot="1" x14ac:dyDescent="0.45">
      <c r="A37" s="432" t="s">
        <v>41</v>
      </c>
      <c r="B37" s="433">
        <v>1</v>
      </c>
      <c r="C37" s="434" t="s">
        <v>42</v>
      </c>
      <c r="D37" s="435" t="s">
        <v>43</v>
      </c>
      <c r="E37" s="436" t="s">
        <v>44</v>
      </c>
      <c r="F37" s="435" t="s">
        <v>43</v>
      </c>
      <c r="G37" s="437" t="s">
        <v>44</v>
      </c>
      <c r="I37" s="438" t="s">
        <v>72</v>
      </c>
      <c r="J37" s="421"/>
      <c r="K37" s="421"/>
      <c r="L37" s="425"/>
      <c r="M37" s="425"/>
      <c r="N37" s="426"/>
    </row>
    <row r="38" spans="1:14" s="15" customFormat="1" ht="26.25" customHeight="1" thickBot="1" x14ac:dyDescent="0.45">
      <c r="A38" s="432" t="s">
        <v>45</v>
      </c>
      <c r="B38" s="433">
        <v>1</v>
      </c>
      <c r="C38" s="439">
        <v>1</v>
      </c>
      <c r="D38" s="440"/>
      <c r="E38" s="441" t="str">
        <f>IF(ISBLANK(D38),"-",$D$48/$D$45*D38)</f>
        <v>-</v>
      </c>
      <c r="F38" s="440"/>
      <c r="G38" s="442" t="str">
        <f>IF(ISBLANK(F38),"-",$D$48/$F$45*F38)</f>
        <v>-</v>
      </c>
      <c r="I38" s="443"/>
      <c r="J38" s="421"/>
      <c r="K38" s="421"/>
      <c r="L38" s="425"/>
      <c r="M38" s="425"/>
      <c r="N38" s="426"/>
    </row>
    <row r="39" spans="1:14" s="15" customFormat="1" ht="26.25" customHeight="1" thickBot="1" x14ac:dyDescent="0.45">
      <c r="A39" s="432" t="s">
        <v>46</v>
      </c>
      <c r="B39" s="433">
        <v>1</v>
      </c>
      <c r="C39" s="461">
        <v>2</v>
      </c>
      <c r="D39" s="444"/>
      <c r="E39" s="445" t="str">
        <f>IF(ISBLANK(D39),"-",$D$48/$D$45*D39)</f>
        <v>-</v>
      </c>
      <c r="F39" s="444"/>
      <c r="G39" s="446" t="str">
        <f>IF(ISBLANK(F39),"-",$D$48/$F$45*F39)</f>
        <v>-</v>
      </c>
      <c r="I39" s="605" t="e">
        <f>ABS((F43/D43*D42)-F42)/D42</f>
        <v>#DIV/0!</v>
      </c>
      <c r="J39" s="421"/>
      <c r="K39" s="421"/>
      <c r="L39" s="425"/>
      <c r="M39" s="425"/>
      <c r="N39" s="426"/>
    </row>
    <row r="40" spans="1:14" ht="26.25" customHeight="1" x14ac:dyDescent="0.4">
      <c r="A40" s="432" t="s">
        <v>47</v>
      </c>
      <c r="B40" s="433">
        <v>1</v>
      </c>
      <c r="C40" s="461">
        <v>3</v>
      </c>
      <c r="D40" s="444"/>
      <c r="E40" s="445" t="str">
        <f>IF(ISBLANK(D40),"-",$D$48/$D$45*D40)</f>
        <v>-</v>
      </c>
      <c r="F40" s="444"/>
      <c r="G40" s="446" t="str">
        <f>IF(ISBLANK(F40),"-",$D$48/$F$45*F40)</f>
        <v>-</v>
      </c>
      <c r="I40" s="605"/>
      <c r="L40" s="425"/>
      <c r="M40" s="425"/>
      <c r="N40" s="504"/>
    </row>
    <row r="41" spans="1:14" ht="27" customHeight="1" thickBot="1" x14ac:dyDescent="0.45">
      <c r="A41" s="432" t="s">
        <v>48</v>
      </c>
      <c r="B41" s="433">
        <v>1</v>
      </c>
      <c r="C41" s="447">
        <v>4</v>
      </c>
      <c r="D41" s="448"/>
      <c r="E41" s="449" t="str">
        <f>IF(ISBLANK(D41),"-",$D$48/$D$45*D41)</f>
        <v>-</v>
      </c>
      <c r="F41" s="448"/>
      <c r="G41" s="450" t="str">
        <f>IF(ISBLANK(F41),"-",$D$48/$F$45*F41)</f>
        <v>-</v>
      </c>
      <c r="I41" s="451"/>
      <c r="L41" s="425"/>
      <c r="M41" s="425"/>
      <c r="N41" s="504"/>
    </row>
    <row r="42" spans="1:14" ht="27" customHeight="1" thickBot="1" x14ac:dyDescent="0.45">
      <c r="A42" s="432" t="s">
        <v>49</v>
      </c>
      <c r="B42" s="433">
        <v>1</v>
      </c>
      <c r="C42" s="452" t="s">
        <v>50</v>
      </c>
      <c r="D42" s="453" t="e">
        <f>AVERAGE(D38:D41)</f>
        <v>#DIV/0!</v>
      </c>
      <c r="E42" s="454" t="e">
        <f>AVERAGE(E38:E41)</f>
        <v>#DIV/0!</v>
      </c>
      <c r="F42" s="453" t="e">
        <f>AVERAGE(F38:F41)</f>
        <v>#DIV/0!</v>
      </c>
      <c r="G42" s="455" t="e">
        <f>AVERAGE(G38:G41)</f>
        <v>#DIV/0!</v>
      </c>
    </row>
    <row r="43" spans="1:14" ht="26.25" customHeight="1" x14ac:dyDescent="0.4">
      <c r="A43" s="432" t="s">
        <v>51</v>
      </c>
      <c r="B43" s="433">
        <v>1</v>
      </c>
      <c r="C43" s="457" t="s">
        <v>73</v>
      </c>
      <c r="D43" s="458">
        <v>25.9</v>
      </c>
      <c r="E43" s="504"/>
      <c r="F43" s="458">
        <v>24.9</v>
      </c>
    </row>
    <row r="44" spans="1:14" ht="26.25" customHeight="1" x14ac:dyDescent="0.4">
      <c r="A44" s="432" t="s">
        <v>53</v>
      </c>
      <c r="B44" s="433">
        <v>1</v>
      </c>
      <c r="C44" s="459" t="s">
        <v>74</v>
      </c>
      <c r="D44" s="460">
        <f>D43*$B$34</f>
        <v>25.9</v>
      </c>
      <c r="E44" s="519"/>
      <c r="F44" s="460">
        <f>F43*$B$34</f>
        <v>24.9</v>
      </c>
    </row>
    <row r="45" spans="1:14" ht="19.5" customHeight="1" thickBot="1" x14ac:dyDescent="0.35">
      <c r="A45" s="432" t="s">
        <v>55</v>
      </c>
      <c r="B45" s="461">
        <f>(B44/B43)*(B42/B41)*(B40/B39)*(B38/B37)*B36</f>
        <v>50</v>
      </c>
      <c r="C45" s="459" t="s">
        <v>56</v>
      </c>
      <c r="D45" s="462">
        <f>D44*$B$30/100</f>
        <v>22.255870000000002</v>
      </c>
      <c r="E45" s="501"/>
      <c r="F45" s="462">
        <f>F44*$B$30/100</f>
        <v>21.396570000000001</v>
      </c>
    </row>
    <row r="46" spans="1:14" ht="19.5" customHeight="1" thickBot="1" x14ac:dyDescent="0.35">
      <c r="A46" s="585" t="s">
        <v>57</v>
      </c>
      <c r="B46" s="586"/>
      <c r="C46" s="459" t="s">
        <v>58</v>
      </c>
      <c r="D46" s="463">
        <f>D45/$B$45</f>
        <v>0.44511740000000005</v>
      </c>
      <c r="E46" s="464"/>
      <c r="F46" s="465">
        <f>F45/$B$45</f>
        <v>0.42793140000000002</v>
      </c>
    </row>
    <row r="47" spans="1:14" ht="27" customHeight="1" thickBot="1" x14ac:dyDescent="0.45">
      <c r="A47" s="587"/>
      <c r="B47" s="588"/>
      <c r="C47" s="466" t="s">
        <v>75</v>
      </c>
      <c r="D47" s="467">
        <v>0.5</v>
      </c>
      <c r="E47" s="468"/>
      <c r="F47" s="464"/>
    </row>
    <row r="48" spans="1:14" ht="18.75" x14ac:dyDescent="0.3">
      <c r="C48" s="469" t="s">
        <v>59</v>
      </c>
      <c r="D48" s="462">
        <f>D47*$B$45</f>
        <v>25</v>
      </c>
      <c r="F48" s="470"/>
    </row>
    <row r="49" spans="1:12" ht="19.5" customHeight="1" thickBot="1" x14ac:dyDescent="0.35">
      <c r="C49" s="471" t="s">
        <v>60</v>
      </c>
      <c r="D49" s="472">
        <f>D48/B34</f>
        <v>25</v>
      </c>
      <c r="F49" s="470"/>
    </row>
    <row r="50" spans="1:12" ht="18.75" x14ac:dyDescent="0.3">
      <c r="C50" s="430" t="s">
        <v>61</v>
      </c>
      <c r="D50" s="473" t="e">
        <f>AVERAGE(E38:E41,G38:G41)</f>
        <v>#DIV/0!</v>
      </c>
      <c r="F50" s="474"/>
    </row>
    <row r="51" spans="1:12" ht="18.75" x14ac:dyDescent="0.3">
      <c r="C51" s="432" t="s">
        <v>62</v>
      </c>
      <c r="D51" s="475" t="e">
        <f>STDEV(E38:E41,G38:G41)/D50</f>
        <v>#DIV/0!</v>
      </c>
      <c r="F51" s="474"/>
    </row>
    <row r="52" spans="1:12" ht="19.5" customHeight="1" thickBot="1" x14ac:dyDescent="0.35">
      <c r="C52" s="476" t="s">
        <v>63</v>
      </c>
      <c r="D52" s="477">
        <f>COUNT(E38:E41,G38:G41)</f>
        <v>0</v>
      </c>
      <c r="F52" s="474"/>
    </row>
    <row r="54" spans="1:12" ht="18.75" x14ac:dyDescent="0.3">
      <c r="A54" s="478" t="s">
        <v>13</v>
      </c>
      <c r="B54" s="479" t="s">
        <v>64</v>
      </c>
    </row>
    <row r="55" spans="1:12" ht="18.75" x14ac:dyDescent="0.3">
      <c r="A55" s="504" t="s">
        <v>65</v>
      </c>
      <c r="B55" s="480" t="str">
        <f>B21</f>
        <v xml:space="preserve">Each fil coated tablet contains: Amoxicillin trihydrate Ph. Eur. equivalent to Amoxicillin 500mg
Potassium Clavulanate Ph. Eur. equivalent to clavulanic acid 25mg </v>
      </c>
    </row>
    <row r="56" spans="1:12" ht="26.25" customHeight="1" x14ac:dyDescent="0.4">
      <c r="A56" s="480" t="s">
        <v>66</v>
      </c>
      <c r="B56" s="481">
        <v>500</v>
      </c>
      <c r="C56" s="504" t="str">
        <f>B20</f>
        <v>Amoxicillin &amp; Clavulanate Potassium</v>
      </c>
      <c r="H56" s="519"/>
    </row>
    <row r="57" spans="1:12" ht="18.75" x14ac:dyDescent="0.3">
      <c r="A57" s="480" t="s">
        <v>67</v>
      </c>
      <c r="B57" s="559">
        <f>Uniformity!C46</f>
        <v>1028.1839999999997</v>
      </c>
      <c r="H57" s="519"/>
    </row>
    <row r="58" spans="1:12" ht="19.5" customHeight="1" thickBot="1" x14ac:dyDescent="0.35">
      <c r="H58" s="519"/>
    </row>
    <row r="59" spans="1:12" s="15" customFormat="1" ht="27" customHeight="1" thickBot="1" x14ac:dyDescent="0.45">
      <c r="A59" s="430" t="s">
        <v>76</v>
      </c>
      <c r="B59" s="431">
        <v>100</v>
      </c>
      <c r="C59" s="504"/>
      <c r="D59" s="482" t="s">
        <v>77</v>
      </c>
      <c r="E59" s="483" t="s">
        <v>42</v>
      </c>
      <c r="F59" s="483" t="s">
        <v>43</v>
      </c>
      <c r="G59" s="483" t="s">
        <v>78</v>
      </c>
      <c r="H59" s="434" t="s">
        <v>79</v>
      </c>
      <c r="L59" s="421"/>
    </row>
    <row r="60" spans="1:12" s="15" customFormat="1" ht="26.25" customHeight="1" thickBot="1" x14ac:dyDescent="0.45">
      <c r="A60" s="432" t="s">
        <v>80</v>
      </c>
      <c r="B60" s="433">
        <v>2</v>
      </c>
      <c r="C60" s="608" t="s">
        <v>81</v>
      </c>
      <c r="D60" s="611"/>
      <c r="E60" s="484">
        <v>1</v>
      </c>
      <c r="F60" s="485"/>
      <c r="G60" s="560" t="str">
        <f>IF(ISBLANK(F60),"-",(F60/$D$50*$D$47*$B$68)*($B$57/$D$60))</f>
        <v>-</v>
      </c>
      <c r="H60" s="486" t="str">
        <f t="shared" ref="H60:H71" si="0">IF(ISBLANK(F60),"-",G60/$B$56)</f>
        <v>-</v>
      </c>
      <c r="L60" s="421"/>
    </row>
    <row r="61" spans="1:12" s="15" customFormat="1" ht="26.25" customHeight="1" thickBot="1" x14ac:dyDescent="0.45">
      <c r="A61" s="432" t="s">
        <v>82</v>
      </c>
      <c r="B61" s="433">
        <v>20</v>
      </c>
      <c r="C61" s="609"/>
      <c r="D61" s="612"/>
      <c r="E61" s="487">
        <v>2</v>
      </c>
      <c r="F61" s="444"/>
      <c r="G61" s="561" t="str">
        <f>IF(ISBLANK(F61),"-",(F61/$D$50*$D$47*$B$68)*($B$57/$D$60))</f>
        <v>-</v>
      </c>
      <c r="H61" s="488" t="str">
        <f t="shared" si="0"/>
        <v>-</v>
      </c>
      <c r="L61" s="421"/>
    </row>
    <row r="62" spans="1:12" s="15" customFormat="1" ht="26.25" customHeight="1" thickBot="1" x14ac:dyDescent="0.45">
      <c r="A62" s="432" t="s">
        <v>83</v>
      </c>
      <c r="B62" s="433">
        <v>1</v>
      </c>
      <c r="C62" s="609"/>
      <c r="D62" s="612"/>
      <c r="E62" s="487">
        <v>3</v>
      </c>
      <c r="F62" s="489"/>
      <c r="G62" s="561" t="str">
        <f>IF(ISBLANK(F62),"-",(F62/$D$50*$D$47*$B$68)*($B$57/$D$60))</f>
        <v>-</v>
      </c>
      <c r="H62" s="488" t="str">
        <f t="shared" si="0"/>
        <v>-</v>
      </c>
      <c r="L62" s="421"/>
    </row>
    <row r="63" spans="1:12" ht="27" customHeight="1" thickBot="1" x14ac:dyDescent="0.45">
      <c r="A63" s="432" t="s">
        <v>84</v>
      </c>
      <c r="B63" s="433">
        <v>1</v>
      </c>
      <c r="C63" s="618"/>
      <c r="D63" s="613"/>
      <c r="E63" s="490">
        <v>4</v>
      </c>
      <c r="F63" s="491"/>
      <c r="G63" s="561" t="str">
        <f>IF(ISBLANK(F63),"-",(F63/$D$50*$D$47*$B$68)*($B$57/$D$60))</f>
        <v>-</v>
      </c>
      <c r="H63" s="488" t="str">
        <f t="shared" si="0"/>
        <v>-</v>
      </c>
    </row>
    <row r="64" spans="1:12" ht="26.25" customHeight="1" x14ac:dyDescent="0.4">
      <c r="A64" s="432" t="s">
        <v>85</v>
      </c>
      <c r="B64" s="433">
        <v>1</v>
      </c>
      <c r="C64" s="608" t="s">
        <v>86</v>
      </c>
      <c r="D64" s="611"/>
      <c r="E64" s="484">
        <v>1</v>
      </c>
      <c r="F64" s="485"/>
      <c r="G64" s="562" t="str">
        <f>IF(ISBLANK(F64),"-",(F64/$D$50*$D$47*$B$68)*($B$57/$D$64))</f>
        <v>-</v>
      </c>
      <c r="H64" s="492" t="str">
        <f t="shared" si="0"/>
        <v>-</v>
      </c>
    </row>
    <row r="65" spans="1:8" ht="26.25" customHeight="1" x14ac:dyDescent="0.4">
      <c r="A65" s="432" t="s">
        <v>87</v>
      </c>
      <c r="B65" s="433">
        <v>1</v>
      </c>
      <c r="C65" s="609"/>
      <c r="D65" s="612"/>
      <c r="E65" s="487">
        <v>2</v>
      </c>
      <c r="F65" s="444"/>
      <c r="G65" s="563" t="str">
        <f>IF(ISBLANK(F65),"-",(F65/$D$50*$D$47*$B$68)*($B$57/$D$64))</f>
        <v>-</v>
      </c>
      <c r="H65" s="493" t="str">
        <f t="shared" si="0"/>
        <v>-</v>
      </c>
    </row>
    <row r="66" spans="1:8" ht="26.25" customHeight="1" x14ac:dyDescent="0.4">
      <c r="A66" s="432" t="s">
        <v>88</v>
      </c>
      <c r="B66" s="433">
        <v>1</v>
      </c>
      <c r="C66" s="609"/>
      <c r="D66" s="612"/>
      <c r="E66" s="487">
        <v>3</v>
      </c>
      <c r="F66" s="444"/>
      <c r="G66" s="563" t="str">
        <f>IF(ISBLANK(F66),"-",(F66/$D$50*$D$47*$B$68)*($B$57/$D$64))</f>
        <v>-</v>
      </c>
      <c r="H66" s="493" t="str">
        <f t="shared" si="0"/>
        <v>-</v>
      </c>
    </row>
    <row r="67" spans="1:8" ht="27" customHeight="1" thickBot="1" x14ac:dyDescent="0.45">
      <c r="A67" s="432" t="s">
        <v>89</v>
      </c>
      <c r="B67" s="433">
        <v>1</v>
      </c>
      <c r="C67" s="618"/>
      <c r="D67" s="613"/>
      <c r="E67" s="490">
        <v>4</v>
      </c>
      <c r="F67" s="491"/>
      <c r="G67" s="564" t="str">
        <f>IF(ISBLANK(F67),"-",(F67/$D$50*$D$47*$B$68)*($B$57/$D$64))</f>
        <v>-</v>
      </c>
      <c r="H67" s="494" t="str">
        <f t="shared" si="0"/>
        <v>-</v>
      </c>
    </row>
    <row r="68" spans="1:8" ht="26.25" customHeight="1" x14ac:dyDescent="0.4">
      <c r="A68" s="432" t="s">
        <v>90</v>
      </c>
      <c r="B68" s="495">
        <f>(B67/B66)*(B65/B64)*(B63/B62)*(B61/B60)*B59</f>
        <v>1000</v>
      </c>
      <c r="C68" s="608" t="s">
        <v>91</v>
      </c>
      <c r="D68" s="611"/>
      <c r="E68" s="484">
        <v>1</v>
      </c>
      <c r="F68" s="485"/>
      <c r="G68" s="562" t="str">
        <f>IF(ISBLANK(F68),"-",(F68/$D$50*$D$47*$B$68)*($B$57/$D$68))</f>
        <v>-</v>
      </c>
      <c r="H68" s="488" t="str">
        <f t="shared" si="0"/>
        <v>-</v>
      </c>
    </row>
    <row r="69" spans="1:8" ht="27" customHeight="1" thickBot="1" x14ac:dyDescent="0.45">
      <c r="A69" s="476" t="s">
        <v>92</v>
      </c>
      <c r="B69" s="496">
        <f>(D47*B68)/B56*B57</f>
        <v>1028.1839999999997</v>
      </c>
      <c r="C69" s="609"/>
      <c r="D69" s="612"/>
      <c r="E69" s="487">
        <v>2</v>
      </c>
      <c r="F69" s="444"/>
      <c r="G69" s="563" t="str">
        <f>IF(ISBLANK(F69),"-",(F69/$D$50*$D$47*$B$68)*($B$57/$D$68))</f>
        <v>-</v>
      </c>
      <c r="H69" s="488" t="str">
        <f t="shared" si="0"/>
        <v>-</v>
      </c>
    </row>
    <row r="70" spans="1:8" ht="26.25" customHeight="1" x14ac:dyDescent="0.4">
      <c r="A70" s="614" t="s">
        <v>57</v>
      </c>
      <c r="B70" s="615"/>
      <c r="C70" s="609"/>
      <c r="D70" s="612"/>
      <c r="E70" s="487">
        <v>3</v>
      </c>
      <c r="F70" s="444"/>
      <c r="G70" s="563" t="str">
        <f>IF(ISBLANK(F70),"-",(F70/$D$50*$D$47*$B$68)*($B$57/$D$68))</f>
        <v>-</v>
      </c>
      <c r="H70" s="488" t="str">
        <f t="shared" si="0"/>
        <v>-</v>
      </c>
    </row>
    <row r="71" spans="1:8" ht="27" customHeight="1" thickBot="1" x14ac:dyDescent="0.45">
      <c r="A71" s="616"/>
      <c r="B71" s="617"/>
      <c r="C71" s="610"/>
      <c r="D71" s="613"/>
      <c r="E71" s="490">
        <v>4</v>
      </c>
      <c r="F71" s="491"/>
      <c r="G71" s="564" t="str">
        <f>IF(ISBLANK(F71),"-",(F71/$D$50*$D$47*$B$68)*($B$57/$D$68))</f>
        <v>-</v>
      </c>
      <c r="H71" s="497" t="str">
        <f t="shared" si="0"/>
        <v>-</v>
      </c>
    </row>
    <row r="72" spans="1:8" ht="26.25" customHeight="1" x14ac:dyDescent="0.4">
      <c r="A72" s="519"/>
      <c r="B72" s="519"/>
      <c r="C72" s="519"/>
      <c r="D72" s="519"/>
      <c r="E72" s="519"/>
      <c r="F72" s="519"/>
      <c r="G72" s="498" t="s">
        <v>50</v>
      </c>
      <c r="H72" s="499" t="e">
        <f>AVERAGE(H60:H71)</f>
        <v>#DIV/0!</v>
      </c>
    </row>
    <row r="73" spans="1:8" ht="26.25" customHeight="1" x14ac:dyDescent="0.4">
      <c r="C73" s="519"/>
      <c r="D73" s="519"/>
      <c r="E73" s="519"/>
      <c r="F73" s="519"/>
      <c r="G73" s="500" t="s">
        <v>62</v>
      </c>
      <c r="H73" s="565" t="e">
        <f>STDEV(H60:H71)/H72</f>
        <v>#DIV/0!</v>
      </c>
    </row>
    <row r="74" spans="1:8" ht="27" customHeight="1" thickBot="1" x14ac:dyDescent="0.45">
      <c r="A74" s="519"/>
      <c r="B74" s="519"/>
      <c r="C74" s="519"/>
      <c r="D74" s="519"/>
      <c r="E74" s="501"/>
      <c r="F74" s="519"/>
      <c r="G74" s="502" t="s">
        <v>63</v>
      </c>
      <c r="H74" s="503">
        <f>COUNT(H60:H71)</f>
        <v>0</v>
      </c>
    </row>
    <row r="76" spans="1:8" ht="26.25" customHeight="1" x14ac:dyDescent="0.4">
      <c r="A76" s="553" t="s">
        <v>93</v>
      </c>
      <c r="B76" s="511" t="s">
        <v>68</v>
      </c>
      <c r="C76" s="600" t="str">
        <f>B20</f>
        <v>Amoxicillin &amp; Clavulanate Potassium</v>
      </c>
      <c r="D76" s="600"/>
      <c r="E76" s="504" t="s">
        <v>69</v>
      </c>
      <c r="F76" s="504"/>
      <c r="G76" s="505" t="e">
        <f>H72</f>
        <v>#DIV/0!</v>
      </c>
      <c r="H76" s="571"/>
    </row>
    <row r="77" spans="1:8" ht="18.75" x14ac:dyDescent="0.3">
      <c r="A77" s="419" t="s">
        <v>94</v>
      </c>
      <c r="B77" s="419" t="s">
        <v>95</v>
      </c>
    </row>
    <row r="78" spans="1:8" ht="18.75" x14ac:dyDescent="0.3">
      <c r="A78" s="419"/>
      <c r="B78" s="419"/>
    </row>
    <row r="79" spans="1:8" ht="26.25" customHeight="1" x14ac:dyDescent="0.4">
      <c r="A79" s="553" t="s">
        <v>28</v>
      </c>
      <c r="B79" s="591" t="str">
        <f>B26</f>
        <v>Amoxicillin trihydrate</v>
      </c>
      <c r="C79" s="591"/>
    </row>
    <row r="80" spans="1:8" ht="26.25" customHeight="1" x14ac:dyDescent="0.4">
      <c r="A80" s="511" t="s">
        <v>29</v>
      </c>
      <c r="B80" s="591" t="str">
        <f>B27</f>
        <v>A1 2</v>
      </c>
      <c r="C80" s="591"/>
    </row>
    <row r="81" spans="1:12" ht="27" customHeight="1" thickBot="1" x14ac:dyDescent="0.45">
      <c r="A81" s="511" t="s">
        <v>30</v>
      </c>
      <c r="B81" s="506">
        <f>B28</f>
        <v>99.52000000000001</v>
      </c>
    </row>
    <row r="82" spans="1:12" s="15" customFormat="1" ht="27" customHeight="1" thickBot="1" x14ac:dyDescent="0.45">
      <c r="A82" s="511" t="s">
        <v>31</v>
      </c>
      <c r="B82" s="420">
        <v>13.59</v>
      </c>
      <c r="C82" s="602" t="s">
        <v>70</v>
      </c>
      <c r="D82" s="603"/>
      <c r="E82" s="603"/>
      <c r="F82" s="603"/>
      <c r="G82" s="604"/>
      <c r="I82" s="421"/>
      <c r="J82" s="421"/>
      <c r="K82" s="421"/>
      <c r="L82" s="421"/>
    </row>
    <row r="83" spans="1:12" s="15" customFormat="1" ht="19.5" customHeight="1" thickBot="1" x14ac:dyDescent="0.35">
      <c r="A83" s="511" t="s">
        <v>32</v>
      </c>
      <c r="B83" s="571">
        <f>B81-B82</f>
        <v>85.93</v>
      </c>
      <c r="C83" s="422"/>
      <c r="D83" s="422"/>
      <c r="E83" s="422"/>
      <c r="F83" s="422"/>
      <c r="G83" s="423"/>
      <c r="I83" s="421"/>
      <c r="J83" s="421"/>
      <c r="K83" s="421"/>
      <c r="L83" s="421"/>
    </row>
    <row r="84" spans="1:12" s="15" customFormat="1" ht="27" customHeight="1" thickBot="1" x14ac:dyDescent="0.45">
      <c r="A84" s="511" t="s">
        <v>33</v>
      </c>
      <c r="B84" s="424">
        <v>1</v>
      </c>
      <c r="C84" s="593" t="s">
        <v>96</v>
      </c>
      <c r="D84" s="594"/>
      <c r="E84" s="594"/>
      <c r="F84" s="594"/>
      <c r="G84" s="594"/>
      <c r="H84" s="595"/>
      <c r="I84" s="421"/>
      <c r="J84" s="421"/>
      <c r="K84" s="421"/>
      <c r="L84" s="421"/>
    </row>
    <row r="85" spans="1:12" s="15" customFormat="1" ht="27" customHeight="1" thickBot="1" x14ac:dyDescent="0.45">
      <c r="A85" s="511" t="s">
        <v>35</v>
      </c>
      <c r="B85" s="424">
        <v>1</v>
      </c>
      <c r="C85" s="593" t="s">
        <v>97</v>
      </c>
      <c r="D85" s="594"/>
      <c r="E85" s="594"/>
      <c r="F85" s="594"/>
      <c r="G85" s="594"/>
      <c r="H85" s="595"/>
      <c r="I85" s="421"/>
      <c r="J85" s="421"/>
      <c r="K85" s="421"/>
      <c r="L85" s="421"/>
    </row>
    <row r="86" spans="1:12" s="15" customFormat="1" ht="19.5" thickBot="1" x14ac:dyDescent="0.35">
      <c r="A86" s="511"/>
      <c r="B86" s="427"/>
      <c r="C86" s="428"/>
      <c r="D86" s="428"/>
      <c r="E86" s="428"/>
      <c r="F86" s="428"/>
      <c r="G86" s="428"/>
      <c r="H86" s="428"/>
      <c r="I86" s="421"/>
      <c r="J86" s="421"/>
      <c r="K86" s="421"/>
      <c r="L86" s="421"/>
    </row>
    <row r="87" spans="1:12" s="15" customFormat="1" ht="19.5" thickBot="1" x14ac:dyDescent="0.35">
      <c r="A87" s="511" t="s">
        <v>37</v>
      </c>
      <c r="B87" s="429">
        <f>B84/B85</f>
        <v>1</v>
      </c>
      <c r="C87" s="504" t="s">
        <v>38</v>
      </c>
      <c r="D87" s="504"/>
      <c r="E87" s="504"/>
      <c r="F87" s="504"/>
      <c r="G87" s="504"/>
      <c r="I87" s="421"/>
      <c r="J87" s="421"/>
      <c r="K87" s="421"/>
      <c r="L87" s="421"/>
    </row>
    <row r="88" spans="1:12" ht="19.5" customHeight="1" thickBot="1" x14ac:dyDescent="0.35">
      <c r="A88" s="419"/>
      <c r="B88" s="419"/>
    </row>
    <row r="89" spans="1:12" ht="27" customHeight="1" thickBot="1" x14ac:dyDescent="0.45">
      <c r="A89" s="430" t="s">
        <v>71</v>
      </c>
      <c r="B89" s="431">
        <v>50</v>
      </c>
      <c r="D89" s="572" t="s">
        <v>39</v>
      </c>
      <c r="E89" s="575"/>
      <c r="F89" s="596" t="s">
        <v>40</v>
      </c>
      <c r="G89" s="597"/>
    </row>
    <row r="90" spans="1:12" ht="27" customHeight="1" thickBot="1" x14ac:dyDescent="0.45">
      <c r="A90" s="432" t="s">
        <v>41</v>
      </c>
      <c r="B90" s="433">
        <v>1</v>
      </c>
      <c r="C90" s="573" t="s">
        <v>42</v>
      </c>
      <c r="D90" s="435" t="s">
        <v>43</v>
      </c>
      <c r="E90" s="436" t="s">
        <v>44</v>
      </c>
      <c r="F90" s="435" t="s">
        <v>43</v>
      </c>
      <c r="G90" s="507" t="s">
        <v>44</v>
      </c>
      <c r="I90" s="438" t="s">
        <v>72</v>
      </c>
    </row>
    <row r="91" spans="1:12" ht="26.25" customHeight="1" x14ac:dyDescent="0.4">
      <c r="A91" s="432" t="s">
        <v>45</v>
      </c>
      <c r="B91" s="433">
        <v>1</v>
      </c>
      <c r="C91" s="508">
        <v>1</v>
      </c>
      <c r="D91" s="440">
        <v>213498692</v>
      </c>
      <c r="E91" s="441">
        <f>IF(ISBLANK(D91),"-",$D$101/$D$98*D91)</f>
        <v>248257918.74355742</v>
      </c>
      <c r="F91" s="440">
        <v>214572283</v>
      </c>
      <c r="G91" s="442">
        <f>IF(ISBLANK(F91),"-",$D$101/$F$98*F91)</f>
        <v>243472994.97123605</v>
      </c>
      <c r="I91" s="443"/>
    </row>
    <row r="92" spans="1:12" ht="26.25" customHeight="1" x14ac:dyDescent="0.4">
      <c r="A92" s="432" t="s">
        <v>46</v>
      </c>
      <c r="B92" s="433">
        <v>1</v>
      </c>
      <c r="C92" s="519">
        <v>2</v>
      </c>
      <c r="D92" s="444">
        <v>213625293</v>
      </c>
      <c r="E92" s="445">
        <f>IF(ISBLANK(D92),"-",$D$101/$D$98*D92)</f>
        <v>248405131.35866261</v>
      </c>
      <c r="F92" s="444">
        <v>214500867</v>
      </c>
      <c r="G92" s="446">
        <f>IF(ISBLANK(F92),"-",$D$101/$F$98*F92)</f>
        <v>243391959.9597902</v>
      </c>
      <c r="I92" s="605">
        <f>ABS((F96/D96*D95)-F95)/D95</f>
        <v>2.1200858462445196E-2</v>
      </c>
    </row>
    <row r="93" spans="1:12" ht="26.25" customHeight="1" x14ac:dyDescent="0.4">
      <c r="A93" s="432" t="s">
        <v>47</v>
      </c>
      <c r="B93" s="433">
        <v>1</v>
      </c>
      <c r="C93" s="519">
        <v>3</v>
      </c>
      <c r="D93" s="444">
        <v>213981775</v>
      </c>
      <c r="E93" s="445">
        <f>IF(ISBLANK(D93),"-",$D$101/$D$98*D93)</f>
        <v>248819651.36607108</v>
      </c>
      <c r="F93" s="444">
        <v>214327331</v>
      </c>
      <c r="G93" s="446">
        <f>IF(ISBLANK(F93),"-",$D$101/$F$98*F93)</f>
        <v>243195050.41926333</v>
      </c>
      <c r="I93" s="605"/>
    </row>
    <row r="94" spans="1:12" ht="27" customHeight="1" thickBot="1" x14ac:dyDescent="0.45">
      <c r="A94" s="432" t="s">
        <v>48</v>
      </c>
      <c r="B94" s="433">
        <v>1</v>
      </c>
      <c r="C94" s="509">
        <v>4</v>
      </c>
      <c r="D94" s="448"/>
      <c r="E94" s="449" t="str">
        <f>IF(ISBLANK(D94),"-",$D$101/$D$98*D94)</f>
        <v>-</v>
      </c>
      <c r="F94" s="510"/>
      <c r="G94" s="450" t="str">
        <f>IF(ISBLANK(F94),"-",$D$101/$F$98*F94)</f>
        <v>-</v>
      </c>
      <c r="I94" s="451"/>
    </row>
    <row r="95" spans="1:12" ht="27" customHeight="1" thickBot="1" x14ac:dyDescent="0.45">
      <c r="A95" s="432" t="s">
        <v>49</v>
      </c>
      <c r="B95" s="433">
        <v>1</v>
      </c>
      <c r="C95" s="511" t="s">
        <v>50</v>
      </c>
      <c r="D95" s="512">
        <f>AVERAGE(D91:D94)</f>
        <v>213701920</v>
      </c>
      <c r="E95" s="454">
        <f>AVERAGE(E91:E94)</f>
        <v>248494233.82276371</v>
      </c>
      <c r="F95" s="513">
        <f>AVERAGE(F91:F94)</f>
        <v>214466827</v>
      </c>
      <c r="G95" s="514">
        <f>AVERAGE(G91:G94)</f>
        <v>243353335.1167632</v>
      </c>
    </row>
    <row r="96" spans="1:12" ht="26.25" customHeight="1" x14ac:dyDescent="0.4">
      <c r="A96" s="432" t="s">
        <v>51</v>
      </c>
      <c r="B96" s="506">
        <v>1</v>
      </c>
      <c r="C96" s="515" t="s">
        <v>52</v>
      </c>
      <c r="D96" s="516">
        <v>25.02</v>
      </c>
      <c r="E96" s="504"/>
      <c r="F96" s="458">
        <v>25.64</v>
      </c>
    </row>
    <row r="97" spans="1:10" ht="26.25" customHeight="1" x14ac:dyDescent="0.4">
      <c r="A97" s="432" t="s">
        <v>53</v>
      </c>
      <c r="B97" s="506">
        <v>1</v>
      </c>
      <c r="C97" s="517" t="s">
        <v>54</v>
      </c>
      <c r="D97" s="518">
        <f>D96*$B$87</f>
        <v>25.02</v>
      </c>
      <c r="E97" s="519"/>
      <c r="F97" s="460">
        <f>F96*$B$87</f>
        <v>25.64</v>
      </c>
    </row>
    <row r="98" spans="1:10" ht="19.5" customHeight="1" thickBot="1" x14ac:dyDescent="0.35">
      <c r="A98" s="432" t="s">
        <v>55</v>
      </c>
      <c r="B98" s="519">
        <f>(B97/B96)*(B95/B94)*(B93/B92)*(B91/B90)*B89</f>
        <v>50</v>
      </c>
      <c r="C98" s="517" t="s">
        <v>98</v>
      </c>
      <c r="D98" s="520">
        <f>D97*$B$83/100</f>
        <v>21.499686000000001</v>
      </c>
      <c r="E98" s="501"/>
      <c r="F98" s="462">
        <f>F97*$B$83/100</f>
        <v>22.032452000000003</v>
      </c>
    </row>
    <row r="99" spans="1:10" ht="19.5" customHeight="1" thickBot="1" x14ac:dyDescent="0.35">
      <c r="A99" s="585" t="s">
        <v>57</v>
      </c>
      <c r="B99" s="606"/>
      <c r="C99" s="517" t="s">
        <v>99</v>
      </c>
      <c r="D99" s="521">
        <f>D98/$B$98</f>
        <v>0.42999372000000002</v>
      </c>
      <c r="E99" s="501"/>
      <c r="F99" s="465">
        <f>F98/$B$98</f>
        <v>0.44064904000000005</v>
      </c>
      <c r="G99" s="522"/>
    </row>
    <row r="100" spans="1:10" ht="19.5" customHeight="1" thickBot="1" x14ac:dyDescent="0.35">
      <c r="A100" s="587"/>
      <c r="B100" s="607"/>
      <c r="C100" s="517" t="s">
        <v>75</v>
      </c>
      <c r="D100" s="523">
        <v>0.5</v>
      </c>
      <c r="F100" s="470"/>
      <c r="G100" s="529"/>
    </row>
    <row r="101" spans="1:10" ht="18.75" x14ac:dyDescent="0.3">
      <c r="C101" s="517" t="s">
        <v>59</v>
      </c>
      <c r="D101" s="518">
        <f>D100*$B$98</f>
        <v>25</v>
      </c>
      <c r="F101" s="470"/>
      <c r="G101" s="522"/>
    </row>
    <row r="102" spans="1:10" ht="19.5" customHeight="1" thickBot="1" x14ac:dyDescent="0.35">
      <c r="C102" s="524" t="s">
        <v>60</v>
      </c>
      <c r="D102" s="525">
        <f>D101/B34</f>
        <v>25</v>
      </c>
      <c r="F102" s="474"/>
      <c r="G102" s="522"/>
      <c r="J102" s="526"/>
    </row>
    <row r="103" spans="1:10" ht="18.75" x14ac:dyDescent="0.3">
      <c r="C103" s="527" t="s">
        <v>100</v>
      </c>
      <c r="D103" s="528">
        <f>AVERAGE(E91:E94,G91:G94)</f>
        <v>245923784.46976349</v>
      </c>
      <c r="F103" s="474"/>
      <c r="G103" s="529"/>
      <c r="J103" s="530"/>
    </row>
    <row r="104" spans="1:10" ht="18.75" x14ac:dyDescent="0.3">
      <c r="C104" s="500" t="s">
        <v>62</v>
      </c>
      <c r="D104" s="531">
        <f>STDEV(E91:E94,G91:G94)/D103</f>
        <v>1.1480197415647552E-2</v>
      </c>
      <c r="F104" s="474"/>
      <c r="G104" s="522"/>
      <c r="J104" s="530"/>
    </row>
    <row r="105" spans="1:10" ht="19.5" customHeight="1" thickBot="1" x14ac:dyDescent="0.35">
      <c r="C105" s="502" t="s">
        <v>63</v>
      </c>
      <c r="D105" s="532">
        <f>COUNT(E91:E94,G91:G94)</f>
        <v>6</v>
      </c>
      <c r="F105" s="474"/>
      <c r="G105" s="522"/>
      <c r="J105" s="530"/>
    </row>
    <row r="106" spans="1:10" ht="19.5" customHeight="1" thickBot="1" x14ac:dyDescent="0.35">
      <c r="A106" s="478"/>
      <c r="B106" s="478"/>
      <c r="C106" s="478"/>
      <c r="D106" s="478"/>
      <c r="E106" s="478"/>
    </row>
    <row r="107" spans="1:10" ht="26.25" customHeight="1" x14ac:dyDescent="0.4">
      <c r="A107" s="430" t="s">
        <v>101</v>
      </c>
      <c r="B107" s="431">
        <v>900</v>
      </c>
      <c r="C107" s="572" t="s">
        <v>102</v>
      </c>
      <c r="D107" s="533" t="s">
        <v>43</v>
      </c>
      <c r="E107" s="534" t="s">
        <v>103</v>
      </c>
      <c r="F107" s="535" t="s">
        <v>104</v>
      </c>
    </row>
    <row r="108" spans="1:10" ht="26.25" customHeight="1" x14ac:dyDescent="0.4">
      <c r="A108" s="432" t="s">
        <v>105</v>
      </c>
      <c r="B108" s="433">
        <v>1</v>
      </c>
      <c r="C108" s="536">
        <v>1</v>
      </c>
      <c r="D108" s="537">
        <v>219429277</v>
      </c>
      <c r="E108" s="566">
        <f>IF(ISBLANK(D108),"-",D108/$D$103*$D$100*$B$116)</f>
        <v>401.51941733858826</v>
      </c>
      <c r="F108" s="538">
        <f>IF(ISBLANK(D108), "-", E108/$B$56)</f>
        <v>0.80303883467717652</v>
      </c>
    </row>
    <row r="109" spans="1:10" ht="26.25" customHeight="1" x14ac:dyDescent="0.4">
      <c r="A109" s="432" t="s">
        <v>82</v>
      </c>
      <c r="B109" s="433">
        <v>1</v>
      </c>
      <c r="C109" s="536">
        <v>2</v>
      </c>
      <c r="D109" s="537">
        <v>230869754</v>
      </c>
      <c r="E109" s="567">
        <f t="shared" ref="E109:E113" si="1">IF(ISBLANK(D109),"-",D109/$D$103*$D$100*$B$116)</f>
        <v>422.45360498172363</v>
      </c>
      <c r="F109" s="539">
        <f t="shared" ref="F109:F113" si="2">IF(ISBLANK(D109), "-", E109/$B$56)</f>
        <v>0.84490720996344726</v>
      </c>
    </row>
    <row r="110" spans="1:10" ht="26.25" customHeight="1" x14ac:dyDescent="0.4">
      <c r="A110" s="432" t="s">
        <v>83</v>
      </c>
      <c r="B110" s="433">
        <v>1</v>
      </c>
      <c r="C110" s="536">
        <v>3</v>
      </c>
      <c r="D110" s="537">
        <v>219942020</v>
      </c>
      <c r="E110" s="567">
        <f t="shared" si="1"/>
        <v>402.45765253408791</v>
      </c>
      <c r="F110" s="539">
        <f t="shared" si="2"/>
        <v>0.80491530506817588</v>
      </c>
    </row>
    <row r="111" spans="1:10" ht="26.25" customHeight="1" x14ac:dyDescent="0.4">
      <c r="A111" s="432" t="s">
        <v>84</v>
      </c>
      <c r="B111" s="433">
        <v>1</v>
      </c>
      <c r="C111" s="536">
        <v>4</v>
      </c>
      <c r="D111" s="537">
        <v>219279440</v>
      </c>
      <c r="E111" s="567">
        <f t="shared" si="1"/>
        <v>401.24524032010515</v>
      </c>
      <c r="F111" s="539">
        <f t="shared" si="2"/>
        <v>0.80249048064021034</v>
      </c>
    </row>
    <row r="112" spans="1:10" ht="26.25" customHeight="1" x14ac:dyDescent="0.4">
      <c r="A112" s="432" t="s">
        <v>85</v>
      </c>
      <c r="B112" s="433">
        <v>1</v>
      </c>
      <c r="C112" s="536">
        <v>5</v>
      </c>
      <c r="D112" s="537">
        <v>225589301</v>
      </c>
      <c r="E112" s="567">
        <f t="shared" si="1"/>
        <v>412.79124615326248</v>
      </c>
      <c r="F112" s="539">
        <f t="shared" si="2"/>
        <v>0.82558249230652492</v>
      </c>
    </row>
    <row r="113" spans="1:10" ht="26.25" customHeight="1" x14ac:dyDescent="0.4">
      <c r="A113" s="432" t="s">
        <v>87</v>
      </c>
      <c r="B113" s="433">
        <v>1</v>
      </c>
      <c r="C113" s="540">
        <v>6</v>
      </c>
      <c r="D113" s="541">
        <v>224462934</v>
      </c>
      <c r="E113" s="568">
        <f t="shared" si="1"/>
        <v>410.7301801563608</v>
      </c>
      <c r="F113" s="542">
        <f t="shared" si="2"/>
        <v>0.82146036031272163</v>
      </c>
    </row>
    <row r="114" spans="1:10" ht="26.25" customHeight="1" x14ac:dyDescent="0.4">
      <c r="A114" s="432" t="s">
        <v>88</v>
      </c>
      <c r="B114" s="433">
        <v>1</v>
      </c>
      <c r="C114" s="536"/>
      <c r="D114" s="519"/>
      <c r="E114" s="504"/>
      <c r="F114" s="543"/>
    </row>
    <row r="115" spans="1:10" ht="26.25" customHeight="1" x14ac:dyDescent="0.4">
      <c r="A115" s="432" t="s">
        <v>89</v>
      </c>
      <c r="B115" s="433">
        <v>1</v>
      </c>
      <c r="C115" s="536"/>
      <c r="D115" s="383"/>
      <c r="E115" s="544" t="s">
        <v>50</v>
      </c>
      <c r="F115" s="545">
        <f>AVERAGE(F108:F113)</f>
        <v>0.81706578049470957</v>
      </c>
    </row>
    <row r="116" spans="1:10" ht="27" customHeight="1" thickBot="1" x14ac:dyDescent="0.45">
      <c r="A116" s="432" t="s">
        <v>90</v>
      </c>
      <c r="B116" s="461">
        <f>(B115/B114)*(B113/B112)*(B111/B110)*(B109/B108)*B107</f>
        <v>900</v>
      </c>
      <c r="C116" s="546"/>
      <c r="D116" s="387"/>
      <c r="E116" s="511" t="s">
        <v>62</v>
      </c>
      <c r="F116" s="547">
        <f>STDEV(F108:F113)/F115</f>
        <v>2.0653116827101702E-2</v>
      </c>
      <c r="I116" s="504"/>
    </row>
    <row r="117" spans="1:10" ht="27" customHeight="1" thickBot="1" x14ac:dyDescent="0.45">
      <c r="A117" s="585" t="s">
        <v>57</v>
      </c>
      <c r="B117" s="586"/>
      <c r="C117" s="548"/>
      <c r="D117" s="390"/>
      <c r="E117" s="549" t="s">
        <v>63</v>
      </c>
      <c r="F117" s="550">
        <f>COUNT(F108:F113)</f>
        <v>6</v>
      </c>
      <c r="I117" s="504"/>
      <c r="J117" s="530"/>
    </row>
    <row r="118" spans="1:10" ht="19.5" customHeight="1" thickBot="1" x14ac:dyDescent="0.35">
      <c r="A118" s="587"/>
      <c r="B118" s="588"/>
      <c r="C118" s="504"/>
      <c r="D118" s="504"/>
      <c r="E118" s="504"/>
      <c r="F118" s="519"/>
      <c r="G118" s="504"/>
      <c r="H118" s="504"/>
      <c r="I118" s="504"/>
    </row>
    <row r="119" spans="1:10" ht="18.75" x14ac:dyDescent="0.3">
      <c r="A119" s="557"/>
      <c r="B119" s="428"/>
      <c r="C119" s="504"/>
      <c r="D119" s="504"/>
      <c r="E119" s="504"/>
      <c r="F119" s="519"/>
      <c r="G119" s="504"/>
      <c r="H119" s="504"/>
      <c r="I119" s="504"/>
    </row>
    <row r="120" spans="1:10" ht="26.25" customHeight="1" x14ac:dyDescent="0.4">
      <c r="A120" s="553" t="s">
        <v>93</v>
      </c>
      <c r="B120" s="511" t="s">
        <v>106</v>
      </c>
      <c r="C120" s="600" t="str">
        <f>B20</f>
        <v>Amoxicillin &amp; Clavulanate Potassium</v>
      </c>
      <c r="D120" s="600"/>
      <c r="E120" s="504" t="s">
        <v>107</v>
      </c>
      <c r="F120" s="504"/>
      <c r="G120" s="505">
        <f>F115</f>
        <v>0.81706578049470957</v>
      </c>
      <c r="H120" s="504"/>
      <c r="I120" s="504"/>
    </row>
    <row r="121" spans="1:10" ht="19.5" customHeight="1" thickBot="1" x14ac:dyDescent="0.35">
      <c r="A121" s="576"/>
      <c r="B121" s="576"/>
      <c r="C121" s="551"/>
      <c r="D121" s="551"/>
      <c r="E121" s="551"/>
      <c r="F121" s="551"/>
      <c r="G121" s="551"/>
      <c r="H121" s="551"/>
    </row>
    <row r="122" spans="1:10" ht="18.75" x14ac:dyDescent="0.3">
      <c r="B122" s="601" t="s">
        <v>20</v>
      </c>
      <c r="C122" s="601"/>
      <c r="E122" s="573" t="s">
        <v>21</v>
      </c>
      <c r="F122" s="552"/>
      <c r="G122" s="601" t="s">
        <v>22</v>
      </c>
      <c r="H122" s="601"/>
    </row>
    <row r="123" spans="1:10" ht="69.95" customHeight="1" x14ac:dyDescent="0.3">
      <c r="A123" s="553" t="s">
        <v>23</v>
      </c>
      <c r="B123" s="554"/>
      <c r="C123" s="554"/>
      <c r="E123" s="554"/>
      <c r="F123" s="504"/>
      <c r="G123" s="554"/>
      <c r="H123" s="554"/>
    </row>
    <row r="124" spans="1:10" ht="69.95" customHeight="1" x14ac:dyDescent="0.3">
      <c r="A124" s="553" t="s">
        <v>24</v>
      </c>
      <c r="B124" s="555"/>
      <c r="C124" s="555"/>
      <c r="E124" s="555"/>
      <c r="F124" s="504"/>
      <c r="G124" s="556"/>
      <c r="H124" s="556"/>
    </row>
    <row r="125" spans="1:10" ht="18.75" x14ac:dyDescent="0.3">
      <c r="A125" s="519"/>
      <c r="B125" s="519"/>
      <c r="C125" s="519"/>
      <c r="D125" s="519"/>
      <c r="E125" s="519"/>
      <c r="F125" s="501"/>
      <c r="G125" s="519"/>
      <c r="H125" s="519"/>
      <c r="I125" s="504"/>
    </row>
    <row r="126" spans="1:10" ht="18.75" x14ac:dyDescent="0.3">
      <c r="A126" s="519"/>
      <c r="B126" s="519"/>
      <c r="C126" s="519"/>
      <c r="D126" s="519"/>
      <c r="E126" s="519"/>
      <c r="F126" s="501"/>
      <c r="G126" s="519"/>
      <c r="H126" s="519"/>
      <c r="I126" s="504"/>
    </row>
    <row r="127" spans="1:10" ht="18.75" x14ac:dyDescent="0.3">
      <c r="A127" s="519"/>
      <c r="B127" s="519"/>
      <c r="C127" s="519"/>
      <c r="D127" s="519"/>
      <c r="E127" s="519"/>
      <c r="F127" s="501"/>
      <c r="G127" s="519"/>
      <c r="H127" s="519"/>
      <c r="I127" s="504"/>
    </row>
    <row r="128" spans="1:10" ht="18.75" x14ac:dyDescent="0.3">
      <c r="A128" s="519"/>
      <c r="B128" s="519"/>
      <c r="C128" s="519"/>
      <c r="D128" s="519"/>
      <c r="E128" s="519"/>
      <c r="F128" s="501"/>
      <c r="G128" s="519"/>
      <c r="H128" s="519"/>
      <c r="I128" s="504"/>
    </row>
    <row r="129" spans="1:9" ht="18.75" x14ac:dyDescent="0.3">
      <c r="A129" s="519"/>
      <c r="B129" s="519"/>
      <c r="C129" s="519"/>
      <c r="D129" s="519"/>
      <c r="E129" s="519"/>
      <c r="F129" s="501"/>
      <c r="G129" s="519"/>
      <c r="H129" s="519"/>
      <c r="I129" s="504"/>
    </row>
    <row r="130" spans="1:9" ht="18.75" x14ac:dyDescent="0.3">
      <c r="A130" s="519"/>
      <c r="B130" s="519"/>
      <c r="C130" s="519"/>
      <c r="D130" s="519"/>
      <c r="E130" s="519"/>
      <c r="F130" s="501"/>
      <c r="G130" s="519"/>
      <c r="H130" s="519"/>
      <c r="I130" s="504"/>
    </row>
    <row r="131" spans="1:9" ht="18.75" x14ac:dyDescent="0.3">
      <c r="A131" s="519"/>
      <c r="B131" s="519"/>
      <c r="C131" s="519"/>
      <c r="D131" s="519"/>
      <c r="E131" s="519"/>
      <c r="F131" s="501"/>
      <c r="G131" s="519"/>
      <c r="H131" s="519"/>
      <c r="I131" s="504"/>
    </row>
    <row r="132" spans="1:9" ht="18.75" x14ac:dyDescent="0.3">
      <c r="A132" s="519"/>
      <c r="B132" s="519"/>
      <c r="C132" s="519"/>
      <c r="D132" s="519"/>
      <c r="E132" s="519"/>
      <c r="F132" s="501"/>
      <c r="G132" s="519"/>
      <c r="H132" s="519"/>
      <c r="I132" s="504"/>
    </row>
    <row r="133" spans="1:9" ht="18.75" x14ac:dyDescent="0.3">
      <c r="A133" s="519"/>
      <c r="B133" s="519"/>
      <c r="C133" s="519"/>
      <c r="D133" s="519"/>
      <c r="E133" s="519"/>
      <c r="F133" s="501"/>
      <c r="G133" s="519"/>
      <c r="H133" s="519"/>
      <c r="I133" s="504"/>
    </row>
    <row r="250" spans="1:1" x14ac:dyDescent="0.25">
      <c r="A250" s="456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1" zoomScale="50" zoomScaleNormal="40" zoomScalePageLayoutView="50" workbookViewId="0">
      <selection activeCell="E46" sqref="E46"/>
    </sheetView>
  </sheetViews>
  <sheetFormatPr defaultColWidth="9.140625" defaultRowHeight="15" x14ac:dyDescent="0.25"/>
  <cols>
    <col min="1" max="1" width="55.42578125" style="456" customWidth="1"/>
    <col min="2" max="2" width="33.7109375" style="456" customWidth="1"/>
    <col min="3" max="3" width="42.28515625" style="456" customWidth="1"/>
    <col min="4" max="4" width="30.5703125" style="456" customWidth="1"/>
    <col min="5" max="5" width="39.85546875" style="456" customWidth="1"/>
    <col min="6" max="6" width="30.7109375" style="456" customWidth="1"/>
    <col min="7" max="7" width="39.85546875" style="456" customWidth="1"/>
    <col min="8" max="8" width="30" style="456" customWidth="1"/>
    <col min="9" max="9" width="30.28515625" style="456" hidden="1" customWidth="1"/>
    <col min="10" max="10" width="30.42578125" style="456" customWidth="1"/>
    <col min="11" max="11" width="21.28515625" style="456" customWidth="1"/>
    <col min="12" max="12" width="9.140625" style="456"/>
  </cols>
  <sheetData>
    <row r="1" spans="1:9" ht="18.75" customHeight="1" x14ac:dyDescent="0.25">
      <c r="A1" s="598" t="s">
        <v>25</v>
      </c>
      <c r="B1" s="598"/>
      <c r="C1" s="598"/>
      <c r="D1" s="598"/>
      <c r="E1" s="598"/>
      <c r="F1" s="598"/>
      <c r="G1" s="598"/>
      <c r="H1" s="598"/>
      <c r="I1" s="598"/>
    </row>
    <row r="2" spans="1:9" ht="18.75" customHeight="1" x14ac:dyDescent="0.25">
      <c r="A2" s="598"/>
      <c r="B2" s="598"/>
      <c r="C2" s="598"/>
      <c r="D2" s="598"/>
      <c r="E2" s="598"/>
      <c r="F2" s="598"/>
      <c r="G2" s="598"/>
      <c r="H2" s="598"/>
      <c r="I2" s="598"/>
    </row>
    <row r="3" spans="1:9" ht="18.75" customHeight="1" x14ac:dyDescent="0.25">
      <c r="A3" s="598"/>
      <c r="B3" s="598"/>
      <c r="C3" s="598"/>
      <c r="D3" s="598"/>
      <c r="E3" s="598"/>
      <c r="F3" s="598"/>
      <c r="G3" s="598"/>
      <c r="H3" s="598"/>
      <c r="I3" s="598"/>
    </row>
    <row r="4" spans="1:9" ht="18.75" customHeight="1" x14ac:dyDescent="0.25">
      <c r="A4" s="598"/>
      <c r="B4" s="598"/>
      <c r="C4" s="598"/>
      <c r="D4" s="598"/>
      <c r="E4" s="598"/>
      <c r="F4" s="598"/>
      <c r="G4" s="598"/>
      <c r="H4" s="598"/>
      <c r="I4" s="598"/>
    </row>
    <row r="5" spans="1:9" ht="18.75" customHeight="1" x14ac:dyDescent="0.25">
      <c r="A5" s="598"/>
      <c r="B5" s="598"/>
      <c r="C5" s="598"/>
      <c r="D5" s="598"/>
      <c r="E5" s="598"/>
      <c r="F5" s="598"/>
      <c r="G5" s="598"/>
      <c r="H5" s="598"/>
      <c r="I5" s="598"/>
    </row>
    <row r="6" spans="1:9" ht="18.75" customHeight="1" x14ac:dyDescent="0.25">
      <c r="A6" s="598"/>
      <c r="B6" s="598"/>
      <c r="C6" s="598"/>
      <c r="D6" s="598"/>
      <c r="E6" s="598"/>
      <c r="F6" s="598"/>
      <c r="G6" s="598"/>
      <c r="H6" s="598"/>
      <c r="I6" s="598"/>
    </row>
    <row r="7" spans="1:9" ht="18.75" customHeight="1" x14ac:dyDescent="0.25">
      <c r="A7" s="598"/>
      <c r="B7" s="598"/>
      <c r="C7" s="598"/>
      <c r="D7" s="598"/>
      <c r="E7" s="598"/>
      <c r="F7" s="598"/>
      <c r="G7" s="598"/>
      <c r="H7" s="598"/>
      <c r="I7" s="598"/>
    </row>
    <row r="8" spans="1:9" x14ac:dyDescent="0.25">
      <c r="A8" s="599" t="s">
        <v>26</v>
      </c>
      <c r="B8" s="599"/>
      <c r="C8" s="599"/>
      <c r="D8" s="599"/>
      <c r="E8" s="599"/>
      <c r="F8" s="599"/>
      <c r="G8" s="599"/>
      <c r="H8" s="599"/>
      <c r="I8" s="599"/>
    </row>
    <row r="9" spans="1:9" x14ac:dyDescent="0.25">
      <c r="A9" s="599"/>
      <c r="B9" s="599"/>
      <c r="C9" s="599"/>
      <c r="D9" s="599"/>
      <c r="E9" s="599"/>
      <c r="F9" s="599"/>
      <c r="G9" s="599"/>
      <c r="H9" s="599"/>
      <c r="I9" s="599"/>
    </row>
    <row r="10" spans="1:9" x14ac:dyDescent="0.25">
      <c r="A10" s="599"/>
      <c r="B10" s="599"/>
      <c r="C10" s="599"/>
      <c r="D10" s="599"/>
      <c r="E10" s="599"/>
      <c r="F10" s="599"/>
      <c r="G10" s="599"/>
      <c r="H10" s="599"/>
      <c r="I10" s="599"/>
    </row>
    <row r="11" spans="1:9" x14ac:dyDescent="0.25">
      <c r="A11" s="599"/>
      <c r="B11" s="599"/>
      <c r="C11" s="599"/>
      <c r="D11" s="599"/>
      <c r="E11" s="599"/>
      <c r="F11" s="599"/>
      <c r="G11" s="599"/>
      <c r="H11" s="599"/>
      <c r="I11" s="599"/>
    </row>
    <row r="12" spans="1:9" x14ac:dyDescent="0.25">
      <c r="A12" s="599"/>
      <c r="B12" s="599"/>
      <c r="C12" s="599"/>
      <c r="D12" s="599"/>
      <c r="E12" s="599"/>
      <c r="F12" s="599"/>
      <c r="G12" s="599"/>
      <c r="H12" s="599"/>
      <c r="I12" s="599"/>
    </row>
    <row r="13" spans="1:9" x14ac:dyDescent="0.25">
      <c r="A13" s="599"/>
      <c r="B13" s="599"/>
      <c r="C13" s="599"/>
      <c r="D13" s="599"/>
      <c r="E13" s="599"/>
      <c r="F13" s="599"/>
      <c r="G13" s="599"/>
      <c r="H13" s="599"/>
      <c r="I13" s="599"/>
    </row>
    <row r="14" spans="1:9" x14ac:dyDescent="0.25">
      <c r="A14" s="599"/>
      <c r="B14" s="599"/>
      <c r="C14" s="599"/>
      <c r="D14" s="599"/>
      <c r="E14" s="599"/>
      <c r="F14" s="599"/>
      <c r="G14" s="599"/>
      <c r="H14" s="599"/>
      <c r="I14" s="599"/>
    </row>
    <row r="15" spans="1:9" ht="19.5" customHeight="1" thickBot="1" x14ac:dyDescent="0.35">
      <c r="A15" s="504"/>
    </row>
    <row r="16" spans="1:9" ht="19.5" customHeight="1" thickBot="1" x14ac:dyDescent="0.35">
      <c r="A16" s="589" t="s">
        <v>0</v>
      </c>
      <c r="B16" s="590"/>
      <c r="C16" s="590"/>
      <c r="D16" s="590"/>
      <c r="E16" s="590"/>
      <c r="F16" s="590"/>
      <c r="G16" s="590"/>
      <c r="H16" s="620"/>
    </row>
    <row r="17" spans="1:14" ht="20.25" customHeight="1" x14ac:dyDescent="0.25">
      <c r="A17" s="621" t="s">
        <v>27</v>
      </c>
      <c r="B17" s="621"/>
      <c r="C17" s="621"/>
      <c r="D17" s="621"/>
      <c r="E17" s="621"/>
      <c r="F17" s="621"/>
      <c r="G17" s="621"/>
      <c r="H17" s="621"/>
    </row>
    <row r="18" spans="1:14" ht="26.25" customHeight="1" x14ac:dyDescent="0.4">
      <c r="A18" s="414" t="s">
        <v>2</v>
      </c>
      <c r="B18" s="623" t="s">
        <v>3</v>
      </c>
      <c r="C18" s="623"/>
      <c r="D18" s="558"/>
      <c r="E18" s="415"/>
      <c r="F18" s="570"/>
      <c r="G18" s="570"/>
      <c r="H18" s="570"/>
    </row>
    <row r="19" spans="1:14" ht="26.25" customHeight="1" x14ac:dyDescent="0.4">
      <c r="A19" s="414" t="s">
        <v>4</v>
      </c>
      <c r="B19" s="574" t="s">
        <v>5</v>
      </c>
      <c r="C19" s="404">
        <v>21</v>
      </c>
      <c r="D19" s="570"/>
      <c r="E19" s="570"/>
      <c r="F19" s="570"/>
      <c r="G19" s="570"/>
      <c r="H19" s="570"/>
    </row>
    <row r="20" spans="1:14" ht="26.25" customHeight="1" x14ac:dyDescent="0.4">
      <c r="A20" s="414" t="s">
        <v>6</v>
      </c>
      <c r="B20" s="622" t="s">
        <v>7</v>
      </c>
      <c r="C20" s="622"/>
      <c r="D20" s="570"/>
      <c r="E20" s="570"/>
      <c r="F20" s="570"/>
      <c r="G20" s="570"/>
      <c r="H20" s="570"/>
    </row>
    <row r="21" spans="1:14" ht="26.25" customHeight="1" x14ac:dyDescent="0.4">
      <c r="A21" s="414" t="s">
        <v>8</v>
      </c>
      <c r="B21" s="622" t="s">
        <v>9</v>
      </c>
      <c r="C21" s="622"/>
      <c r="D21" s="622"/>
      <c r="E21" s="622"/>
      <c r="F21" s="622"/>
      <c r="G21" s="622"/>
      <c r="H21" s="622"/>
      <c r="I21" s="416"/>
    </row>
    <row r="22" spans="1:14" ht="26.25" customHeight="1" x14ac:dyDescent="0.4">
      <c r="A22" s="414" t="s">
        <v>10</v>
      </c>
      <c r="B22" s="417" t="s">
        <v>11</v>
      </c>
      <c r="C22" s="570"/>
      <c r="D22" s="570"/>
      <c r="E22" s="570"/>
      <c r="F22" s="570"/>
      <c r="G22" s="570"/>
      <c r="H22" s="570"/>
    </row>
    <row r="23" spans="1:14" ht="26.25" customHeight="1" x14ac:dyDescent="0.4">
      <c r="A23" s="414" t="s">
        <v>12</v>
      </c>
      <c r="B23" s="48">
        <v>42299</v>
      </c>
      <c r="C23" s="570"/>
      <c r="D23" s="570"/>
      <c r="E23" s="570"/>
      <c r="F23" s="570"/>
      <c r="G23" s="570"/>
      <c r="H23" s="570"/>
    </row>
    <row r="24" spans="1:14" ht="18.75" x14ac:dyDescent="0.3">
      <c r="A24" s="414"/>
      <c r="B24" s="418"/>
    </row>
    <row r="25" spans="1:14" ht="18.75" x14ac:dyDescent="0.3">
      <c r="A25" s="419" t="s">
        <v>13</v>
      </c>
      <c r="B25" s="418"/>
    </row>
    <row r="26" spans="1:14" ht="26.25" customHeight="1" x14ac:dyDescent="0.4">
      <c r="A26" s="553" t="s">
        <v>28</v>
      </c>
      <c r="B26" s="623" t="s">
        <v>110</v>
      </c>
      <c r="C26" s="623"/>
    </row>
    <row r="27" spans="1:14" ht="26.25" customHeight="1" x14ac:dyDescent="0.4">
      <c r="A27" s="511" t="s">
        <v>29</v>
      </c>
      <c r="B27" s="592" t="s">
        <v>111</v>
      </c>
      <c r="C27" s="592"/>
    </row>
    <row r="28" spans="1:14" ht="27" customHeight="1" thickBot="1" x14ac:dyDescent="0.45">
      <c r="A28" s="511" t="s">
        <v>30</v>
      </c>
      <c r="B28" s="506">
        <v>99.5</v>
      </c>
    </row>
    <row r="29" spans="1:14" s="15" customFormat="1" ht="27" customHeight="1" thickBot="1" x14ac:dyDescent="0.45">
      <c r="A29" s="511" t="s">
        <v>31</v>
      </c>
      <c r="B29" s="420">
        <v>0</v>
      </c>
      <c r="C29" s="602" t="s">
        <v>70</v>
      </c>
      <c r="D29" s="603"/>
      <c r="E29" s="603"/>
      <c r="F29" s="603"/>
      <c r="G29" s="604"/>
      <c r="I29" s="421"/>
      <c r="J29" s="421"/>
      <c r="K29" s="421"/>
      <c r="L29" s="421"/>
    </row>
    <row r="30" spans="1:14" s="15" customFormat="1" ht="19.5" customHeight="1" thickBot="1" x14ac:dyDescent="0.35">
      <c r="A30" s="511" t="s">
        <v>32</v>
      </c>
      <c r="B30" s="571">
        <f>B28-B29</f>
        <v>99.5</v>
      </c>
      <c r="C30" s="422"/>
      <c r="D30" s="422"/>
      <c r="E30" s="422"/>
      <c r="F30" s="422"/>
      <c r="G30" s="423"/>
      <c r="I30" s="421"/>
      <c r="J30" s="421"/>
      <c r="K30" s="421"/>
      <c r="L30" s="421"/>
    </row>
    <row r="31" spans="1:14" s="15" customFormat="1" ht="27" customHeight="1" thickBot="1" x14ac:dyDescent="0.45">
      <c r="A31" s="511" t="s">
        <v>33</v>
      </c>
      <c r="B31" s="424">
        <v>199.16</v>
      </c>
      <c r="C31" s="593" t="s">
        <v>34</v>
      </c>
      <c r="D31" s="594"/>
      <c r="E31" s="594"/>
      <c r="F31" s="594"/>
      <c r="G31" s="594"/>
      <c r="H31" s="595"/>
      <c r="I31" s="421"/>
      <c r="J31" s="421"/>
      <c r="K31" s="421"/>
      <c r="L31" s="421"/>
    </row>
    <row r="32" spans="1:14" s="15" customFormat="1" ht="27" customHeight="1" thickBot="1" x14ac:dyDescent="0.45">
      <c r="A32" s="511" t="s">
        <v>35</v>
      </c>
      <c r="B32" s="424">
        <v>205.09</v>
      </c>
      <c r="C32" s="593" t="s">
        <v>36</v>
      </c>
      <c r="D32" s="594"/>
      <c r="E32" s="594"/>
      <c r="F32" s="594"/>
      <c r="G32" s="594"/>
      <c r="H32" s="595"/>
      <c r="I32" s="421"/>
      <c r="J32" s="421"/>
      <c r="K32" s="421"/>
      <c r="L32" s="425"/>
      <c r="M32" s="425"/>
      <c r="N32" s="426"/>
    </row>
    <row r="33" spans="1:14" s="15" customFormat="1" ht="17.25" customHeight="1" thickBot="1" x14ac:dyDescent="0.35">
      <c r="A33" s="511"/>
      <c r="B33" s="427"/>
      <c r="C33" s="428"/>
      <c r="D33" s="428"/>
      <c r="E33" s="428"/>
      <c r="F33" s="428"/>
      <c r="G33" s="428"/>
      <c r="H33" s="428"/>
      <c r="I33" s="421"/>
      <c r="J33" s="421"/>
      <c r="K33" s="421"/>
      <c r="L33" s="425"/>
      <c r="M33" s="425"/>
      <c r="N33" s="426"/>
    </row>
    <row r="34" spans="1:14" s="15" customFormat="1" ht="19.5" thickBot="1" x14ac:dyDescent="0.35">
      <c r="A34" s="511" t="s">
        <v>37</v>
      </c>
      <c r="B34" s="429">
        <f>B31/B32</f>
        <v>0.97108586474230818</v>
      </c>
      <c r="C34" s="504" t="s">
        <v>38</v>
      </c>
      <c r="D34" s="504"/>
      <c r="E34" s="504"/>
      <c r="F34" s="504"/>
      <c r="G34" s="504"/>
      <c r="I34" s="421"/>
      <c r="J34" s="421"/>
      <c r="K34" s="421"/>
      <c r="L34" s="425"/>
      <c r="M34" s="425"/>
      <c r="N34" s="426"/>
    </row>
    <row r="35" spans="1:14" s="15" customFormat="1" ht="19.5" customHeight="1" thickBot="1" x14ac:dyDescent="0.35">
      <c r="A35" s="511"/>
      <c r="B35" s="571"/>
      <c r="G35" s="504"/>
      <c r="I35" s="421"/>
      <c r="J35" s="421"/>
      <c r="K35" s="421"/>
      <c r="L35" s="425"/>
      <c r="M35" s="425"/>
      <c r="N35" s="426"/>
    </row>
    <row r="36" spans="1:14" s="15" customFormat="1" ht="27" customHeight="1" thickBot="1" x14ac:dyDescent="0.45">
      <c r="A36" s="430" t="s">
        <v>71</v>
      </c>
      <c r="B36" s="431">
        <v>50</v>
      </c>
      <c r="C36" s="504"/>
      <c r="D36" s="596" t="s">
        <v>39</v>
      </c>
      <c r="E36" s="619"/>
      <c r="F36" s="596" t="s">
        <v>40</v>
      </c>
      <c r="G36" s="597"/>
      <c r="J36" s="421"/>
      <c r="K36" s="421"/>
      <c r="L36" s="425"/>
      <c r="M36" s="425"/>
      <c r="N36" s="426"/>
    </row>
    <row r="37" spans="1:14" s="15" customFormat="1" ht="27" customHeight="1" thickBot="1" x14ac:dyDescent="0.45">
      <c r="A37" s="432" t="s">
        <v>41</v>
      </c>
      <c r="B37" s="433">
        <v>1</v>
      </c>
      <c r="C37" s="434" t="s">
        <v>42</v>
      </c>
      <c r="D37" s="435" t="s">
        <v>43</v>
      </c>
      <c r="E37" s="436" t="s">
        <v>44</v>
      </c>
      <c r="F37" s="435" t="s">
        <v>43</v>
      </c>
      <c r="G37" s="437" t="s">
        <v>44</v>
      </c>
      <c r="I37" s="438" t="s">
        <v>72</v>
      </c>
      <c r="J37" s="421"/>
      <c r="K37" s="421"/>
      <c r="L37" s="425"/>
      <c r="M37" s="425"/>
      <c r="N37" s="426"/>
    </row>
    <row r="38" spans="1:14" s="15" customFormat="1" ht="26.25" customHeight="1" thickBot="1" x14ac:dyDescent="0.45">
      <c r="A38" s="432" t="s">
        <v>45</v>
      </c>
      <c r="B38" s="433">
        <v>1</v>
      </c>
      <c r="C38" s="439">
        <v>1</v>
      </c>
      <c r="D38" s="440"/>
      <c r="E38" s="441" t="str">
        <f>IF(ISBLANK(D38),"-",$D$48/$D$45*D38)</f>
        <v>-</v>
      </c>
      <c r="F38" s="440"/>
      <c r="G38" s="442" t="str">
        <f>IF(ISBLANK(F38),"-",$D$48/$F$45*F38)</f>
        <v>-</v>
      </c>
      <c r="I38" s="443"/>
      <c r="J38" s="421"/>
      <c r="K38" s="421"/>
      <c r="L38" s="425"/>
      <c r="M38" s="425"/>
      <c r="N38" s="426"/>
    </row>
    <row r="39" spans="1:14" s="15" customFormat="1" ht="26.25" customHeight="1" thickBot="1" x14ac:dyDescent="0.45">
      <c r="A39" s="432" t="s">
        <v>46</v>
      </c>
      <c r="B39" s="433">
        <v>1</v>
      </c>
      <c r="C39" s="461">
        <v>2</v>
      </c>
      <c r="D39" s="444"/>
      <c r="E39" s="445" t="str">
        <f>IF(ISBLANK(D39),"-",$D$48/$D$45*D39)</f>
        <v>-</v>
      </c>
      <c r="F39" s="444"/>
      <c r="G39" s="446" t="str">
        <f>IF(ISBLANK(F39),"-",$D$48/$F$45*F39)</f>
        <v>-</v>
      </c>
      <c r="I39" s="605" t="e">
        <f>ABS((F43/D43*D42)-F42)/D42</f>
        <v>#DIV/0!</v>
      </c>
      <c r="J39" s="421"/>
      <c r="K39" s="421"/>
      <c r="L39" s="425"/>
      <c r="M39" s="425"/>
      <c r="N39" s="426"/>
    </row>
    <row r="40" spans="1:14" ht="26.25" customHeight="1" x14ac:dyDescent="0.4">
      <c r="A40" s="432" t="s">
        <v>47</v>
      </c>
      <c r="B40" s="433">
        <v>1</v>
      </c>
      <c r="C40" s="461">
        <v>3</v>
      </c>
      <c r="D40" s="444"/>
      <c r="E40" s="445" t="str">
        <f>IF(ISBLANK(D40),"-",$D$48/$D$45*D40)</f>
        <v>-</v>
      </c>
      <c r="F40" s="444"/>
      <c r="G40" s="446" t="str">
        <f>IF(ISBLANK(F40),"-",$D$48/$F$45*F40)</f>
        <v>-</v>
      </c>
      <c r="I40" s="605"/>
      <c r="L40" s="425"/>
      <c r="M40" s="425"/>
      <c r="N40" s="504"/>
    </row>
    <row r="41" spans="1:14" ht="27" customHeight="1" thickBot="1" x14ac:dyDescent="0.45">
      <c r="A41" s="432" t="s">
        <v>48</v>
      </c>
      <c r="B41" s="433">
        <v>1</v>
      </c>
      <c r="C41" s="447">
        <v>4</v>
      </c>
      <c r="D41" s="448"/>
      <c r="E41" s="449" t="str">
        <f>IF(ISBLANK(D41),"-",$D$48/$D$45*D41)</f>
        <v>-</v>
      </c>
      <c r="F41" s="448"/>
      <c r="G41" s="450" t="str">
        <f>IF(ISBLANK(F41),"-",$D$48/$F$45*F41)</f>
        <v>-</v>
      </c>
      <c r="I41" s="451"/>
      <c r="L41" s="425"/>
      <c r="M41" s="425"/>
      <c r="N41" s="504"/>
    </row>
    <row r="42" spans="1:14" ht="27" customHeight="1" thickBot="1" x14ac:dyDescent="0.45">
      <c r="A42" s="432" t="s">
        <v>49</v>
      </c>
      <c r="B42" s="433">
        <v>1</v>
      </c>
      <c r="C42" s="452" t="s">
        <v>50</v>
      </c>
      <c r="D42" s="453" t="e">
        <f>AVERAGE(D38:D41)</f>
        <v>#DIV/0!</v>
      </c>
      <c r="E42" s="454" t="e">
        <f>AVERAGE(E38:E41)</f>
        <v>#DIV/0!</v>
      </c>
      <c r="F42" s="453" t="e">
        <f>AVERAGE(F38:F41)</f>
        <v>#DIV/0!</v>
      </c>
      <c r="G42" s="455" t="e">
        <f>AVERAGE(G38:G41)</f>
        <v>#DIV/0!</v>
      </c>
    </row>
    <row r="43" spans="1:14" ht="26.25" customHeight="1" x14ac:dyDescent="0.4">
      <c r="A43" s="432" t="s">
        <v>51</v>
      </c>
      <c r="B43" s="433">
        <v>1</v>
      </c>
      <c r="C43" s="457" t="s">
        <v>73</v>
      </c>
      <c r="D43" s="458">
        <v>10.82</v>
      </c>
      <c r="E43" s="504"/>
      <c r="F43" s="458">
        <v>12.69</v>
      </c>
    </row>
    <row r="44" spans="1:14" ht="26.25" customHeight="1" x14ac:dyDescent="0.4">
      <c r="A44" s="432" t="s">
        <v>53</v>
      </c>
      <c r="B44" s="433">
        <v>1</v>
      </c>
      <c r="C44" s="459" t="s">
        <v>74</v>
      </c>
      <c r="D44" s="460">
        <f>D43*$B$34</f>
        <v>10.507149056511775</v>
      </c>
      <c r="E44" s="519"/>
      <c r="F44" s="460">
        <f>F43*$B$34</f>
        <v>12.32307962357989</v>
      </c>
    </row>
    <row r="45" spans="1:14" ht="19.5" customHeight="1" thickBot="1" x14ac:dyDescent="0.35">
      <c r="A45" s="432" t="s">
        <v>55</v>
      </c>
      <c r="B45" s="461">
        <f>(B44/B43)*(B42/B41)*(B40/B39)*(B38/B37)*B36</f>
        <v>50</v>
      </c>
      <c r="C45" s="459" t="s">
        <v>56</v>
      </c>
      <c r="D45" s="462">
        <f>D44*$B$30/100</f>
        <v>10.454613311229217</v>
      </c>
      <c r="E45" s="501"/>
      <c r="F45" s="462">
        <f>F44*$B$30/100</f>
        <v>12.261464225461991</v>
      </c>
    </row>
    <row r="46" spans="1:14" ht="19.5" customHeight="1" thickBot="1" x14ac:dyDescent="0.35">
      <c r="A46" s="585" t="s">
        <v>57</v>
      </c>
      <c r="B46" s="586"/>
      <c r="C46" s="459" t="s">
        <v>58</v>
      </c>
      <c r="D46" s="463">
        <f>D45/$B$45</f>
        <v>0.20909226622458432</v>
      </c>
      <c r="E46" s="464"/>
      <c r="F46" s="465">
        <f>F45/$B$45</f>
        <v>0.24522928450923981</v>
      </c>
    </row>
    <row r="47" spans="1:14" ht="27" customHeight="1" thickBot="1" x14ac:dyDescent="0.45">
      <c r="A47" s="587"/>
      <c r="B47" s="588"/>
      <c r="C47" s="466" t="s">
        <v>75</v>
      </c>
      <c r="D47" s="467">
        <v>0.2</v>
      </c>
      <c r="E47" s="468"/>
      <c r="F47" s="464"/>
    </row>
    <row r="48" spans="1:14" ht="18.75" x14ac:dyDescent="0.3">
      <c r="C48" s="469" t="s">
        <v>59</v>
      </c>
      <c r="D48" s="462">
        <f>D47*$B$45</f>
        <v>10</v>
      </c>
      <c r="F48" s="470"/>
    </row>
    <row r="49" spans="1:12" ht="19.5" customHeight="1" thickBot="1" x14ac:dyDescent="0.35">
      <c r="C49" s="471" t="s">
        <v>60</v>
      </c>
      <c r="D49" s="472">
        <f>D48/B34</f>
        <v>10.297750552319744</v>
      </c>
      <c r="F49" s="470"/>
    </row>
    <row r="50" spans="1:12" ht="18.75" x14ac:dyDescent="0.3">
      <c r="C50" s="430" t="s">
        <v>61</v>
      </c>
      <c r="D50" s="473" t="e">
        <f>AVERAGE(E38:E41,G38:G41)</f>
        <v>#DIV/0!</v>
      </c>
      <c r="F50" s="474"/>
    </row>
    <row r="51" spans="1:12" ht="18.75" x14ac:dyDescent="0.3">
      <c r="C51" s="432" t="s">
        <v>62</v>
      </c>
      <c r="D51" s="475" t="e">
        <f>STDEV(E38:E41,G38:G41)/D50</f>
        <v>#DIV/0!</v>
      </c>
      <c r="F51" s="474"/>
    </row>
    <row r="52" spans="1:12" ht="19.5" customHeight="1" thickBot="1" x14ac:dyDescent="0.35">
      <c r="C52" s="476" t="s">
        <v>63</v>
      </c>
      <c r="D52" s="477">
        <f>COUNT(E38:E41,G38:G41)</f>
        <v>0</v>
      </c>
      <c r="F52" s="474"/>
    </row>
    <row r="54" spans="1:12" ht="18.75" x14ac:dyDescent="0.3">
      <c r="A54" s="478" t="s">
        <v>13</v>
      </c>
      <c r="B54" s="479" t="s">
        <v>64</v>
      </c>
    </row>
    <row r="55" spans="1:12" ht="18.75" x14ac:dyDescent="0.3">
      <c r="A55" s="504" t="s">
        <v>65</v>
      </c>
      <c r="B55" s="480" t="str">
        <f>B21</f>
        <v xml:space="preserve">Each fil coated tablet contains: Amoxicillin trihydrate Ph. Eur. equivalent to Amoxicillin 500mg
Potassium Clavulanate Ph. Eur. equivalent to clavulanic acid 25mg </v>
      </c>
    </row>
    <row r="56" spans="1:12" ht="26.25" customHeight="1" x14ac:dyDescent="0.4">
      <c r="A56" s="480" t="s">
        <v>66</v>
      </c>
      <c r="B56" s="481">
        <v>125</v>
      </c>
      <c r="C56" s="504" t="str">
        <f>B20</f>
        <v>Amoxicillin &amp; Clavulanate Potassium</v>
      </c>
      <c r="H56" s="519"/>
    </row>
    <row r="57" spans="1:12" ht="18.75" x14ac:dyDescent="0.3">
      <c r="A57" s="480" t="s">
        <v>67</v>
      </c>
      <c r="B57" s="559">
        <f>Uniformity!C46</f>
        <v>1028.1839999999997</v>
      </c>
      <c r="H57" s="519"/>
    </row>
    <row r="58" spans="1:12" ht="19.5" customHeight="1" thickBot="1" x14ac:dyDescent="0.35">
      <c r="H58" s="519"/>
    </row>
    <row r="59" spans="1:12" s="15" customFormat="1" ht="27" customHeight="1" thickBot="1" x14ac:dyDescent="0.45">
      <c r="A59" s="430" t="s">
        <v>76</v>
      </c>
      <c r="B59" s="431">
        <v>100</v>
      </c>
      <c r="C59" s="504"/>
      <c r="D59" s="482" t="s">
        <v>77</v>
      </c>
      <c r="E59" s="483" t="s">
        <v>42</v>
      </c>
      <c r="F59" s="483" t="s">
        <v>43</v>
      </c>
      <c r="G59" s="483" t="s">
        <v>78</v>
      </c>
      <c r="H59" s="434" t="s">
        <v>79</v>
      </c>
      <c r="L59" s="421"/>
    </row>
    <row r="60" spans="1:12" s="15" customFormat="1" ht="26.25" customHeight="1" thickBot="1" x14ac:dyDescent="0.45">
      <c r="A60" s="432" t="s">
        <v>80</v>
      </c>
      <c r="B60" s="433">
        <v>2</v>
      </c>
      <c r="C60" s="608" t="s">
        <v>81</v>
      </c>
      <c r="D60" s="611"/>
      <c r="E60" s="484">
        <v>1</v>
      </c>
      <c r="F60" s="485"/>
      <c r="G60" s="560" t="str">
        <f>IF(ISBLANK(F60),"-",(F60/$D$50*$D$47*$B$68)*($B$57/$D$60))</f>
        <v>-</v>
      </c>
      <c r="H60" s="486" t="str">
        <f t="shared" ref="H60:H71" si="0">IF(ISBLANK(F60),"-",G60/$B$56)</f>
        <v>-</v>
      </c>
      <c r="L60" s="421"/>
    </row>
    <row r="61" spans="1:12" s="15" customFormat="1" ht="26.25" customHeight="1" thickBot="1" x14ac:dyDescent="0.45">
      <c r="A61" s="432" t="s">
        <v>82</v>
      </c>
      <c r="B61" s="433">
        <v>20</v>
      </c>
      <c r="C61" s="609"/>
      <c r="D61" s="612"/>
      <c r="E61" s="487">
        <v>2</v>
      </c>
      <c r="F61" s="444"/>
      <c r="G61" s="561" t="str">
        <f>IF(ISBLANK(F61),"-",(F61/$D$50*$D$47*$B$68)*($B$57/$D$60))</f>
        <v>-</v>
      </c>
      <c r="H61" s="488" t="str">
        <f t="shared" si="0"/>
        <v>-</v>
      </c>
      <c r="L61" s="421"/>
    </row>
    <row r="62" spans="1:12" s="15" customFormat="1" ht="26.25" customHeight="1" thickBot="1" x14ac:dyDescent="0.45">
      <c r="A62" s="432" t="s">
        <v>83</v>
      </c>
      <c r="B62" s="433">
        <v>1</v>
      </c>
      <c r="C62" s="609"/>
      <c r="D62" s="612"/>
      <c r="E62" s="487">
        <v>3</v>
      </c>
      <c r="F62" s="489"/>
      <c r="G62" s="561" t="str">
        <f>IF(ISBLANK(F62),"-",(F62/$D$50*$D$47*$B$68)*($B$57/$D$60))</f>
        <v>-</v>
      </c>
      <c r="H62" s="488" t="str">
        <f t="shared" si="0"/>
        <v>-</v>
      </c>
      <c r="L62" s="421"/>
    </row>
    <row r="63" spans="1:12" ht="27" customHeight="1" thickBot="1" x14ac:dyDescent="0.45">
      <c r="A63" s="432" t="s">
        <v>84</v>
      </c>
      <c r="B63" s="433">
        <v>1</v>
      </c>
      <c r="C63" s="618"/>
      <c r="D63" s="613"/>
      <c r="E63" s="490">
        <v>4</v>
      </c>
      <c r="F63" s="491"/>
      <c r="G63" s="561" t="str">
        <f>IF(ISBLANK(F63),"-",(F63/$D$50*$D$47*$B$68)*($B$57/$D$60))</f>
        <v>-</v>
      </c>
      <c r="H63" s="488" t="str">
        <f t="shared" si="0"/>
        <v>-</v>
      </c>
    </row>
    <row r="64" spans="1:12" ht="26.25" customHeight="1" x14ac:dyDescent="0.4">
      <c r="A64" s="432" t="s">
        <v>85</v>
      </c>
      <c r="B64" s="433">
        <v>1</v>
      </c>
      <c r="C64" s="608" t="s">
        <v>86</v>
      </c>
      <c r="D64" s="611"/>
      <c r="E64" s="484">
        <v>1</v>
      </c>
      <c r="F64" s="485"/>
      <c r="G64" s="562" t="str">
        <f>IF(ISBLANK(F64),"-",(F64/$D$50*$D$47*$B$68)*($B$57/$D$64))</f>
        <v>-</v>
      </c>
      <c r="H64" s="492" t="str">
        <f t="shared" si="0"/>
        <v>-</v>
      </c>
    </row>
    <row r="65" spans="1:8" ht="26.25" customHeight="1" x14ac:dyDescent="0.4">
      <c r="A65" s="432" t="s">
        <v>87</v>
      </c>
      <c r="B65" s="433">
        <v>1</v>
      </c>
      <c r="C65" s="609"/>
      <c r="D65" s="612"/>
      <c r="E65" s="487">
        <v>2</v>
      </c>
      <c r="F65" s="444"/>
      <c r="G65" s="563" t="str">
        <f>IF(ISBLANK(F65),"-",(F65/$D$50*$D$47*$B$68)*($B$57/$D$64))</f>
        <v>-</v>
      </c>
      <c r="H65" s="493" t="str">
        <f t="shared" si="0"/>
        <v>-</v>
      </c>
    </row>
    <row r="66" spans="1:8" ht="26.25" customHeight="1" x14ac:dyDescent="0.4">
      <c r="A66" s="432" t="s">
        <v>88</v>
      </c>
      <c r="B66" s="433">
        <v>1</v>
      </c>
      <c r="C66" s="609"/>
      <c r="D66" s="612"/>
      <c r="E66" s="487">
        <v>3</v>
      </c>
      <c r="F66" s="444"/>
      <c r="G66" s="563" t="str">
        <f>IF(ISBLANK(F66),"-",(F66/$D$50*$D$47*$B$68)*($B$57/$D$64))</f>
        <v>-</v>
      </c>
      <c r="H66" s="493" t="str">
        <f t="shared" si="0"/>
        <v>-</v>
      </c>
    </row>
    <row r="67" spans="1:8" ht="27" customHeight="1" thickBot="1" x14ac:dyDescent="0.45">
      <c r="A67" s="432" t="s">
        <v>89</v>
      </c>
      <c r="B67" s="433">
        <v>1</v>
      </c>
      <c r="C67" s="618"/>
      <c r="D67" s="613"/>
      <c r="E67" s="490">
        <v>4</v>
      </c>
      <c r="F67" s="491"/>
      <c r="G67" s="564" t="str">
        <f>IF(ISBLANK(F67),"-",(F67/$D$50*$D$47*$B$68)*($B$57/$D$64))</f>
        <v>-</v>
      </c>
      <c r="H67" s="494" t="str">
        <f t="shared" si="0"/>
        <v>-</v>
      </c>
    </row>
    <row r="68" spans="1:8" ht="26.25" customHeight="1" x14ac:dyDescent="0.4">
      <c r="A68" s="432" t="s">
        <v>90</v>
      </c>
      <c r="B68" s="495">
        <f>(B67/B66)*(B65/B64)*(B63/B62)*(B61/B60)*B59</f>
        <v>1000</v>
      </c>
      <c r="C68" s="608" t="s">
        <v>91</v>
      </c>
      <c r="D68" s="611"/>
      <c r="E68" s="484">
        <v>1</v>
      </c>
      <c r="F68" s="485"/>
      <c r="G68" s="562" t="str">
        <f>IF(ISBLANK(F68),"-",(F68/$D$50*$D$47*$B$68)*($B$57/$D$68))</f>
        <v>-</v>
      </c>
      <c r="H68" s="488" t="str">
        <f t="shared" si="0"/>
        <v>-</v>
      </c>
    </row>
    <row r="69" spans="1:8" ht="27" customHeight="1" thickBot="1" x14ac:dyDescent="0.45">
      <c r="A69" s="476" t="s">
        <v>92</v>
      </c>
      <c r="B69" s="496">
        <f>(D47*B68)/B56*B57</f>
        <v>1645.0943999999997</v>
      </c>
      <c r="C69" s="609"/>
      <c r="D69" s="612"/>
      <c r="E69" s="487">
        <v>2</v>
      </c>
      <c r="F69" s="444"/>
      <c r="G69" s="563" t="str">
        <f>IF(ISBLANK(F69),"-",(F69/$D$50*$D$47*$B$68)*($B$57/$D$68))</f>
        <v>-</v>
      </c>
      <c r="H69" s="488" t="str">
        <f t="shared" si="0"/>
        <v>-</v>
      </c>
    </row>
    <row r="70" spans="1:8" ht="26.25" customHeight="1" x14ac:dyDescent="0.4">
      <c r="A70" s="614" t="s">
        <v>57</v>
      </c>
      <c r="B70" s="615"/>
      <c r="C70" s="609"/>
      <c r="D70" s="612"/>
      <c r="E70" s="487">
        <v>3</v>
      </c>
      <c r="F70" s="444"/>
      <c r="G70" s="563" t="str">
        <f>IF(ISBLANK(F70),"-",(F70/$D$50*$D$47*$B$68)*($B$57/$D$68))</f>
        <v>-</v>
      </c>
      <c r="H70" s="488" t="str">
        <f t="shared" si="0"/>
        <v>-</v>
      </c>
    </row>
    <row r="71" spans="1:8" ht="27" customHeight="1" thickBot="1" x14ac:dyDescent="0.45">
      <c r="A71" s="616"/>
      <c r="B71" s="617"/>
      <c r="C71" s="610"/>
      <c r="D71" s="613"/>
      <c r="E71" s="490">
        <v>4</v>
      </c>
      <c r="F71" s="491"/>
      <c r="G71" s="564" t="str">
        <f>IF(ISBLANK(F71),"-",(F71/$D$50*$D$47*$B$68)*($B$57/$D$68))</f>
        <v>-</v>
      </c>
      <c r="H71" s="497" t="str">
        <f t="shared" si="0"/>
        <v>-</v>
      </c>
    </row>
    <row r="72" spans="1:8" ht="26.25" customHeight="1" x14ac:dyDescent="0.4">
      <c r="A72" s="519"/>
      <c r="B72" s="519"/>
      <c r="C72" s="519"/>
      <c r="D72" s="519"/>
      <c r="E72" s="519"/>
      <c r="F72" s="519"/>
      <c r="G72" s="498" t="s">
        <v>50</v>
      </c>
      <c r="H72" s="499" t="e">
        <f>AVERAGE(H60:H71)</f>
        <v>#DIV/0!</v>
      </c>
    </row>
    <row r="73" spans="1:8" ht="26.25" customHeight="1" x14ac:dyDescent="0.4">
      <c r="C73" s="519"/>
      <c r="D73" s="519"/>
      <c r="E73" s="519"/>
      <c r="F73" s="519"/>
      <c r="G73" s="500" t="s">
        <v>62</v>
      </c>
      <c r="H73" s="565" t="e">
        <f>STDEV(H60:H71)/H72</f>
        <v>#DIV/0!</v>
      </c>
    </row>
    <row r="74" spans="1:8" ht="27" customHeight="1" thickBot="1" x14ac:dyDescent="0.45">
      <c r="A74" s="519"/>
      <c r="B74" s="519"/>
      <c r="C74" s="519"/>
      <c r="D74" s="519"/>
      <c r="E74" s="501"/>
      <c r="F74" s="519"/>
      <c r="G74" s="502" t="s">
        <v>63</v>
      </c>
      <c r="H74" s="503">
        <f>COUNT(H60:H71)</f>
        <v>0</v>
      </c>
    </row>
    <row r="76" spans="1:8" ht="26.25" customHeight="1" x14ac:dyDescent="0.4">
      <c r="A76" s="553" t="s">
        <v>93</v>
      </c>
      <c r="B76" s="511" t="s">
        <v>68</v>
      </c>
      <c r="C76" s="600" t="str">
        <f>B20</f>
        <v>Amoxicillin &amp; Clavulanate Potassium</v>
      </c>
      <c r="D76" s="600"/>
      <c r="E76" s="504" t="s">
        <v>69</v>
      </c>
      <c r="F76" s="504"/>
      <c r="G76" s="505" t="e">
        <f>H72</f>
        <v>#DIV/0!</v>
      </c>
      <c r="H76" s="571"/>
    </row>
    <row r="77" spans="1:8" ht="18.75" x14ac:dyDescent="0.3">
      <c r="A77" s="419" t="s">
        <v>94</v>
      </c>
      <c r="B77" s="419" t="s">
        <v>95</v>
      </c>
    </row>
    <row r="78" spans="1:8" ht="18.75" x14ac:dyDescent="0.3">
      <c r="A78" s="419"/>
      <c r="B78" s="419"/>
    </row>
    <row r="79" spans="1:8" ht="26.25" customHeight="1" x14ac:dyDescent="0.4">
      <c r="A79" s="553" t="s">
        <v>28</v>
      </c>
      <c r="B79" s="591" t="str">
        <f>B26</f>
        <v>Clavulanate lithium</v>
      </c>
      <c r="C79" s="591"/>
    </row>
    <row r="80" spans="1:8" ht="26.25" customHeight="1" x14ac:dyDescent="0.4">
      <c r="A80" s="511" t="s">
        <v>29</v>
      </c>
      <c r="B80" s="591" t="str">
        <f>B27</f>
        <v>C14 1</v>
      </c>
      <c r="C80" s="591"/>
    </row>
    <row r="81" spans="1:12" ht="27" customHeight="1" thickBot="1" x14ac:dyDescent="0.45">
      <c r="A81" s="511" t="s">
        <v>30</v>
      </c>
      <c r="B81" s="506">
        <v>99.5</v>
      </c>
    </row>
    <row r="82" spans="1:12" s="15" customFormat="1" ht="27" customHeight="1" thickBot="1" x14ac:dyDescent="0.45">
      <c r="A82" s="511" t="s">
        <v>31</v>
      </c>
      <c r="B82" s="420">
        <v>0</v>
      </c>
      <c r="C82" s="602" t="s">
        <v>70</v>
      </c>
      <c r="D82" s="603"/>
      <c r="E82" s="603"/>
      <c r="F82" s="603"/>
      <c r="G82" s="604"/>
      <c r="I82" s="421"/>
      <c r="J82" s="421"/>
      <c r="K82" s="421"/>
      <c r="L82" s="421"/>
    </row>
    <row r="83" spans="1:12" s="15" customFormat="1" ht="19.5" customHeight="1" thickBot="1" x14ac:dyDescent="0.35">
      <c r="A83" s="511" t="s">
        <v>32</v>
      </c>
      <c r="B83" s="571">
        <f>B81-B82</f>
        <v>99.5</v>
      </c>
      <c r="C83" s="422"/>
      <c r="D83" s="422"/>
      <c r="E83" s="422"/>
      <c r="F83" s="422"/>
      <c r="G83" s="423"/>
      <c r="I83" s="421"/>
      <c r="J83" s="421"/>
      <c r="K83" s="421"/>
      <c r="L83" s="421"/>
    </row>
    <row r="84" spans="1:12" s="15" customFormat="1" ht="27" customHeight="1" thickBot="1" x14ac:dyDescent="0.45">
      <c r="A84" s="511" t="s">
        <v>33</v>
      </c>
      <c r="B84" s="424">
        <v>199.16</v>
      </c>
      <c r="C84" s="593" t="s">
        <v>96</v>
      </c>
      <c r="D84" s="594"/>
      <c r="E84" s="594"/>
      <c r="F84" s="594"/>
      <c r="G84" s="594"/>
      <c r="H84" s="595"/>
      <c r="I84" s="421"/>
      <c r="J84" s="421"/>
      <c r="K84" s="421"/>
      <c r="L84" s="421"/>
    </row>
    <row r="85" spans="1:12" s="15" customFormat="1" ht="27" customHeight="1" thickBot="1" x14ac:dyDescent="0.45">
      <c r="A85" s="511" t="s">
        <v>35</v>
      </c>
      <c r="B85" s="424">
        <v>205.09</v>
      </c>
      <c r="C85" s="593" t="s">
        <v>97</v>
      </c>
      <c r="D85" s="594"/>
      <c r="E85" s="594"/>
      <c r="F85" s="594"/>
      <c r="G85" s="594"/>
      <c r="H85" s="595"/>
      <c r="I85" s="421"/>
      <c r="J85" s="421"/>
      <c r="K85" s="421"/>
      <c r="L85" s="421"/>
    </row>
    <row r="86" spans="1:12" s="15" customFormat="1" ht="19.5" thickBot="1" x14ac:dyDescent="0.35">
      <c r="A86" s="511"/>
      <c r="B86" s="427"/>
      <c r="C86" s="428"/>
      <c r="D86" s="428"/>
      <c r="E86" s="428"/>
      <c r="F86" s="428"/>
      <c r="G86" s="428"/>
      <c r="H86" s="428"/>
      <c r="I86" s="421"/>
      <c r="J86" s="421"/>
      <c r="K86" s="421"/>
      <c r="L86" s="421"/>
    </row>
    <row r="87" spans="1:12" s="15" customFormat="1" ht="19.5" thickBot="1" x14ac:dyDescent="0.35">
      <c r="A87" s="511" t="s">
        <v>37</v>
      </c>
      <c r="B87" s="429">
        <f>B84/B85</f>
        <v>0.97108586474230818</v>
      </c>
      <c r="C87" s="504" t="s">
        <v>38</v>
      </c>
      <c r="D87" s="504"/>
      <c r="E87" s="504"/>
      <c r="F87" s="504"/>
      <c r="G87" s="504"/>
      <c r="I87" s="421"/>
      <c r="J87" s="421"/>
      <c r="K87" s="421"/>
      <c r="L87" s="421"/>
    </row>
    <row r="88" spans="1:12" ht="19.5" customHeight="1" thickBot="1" x14ac:dyDescent="0.35">
      <c r="A88" s="419"/>
      <c r="B88" s="419"/>
    </row>
    <row r="89" spans="1:12" ht="27" customHeight="1" thickBot="1" x14ac:dyDescent="0.45">
      <c r="A89" s="430" t="s">
        <v>71</v>
      </c>
      <c r="B89" s="431">
        <v>50</v>
      </c>
      <c r="D89" s="572" t="s">
        <v>39</v>
      </c>
      <c r="E89" s="575"/>
      <c r="F89" s="596" t="s">
        <v>40</v>
      </c>
      <c r="G89" s="597"/>
    </row>
    <row r="90" spans="1:12" ht="27" customHeight="1" thickBot="1" x14ac:dyDescent="0.45">
      <c r="A90" s="432" t="s">
        <v>41</v>
      </c>
      <c r="B90" s="433">
        <v>1</v>
      </c>
      <c r="C90" s="573" t="s">
        <v>42</v>
      </c>
      <c r="D90" s="435" t="s">
        <v>43</v>
      </c>
      <c r="E90" s="436" t="s">
        <v>44</v>
      </c>
      <c r="F90" s="435" t="s">
        <v>43</v>
      </c>
      <c r="G90" s="507" t="s">
        <v>44</v>
      </c>
      <c r="I90" s="438" t="s">
        <v>72</v>
      </c>
    </row>
    <row r="91" spans="1:12" ht="26.25" customHeight="1" x14ac:dyDescent="0.4">
      <c r="A91" s="432" t="s">
        <v>45</v>
      </c>
      <c r="B91" s="433">
        <v>1</v>
      </c>
      <c r="C91" s="508">
        <v>1</v>
      </c>
      <c r="D91" s="440">
        <v>130594865</v>
      </c>
      <c r="E91" s="441">
        <f>IF(ISBLANK(D91),"-",$D$101/$D$98*D91)</f>
        <v>87230954.388829753</v>
      </c>
      <c r="F91" s="440">
        <v>141448173</v>
      </c>
      <c r="G91" s="442">
        <f>IF(ISBLANK(F91),"-",$D$101/$F$98*F91)</f>
        <v>84506187.631805062</v>
      </c>
      <c r="I91" s="443"/>
    </row>
    <row r="92" spans="1:12" ht="26.25" customHeight="1" x14ac:dyDescent="0.4">
      <c r="A92" s="432" t="s">
        <v>46</v>
      </c>
      <c r="B92" s="433">
        <v>1</v>
      </c>
      <c r="C92" s="519">
        <v>2</v>
      </c>
      <c r="D92" s="444">
        <v>130697797</v>
      </c>
      <c r="E92" s="445">
        <f>IF(ISBLANK(D92),"-",$D$101/$D$98*D92)</f>
        <v>87299707.908328027</v>
      </c>
      <c r="F92" s="444">
        <v>141319005</v>
      </c>
      <c r="G92" s="446">
        <f>IF(ISBLANK(F92),"-",$D$101/$F$98*F92)</f>
        <v>84429018.057871953</v>
      </c>
      <c r="I92" s="605">
        <f>ABS((F96/D96*D95)-F95)/D95</f>
        <v>3.6967305048279928E-2</v>
      </c>
    </row>
    <row r="93" spans="1:12" ht="26.25" customHeight="1" x14ac:dyDescent="0.4">
      <c r="A93" s="432" t="s">
        <v>47</v>
      </c>
      <c r="B93" s="433">
        <v>1</v>
      </c>
      <c r="C93" s="519">
        <v>3</v>
      </c>
      <c r="D93" s="444">
        <v>130788949</v>
      </c>
      <c r="E93" s="445">
        <f>IF(ISBLANK(D93),"-",$D$101/$D$98*D93)</f>
        <v>87360592.966515049</v>
      </c>
      <c r="F93" s="444">
        <v>141097523</v>
      </c>
      <c r="G93" s="446">
        <f>IF(ISBLANK(F93),"-",$D$101/$F$98*F93)</f>
        <v>84296696.805132508</v>
      </c>
      <c r="I93" s="605"/>
    </row>
    <row r="94" spans="1:12" ht="27" customHeight="1" thickBot="1" x14ac:dyDescent="0.45">
      <c r="A94" s="432" t="s">
        <v>48</v>
      </c>
      <c r="B94" s="433">
        <v>1</v>
      </c>
      <c r="C94" s="509">
        <v>4</v>
      </c>
      <c r="D94" s="448"/>
      <c r="E94" s="449" t="str">
        <f>IF(ISBLANK(D94),"-",$D$101/$D$98*D94)</f>
        <v>-</v>
      </c>
      <c r="F94" s="510"/>
      <c r="G94" s="450" t="str">
        <f>IF(ISBLANK(F94),"-",$D$101/$F$98*F94)</f>
        <v>-</v>
      </c>
      <c r="I94" s="451"/>
    </row>
    <row r="95" spans="1:12" ht="27" customHeight="1" thickBot="1" x14ac:dyDescent="0.45">
      <c r="A95" s="432" t="s">
        <v>49</v>
      </c>
      <c r="B95" s="433">
        <v>1</v>
      </c>
      <c r="C95" s="511" t="s">
        <v>50</v>
      </c>
      <c r="D95" s="512">
        <f>AVERAGE(D91:D94)</f>
        <v>130693870.33333333</v>
      </c>
      <c r="E95" s="454">
        <f>AVERAGE(E91:E94)</f>
        <v>87297085.087890938</v>
      </c>
      <c r="F95" s="513">
        <f>AVERAGE(F91:F94)</f>
        <v>141288233.66666666</v>
      </c>
      <c r="G95" s="514">
        <f>AVERAGE(G91:G94)</f>
        <v>84410634.164936498</v>
      </c>
    </row>
    <row r="96" spans="1:12" ht="26.25" customHeight="1" x14ac:dyDescent="0.4">
      <c r="A96" s="432" t="s">
        <v>51</v>
      </c>
      <c r="B96" s="506">
        <v>1</v>
      </c>
      <c r="C96" s="515" t="s">
        <v>52</v>
      </c>
      <c r="D96" s="516">
        <v>10.76</v>
      </c>
      <c r="E96" s="504"/>
      <c r="F96" s="458">
        <v>12.03</v>
      </c>
    </row>
    <row r="97" spans="1:10" ht="26.25" customHeight="1" x14ac:dyDescent="0.4">
      <c r="A97" s="432" t="s">
        <v>53</v>
      </c>
      <c r="B97" s="506">
        <v>1</v>
      </c>
      <c r="C97" s="517" t="s">
        <v>54</v>
      </c>
      <c r="D97" s="518">
        <f>D96*$B$87</f>
        <v>10.448883904627236</v>
      </c>
      <c r="E97" s="519"/>
      <c r="F97" s="460">
        <f>F96*$B$87</f>
        <v>11.682162952849966</v>
      </c>
    </row>
    <row r="98" spans="1:10" ht="19.5" customHeight="1" thickBot="1" x14ac:dyDescent="0.35">
      <c r="A98" s="432" t="s">
        <v>55</v>
      </c>
      <c r="B98" s="519">
        <f>(B97/B96)*(B95/B94)*(B93/B92)*(B91/B90)*B89</f>
        <v>50</v>
      </c>
      <c r="C98" s="517" t="s">
        <v>98</v>
      </c>
      <c r="D98" s="520">
        <f>D97*$B$83/100</f>
        <v>10.3966394851041</v>
      </c>
      <c r="E98" s="501"/>
      <c r="F98" s="462">
        <f>F97*$B$83/100</f>
        <v>11.623752138085715</v>
      </c>
    </row>
    <row r="99" spans="1:10" ht="19.5" customHeight="1" thickBot="1" x14ac:dyDescent="0.35">
      <c r="A99" s="585" t="s">
        <v>57</v>
      </c>
      <c r="B99" s="606"/>
      <c r="C99" s="517" t="s">
        <v>99</v>
      </c>
      <c r="D99" s="521">
        <f>D98/$B$98</f>
        <v>0.20793278970208198</v>
      </c>
      <c r="E99" s="501"/>
      <c r="F99" s="465">
        <f>F98/$B$98</f>
        <v>0.2324750427617143</v>
      </c>
      <c r="G99" s="522"/>
    </row>
    <row r="100" spans="1:10" ht="19.5" customHeight="1" thickBot="1" x14ac:dyDescent="0.35">
      <c r="A100" s="587"/>
      <c r="B100" s="607"/>
      <c r="C100" s="517" t="s">
        <v>75</v>
      </c>
      <c r="D100" s="523">
        <f>$B$56/$B$116</f>
        <v>0.1388888888888889</v>
      </c>
      <c r="F100" s="470"/>
      <c r="G100" s="529"/>
    </row>
    <row r="101" spans="1:10" ht="18.75" x14ac:dyDescent="0.3">
      <c r="C101" s="517" t="s">
        <v>59</v>
      </c>
      <c r="D101" s="518">
        <f>D100*$B$98</f>
        <v>6.9444444444444446</v>
      </c>
      <c r="F101" s="470"/>
      <c r="G101" s="522"/>
    </row>
    <row r="102" spans="1:10" ht="19.5" customHeight="1" thickBot="1" x14ac:dyDescent="0.35">
      <c r="C102" s="524" t="s">
        <v>60</v>
      </c>
      <c r="D102" s="525">
        <f>D101/B34</f>
        <v>7.1512156613331559</v>
      </c>
      <c r="F102" s="474"/>
      <c r="G102" s="522"/>
      <c r="J102" s="526"/>
    </row>
    <row r="103" spans="1:10" ht="18.75" x14ac:dyDescent="0.3">
      <c r="C103" s="527" t="s">
        <v>100</v>
      </c>
      <c r="D103" s="528">
        <f>AVERAGE(E91:E94,G91:G94)</f>
        <v>85853859.626413718</v>
      </c>
      <c r="F103" s="474"/>
      <c r="G103" s="529"/>
      <c r="J103" s="530"/>
    </row>
    <row r="104" spans="1:10" ht="18.75" x14ac:dyDescent="0.3">
      <c r="C104" s="500" t="s">
        <v>62</v>
      </c>
      <c r="D104" s="531">
        <f>STDEV(E91:E94,G91:G94)/D103</f>
        <v>1.8437438577833715E-2</v>
      </c>
      <c r="F104" s="474"/>
      <c r="G104" s="522"/>
      <c r="J104" s="530"/>
    </row>
    <row r="105" spans="1:10" ht="19.5" customHeight="1" thickBot="1" x14ac:dyDescent="0.35">
      <c r="C105" s="502" t="s">
        <v>63</v>
      </c>
      <c r="D105" s="532">
        <f>COUNT(E91:E94,G91:G94)</f>
        <v>6</v>
      </c>
      <c r="F105" s="474"/>
      <c r="G105" s="522"/>
      <c r="J105" s="530"/>
    </row>
    <row r="106" spans="1:10" ht="19.5" customHeight="1" thickBot="1" x14ac:dyDescent="0.35">
      <c r="A106" s="478"/>
      <c r="B106" s="478"/>
      <c r="C106" s="478"/>
      <c r="D106" s="478"/>
      <c r="E106" s="478"/>
    </row>
    <row r="107" spans="1:10" ht="26.25" customHeight="1" x14ac:dyDescent="0.4">
      <c r="A107" s="430" t="s">
        <v>101</v>
      </c>
      <c r="B107" s="431">
        <v>900</v>
      </c>
      <c r="C107" s="572" t="s">
        <v>102</v>
      </c>
      <c r="D107" s="533" t="s">
        <v>43</v>
      </c>
      <c r="E107" s="534" t="s">
        <v>103</v>
      </c>
      <c r="F107" s="535" t="s">
        <v>104</v>
      </c>
    </row>
    <row r="108" spans="1:10" ht="26.25" customHeight="1" x14ac:dyDescent="0.4">
      <c r="A108" s="432" t="s">
        <v>105</v>
      </c>
      <c r="B108" s="433">
        <v>1</v>
      </c>
      <c r="C108" s="536">
        <v>1</v>
      </c>
      <c r="D108" s="537">
        <v>79008215</v>
      </c>
      <c r="E108" s="566">
        <f t="shared" ref="E108:E113" si="1">IF(ISBLANK(D108),"-",D108/$D$103*$D$100*$B$116)</f>
        <v>115.03299814329549</v>
      </c>
      <c r="F108" s="538">
        <f t="shared" ref="F108:F113" si="2">IF(ISBLANK(D108), "-", E108/$B$56)</f>
        <v>0.92026398514636387</v>
      </c>
    </row>
    <row r="109" spans="1:10" ht="26.25" customHeight="1" x14ac:dyDescent="0.4">
      <c r="A109" s="432" t="s">
        <v>82</v>
      </c>
      <c r="B109" s="433">
        <v>1</v>
      </c>
      <c r="C109" s="536">
        <v>2</v>
      </c>
      <c r="D109" s="537">
        <v>77950908</v>
      </c>
      <c r="E109" s="567">
        <f t="shared" si="1"/>
        <v>113.4935988014942</v>
      </c>
      <c r="F109" s="539">
        <f t="shared" si="2"/>
        <v>0.90794879041195364</v>
      </c>
    </row>
    <row r="110" spans="1:10" ht="26.25" customHeight="1" x14ac:dyDescent="0.4">
      <c r="A110" s="432" t="s">
        <v>83</v>
      </c>
      <c r="B110" s="433">
        <v>1</v>
      </c>
      <c r="C110" s="536">
        <v>3</v>
      </c>
      <c r="D110" s="537">
        <v>77945983</v>
      </c>
      <c r="E110" s="567">
        <f t="shared" si="1"/>
        <v>113.48642818618724</v>
      </c>
      <c r="F110" s="539">
        <f t="shared" si="2"/>
        <v>0.90789142548949797</v>
      </c>
    </row>
    <row r="111" spans="1:10" ht="26.25" customHeight="1" x14ac:dyDescent="0.4">
      <c r="A111" s="432" t="s">
        <v>84</v>
      </c>
      <c r="B111" s="433">
        <v>1</v>
      </c>
      <c r="C111" s="536">
        <v>4</v>
      </c>
      <c r="D111" s="537">
        <v>79067471</v>
      </c>
      <c r="E111" s="567">
        <f t="shared" si="1"/>
        <v>115.119272657129</v>
      </c>
      <c r="F111" s="539">
        <f t="shared" si="2"/>
        <v>0.92095418125703199</v>
      </c>
    </row>
    <row r="112" spans="1:10" ht="26.25" customHeight="1" x14ac:dyDescent="0.4">
      <c r="A112" s="432" t="s">
        <v>85</v>
      </c>
      <c r="B112" s="433">
        <v>1</v>
      </c>
      <c r="C112" s="536">
        <v>5</v>
      </c>
      <c r="D112" s="537">
        <v>79707521</v>
      </c>
      <c r="E112" s="567">
        <f t="shared" si="1"/>
        <v>116.05116145453593</v>
      </c>
      <c r="F112" s="539">
        <f t="shared" si="2"/>
        <v>0.92840929163628738</v>
      </c>
    </row>
    <row r="113" spans="1:10" ht="26.25" customHeight="1" x14ac:dyDescent="0.4">
      <c r="A113" s="432" t="s">
        <v>87</v>
      </c>
      <c r="B113" s="433">
        <v>1</v>
      </c>
      <c r="C113" s="540">
        <v>6</v>
      </c>
      <c r="D113" s="541">
        <v>79608287</v>
      </c>
      <c r="E113" s="568">
        <f t="shared" si="1"/>
        <v>115.90668047192224</v>
      </c>
      <c r="F113" s="542">
        <f t="shared" si="2"/>
        <v>0.92725344377537799</v>
      </c>
    </row>
    <row r="114" spans="1:10" ht="26.25" customHeight="1" x14ac:dyDescent="0.4">
      <c r="A114" s="432" t="s">
        <v>88</v>
      </c>
      <c r="B114" s="433">
        <v>1</v>
      </c>
      <c r="C114" s="536"/>
      <c r="D114" s="519"/>
      <c r="E114" s="504"/>
      <c r="F114" s="543"/>
    </row>
    <row r="115" spans="1:10" ht="26.25" customHeight="1" x14ac:dyDescent="0.4">
      <c r="A115" s="432" t="s">
        <v>89</v>
      </c>
      <c r="B115" s="433">
        <v>1</v>
      </c>
      <c r="C115" s="536"/>
      <c r="D115" s="383"/>
      <c r="E115" s="544" t="s">
        <v>50</v>
      </c>
      <c r="F115" s="545">
        <f>AVERAGE(F108:F113)</f>
        <v>0.9187868529527522</v>
      </c>
    </row>
    <row r="116" spans="1:10" ht="27" customHeight="1" thickBot="1" x14ac:dyDescent="0.45">
      <c r="A116" s="432" t="s">
        <v>90</v>
      </c>
      <c r="B116" s="461">
        <f>(B115/B114)*(B113/B112)*(B111/B110)*(B109/B108)*B107</f>
        <v>900</v>
      </c>
      <c r="C116" s="546"/>
      <c r="D116" s="387"/>
      <c r="E116" s="511" t="s">
        <v>62</v>
      </c>
      <c r="F116" s="547">
        <f>STDEV(F108:F113)/F115</f>
        <v>9.8236340385673138E-3</v>
      </c>
      <c r="I116" s="504"/>
    </row>
    <row r="117" spans="1:10" ht="27" customHeight="1" thickBot="1" x14ac:dyDescent="0.45">
      <c r="A117" s="585" t="s">
        <v>57</v>
      </c>
      <c r="B117" s="586"/>
      <c r="C117" s="548"/>
      <c r="D117" s="390"/>
      <c r="E117" s="549" t="s">
        <v>63</v>
      </c>
      <c r="F117" s="550">
        <f>COUNT(F108:F113)</f>
        <v>6</v>
      </c>
      <c r="I117" s="504"/>
      <c r="J117" s="530"/>
    </row>
    <row r="118" spans="1:10" ht="19.5" customHeight="1" thickBot="1" x14ac:dyDescent="0.35">
      <c r="A118" s="587"/>
      <c r="B118" s="588"/>
      <c r="C118" s="504"/>
      <c r="D118" s="504"/>
      <c r="E118" s="504"/>
      <c r="F118" s="519"/>
      <c r="G118" s="504"/>
      <c r="H118" s="504"/>
      <c r="I118" s="504"/>
    </row>
    <row r="119" spans="1:10" ht="18.75" x14ac:dyDescent="0.3">
      <c r="A119" s="557"/>
      <c r="B119" s="428"/>
      <c r="C119" s="504"/>
      <c r="D119" s="504"/>
      <c r="E119" s="504"/>
      <c r="F119" s="519"/>
      <c r="G119" s="504"/>
      <c r="H119" s="504"/>
      <c r="I119" s="504"/>
    </row>
    <row r="120" spans="1:10" ht="26.25" customHeight="1" x14ac:dyDescent="0.4">
      <c r="A120" s="553" t="s">
        <v>93</v>
      </c>
      <c r="B120" s="511" t="s">
        <v>106</v>
      </c>
      <c r="C120" s="600" t="str">
        <f>B20</f>
        <v>Amoxicillin &amp; Clavulanate Potassium</v>
      </c>
      <c r="D120" s="600"/>
      <c r="E120" s="504" t="s">
        <v>107</v>
      </c>
      <c r="F120" s="504"/>
      <c r="G120" s="505">
        <f>F115</f>
        <v>0.9187868529527522</v>
      </c>
      <c r="H120" s="504"/>
      <c r="I120" s="504"/>
    </row>
    <row r="121" spans="1:10" ht="19.5" customHeight="1" thickBot="1" x14ac:dyDescent="0.35">
      <c r="A121" s="576"/>
      <c r="B121" s="576"/>
      <c r="C121" s="551"/>
      <c r="D121" s="551"/>
      <c r="E121" s="551"/>
      <c r="F121" s="551"/>
      <c r="G121" s="551"/>
      <c r="H121" s="551"/>
    </row>
    <row r="122" spans="1:10" ht="18.75" x14ac:dyDescent="0.3">
      <c r="B122" s="601" t="s">
        <v>20</v>
      </c>
      <c r="C122" s="601"/>
      <c r="E122" s="573" t="s">
        <v>21</v>
      </c>
      <c r="F122" s="552"/>
      <c r="G122" s="601" t="s">
        <v>22</v>
      </c>
      <c r="H122" s="601"/>
    </row>
    <row r="123" spans="1:10" ht="69.95" customHeight="1" x14ac:dyDescent="0.3">
      <c r="A123" s="553" t="s">
        <v>23</v>
      </c>
      <c r="B123" s="554"/>
      <c r="C123" s="554"/>
      <c r="E123" s="554"/>
      <c r="F123" s="504"/>
      <c r="G123" s="554"/>
      <c r="H123" s="554"/>
    </row>
    <row r="124" spans="1:10" ht="69.95" customHeight="1" x14ac:dyDescent="0.3">
      <c r="A124" s="553" t="s">
        <v>24</v>
      </c>
      <c r="B124" s="555"/>
      <c r="C124" s="555"/>
      <c r="E124" s="555"/>
      <c r="F124" s="504"/>
      <c r="G124" s="556"/>
      <c r="H124" s="556"/>
    </row>
    <row r="125" spans="1:10" ht="18.75" x14ac:dyDescent="0.3">
      <c r="A125" s="519"/>
      <c r="B125" s="519"/>
      <c r="C125" s="519"/>
      <c r="D125" s="519"/>
      <c r="E125" s="519"/>
      <c r="F125" s="501"/>
      <c r="G125" s="519"/>
      <c r="H125" s="519"/>
      <c r="I125" s="504"/>
    </row>
    <row r="126" spans="1:10" ht="18.75" x14ac:dyDescent="0.3">
      <c r="A126" s="519"/>
      <c r="B126" s="519"/>
      <c r="C126" s="519"/>
      <c r="D126" s="519"/>
      <c r="E126" s="519"/>
      <c r="F126" s="501"/>
      <c r="G126" s="519"/>
      <c r="H126" s="519"/>
      <c r="I126" s="504"/>
    </row>
    <row r="127" spans="1:10" ht="18.75" x14ac:dyDescent="0.3">
      <c r="A127" s="519"/>
      <c r="B127" s="519"/>
      <c r="C127" s="519"/>
      <c r="D127" s="519"/>
      <c r="E127" s="519"/>
      <c r="F127" s="501"/>
      <c r="G127" s="519"/>
      <c r="H127" s="519"/>
      <c r="I127" s="504"/>
    </row>
    <row r="128" spans="1:10" ht="18.75" x14ac:dyDescent="0.3">
      <c r="A128" s="519"/>
      <c r="B128" s="519"/>
      <c r="C128" s="519"/>
      <c r="D128" s="519"/>
      <c r="E128" s="519"/>
      <c r="F128" s="501"/>
      <c r="G128" s="519"/>
      <c r="H128" s="519"/>
      <c r="I128" s="504"/>
    </row>
    <row r="129" spans="1:9" ht="18.75" x14ac:dyDescent="0.3">
      <c r="A129" s="519"/>
      <c r="B129" s="519"/>
      <c r="C129" s="519"/>
      <c r="D129" s="519"/>
      <c r="E129" s="519"/>
      <c r="F129" s="501"/>
      <c r="G129" s="519"/>
      <c r="H129" s="519"/>
      <c r="I129" s="504"/>
    </row>
    <row r="130" spans="1:9" ht="18.75" x14ac:dyDescent="0.3">
      <c r="A130" s="519"/>
      <c r="B130" s="519"/>
      <c r="C130" s="519"/>
      <c r="D130" s="519"/>
      <c r="E130" s="519"/>
      <c r="F130" s="501"/>
      <c r="G130" s="519"/>
      <c r="H130" s="519"/>
      <c r="I130" s="504"/>
    </row>
    <row r="131" spans="1:9" ht="18.75" x14ac:dyDescent="0.3">
      <c r="A131" s="519"/>
      <c r="B131" s="519"/>
      <c r="C131" s="519"/>
      <c r="D131" s="519"/>
      <c r="E131" s="519"/>
      <c r="F131" s="501"/>
      <c r="G131" s="519"/>
      <c r="H131" s="519"/>
      <c r="I131" s="504"/>
    </row>
    <row r="132" spans="1:9" ht="18.75" x14ac:dyDescent="0.3">
      <c r="A132" s="519"/>
      <c r="B132" s="519"/>
      <c r="C132" s="519"/>
      <c r="D132" s="519"/>
      <c r="E132" s="519"/>
      <c r="F132" s="501"/>
      <c r="G132" s="519"/>
      <c r="H132" s="519"/>
      <c r="I132" s="504"/>
    </row>
    <row r="133" spans="1:9" ht="18.75" x14ac:dyDescent="0.3">
      <c r="A133" s="519"/>
      <c r="B133" s="519"/>
      <c r="C133" s="519"/>
      <c r="D133" s="519"/>
      <c r="E133" s="519"/>
      <c r="F133" s="501"/>
      <c r="G133" s="519"/>
      <c r="H133" s="519"/>
      <c r="I133" s="504"/>
    </row>
    <row r="250" spans="1:1" x14ac:dyDescent="0.25">
      <c r="A250" s="456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SST</vt:lpstr>
      <vt:lpstr>Uniformity</vt:lpstr>
      <vt:lpstr>AMOXICILLIN 1</vt:lpstr>
      <vt:lpstr>CLAVULANIC ACID</vt:lpstr>
      <vt:lpstr>SST for S2 </vt:lpstr>
      <vt:lpstr>AMOXICILLIN S2</vt:lpstr>
      <vt:lpstr>CLAVULANIC ACID (S2)</vt:lpstr>
      <vt:lpstr>SST!Print_Area</vt:lpstr>
      <vt:lpstr>'SST for S2 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Lorna</cp:lastModifiedBy>
  <dcterms:created xsi:type="dcterms:W3CDTF">2012-10-19T06:03:51Z</dcterms:created>
  <dcterms:modified xsi:type="dcterms:W3CDTF">2015-10-29T09:32:42Z</dcterms:modified>
</cp:coreProperties>
</file>