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1"/>
  </bookViews>
  <sheets>
    <sheet name="SST A" sheetId="1" r:id="rId1"/>
    <sheet name="Uniformity" sheetId="2" r:id="rId2"/>
    <sheet name="Artemether" sheetId="3" r:id="rId3"/>
    <sheet name="SST L" sheetId="7" r:id="rId4"/>
    <sheet name="lumefantrine" sheetId="4" r:id="rId5"/>
  </sheets>
  <externalReferences>
    <externalReference r:id="rId6"/>
  </externalReference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D68" i="3" l="1"/>
  <c r="D64" i="3"/>
  <c r="D60" i="3"/>
  <c r="E30" i="1"/>
  <c r="B53" i="7"/>
  <c r="E51" i="7"/>
  <c r="D51" i="7"/>
  <c r="C51" i="7"/>
  <c r="B51" i="7"/>
  <c r="B52" i="7" s="1"/>
  <c r="B32" i="7"/>
  <c r="B31" i="7"/>
  <c r="E30" i="7"/>
  <c r="D30" i="7"/>
  <c r="C30" i="7"/>
  <c r="B30" i="7"/>
  <c r="B21" i="7"/>
  <c r="B17" i="7"/>
  <c r="B17" i="1"/>
  <c r="B21" i="1"/>
  <c r="B19" i="1"/>
  <c r="C124" i="4" l="1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4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/>
  <c r="B34" i="3"/>
  <c r="D44" i="3" s="1"/>
  <c r="B30" i="3"/>
  <c r="C46" i="2"/>
  <c r="D43" i="2" s="1"/>
  <c r="C45" i="2"/>
  <c r="D36" i="2"/>
  <c r="D35" i="2"/>
  <c r="D29" i="2"/>
  <c r="D28" i="2"/>
  <c r="D27" i="2"/>
  <c r="C19" i="2"/>
  <c r="B53" i="1"/>
  <c r="B52" i="1"/>
  <c r="E51" i="1"/>
  <c r="D51" i="1"/>
  <c r="C51" i="1"/>
  <c r="B51" i="1"/>
  <c r="B32" i="1"/>
  <c r="D30" i="1"/>
  <c r="C30" i="1"/>
  <c r="B30" i="1"/>
  <c r="B31" i="1" s="1"/>
  <c r="D101" i="4" l="1"/>
  <c r="E91" i="4" s="1"/>
  <c r="D97" i="4"/>
  <c r="D98" i="4" s="1"/>
  <c r="D99" i="4" s="1"/>
  <c r="F44" i="4"/>
  <c r="F45" i="4" s="1"/>
  <c r="F98" i="4"/>
  <c r="F99" i="4" s="1"/>
  <c r="D101" i="3"/>
  <c r="D102" i="3" s="1"/>
  <c r="D97" i="3"/>
  <c r="D98" i="3" s="1"/>
  <c r="D99" i="3" s="1"/>
  <c r="F98" i="3"/>
  <c r="F99" i="3" s="1"/>
  <c r="D45" i="3"/>
  <c r="E39" i="3" s="1"/>
  <c r="D46" i="3"/>
  <c r="D37" i="2"/>
  <c r="D49" i="4"/>
  <c r="B57" i="4"/>
  <c r="B69" i="4" s="1"/>
  <c r="D50" i="2"/>
  <c r="D42" i="2"/>
  <c r="D34" i="2"/>
  <c r="D26" i="2"/>
  <c r="D39" i="2"/>
  <c r="C50" i="2"/>
  <c r="D41" i="2"/>
  <c r="D33" i="2"/>
  <c r="D25" i="2"/>
  <c r="C49" i="2"/>
  <c r="B57" i="3"/>
  <c r="B69" i="3" s="1"/>
  <c r="D49" i="2"/>
  <c r="D40" i="2"/>
  <c r="D32" i="2"/>
  <c r="D24" i="2"/>
  <c r="D31" i="2"/>
  <c r="B49" i="2"/>
  <c r="D38" i="2"/>
  <c r="D30" i="2"/>
  <c r="D49" i="3"/>
  <c r="E40" i="3"/>
  <c r="F44" i="3"/>
  <c r="F45" i="3" s="1"/>
  <c r="F46" i="3" s="1"/>
  <c r="D45" i="4"/>
  <c r="D46" i="4" s="1"/>
  <c r="D102" i="4" l="1"/>
  <c r="E92" i="4"/>
  <c r="E93" i="4"/>
  <c r="E94" i="4"/>
  <c r="G94" i="4"/>
  <c r="F46" i="4"/>
  <c r="G39" i="4"/>
  <c r="G41" i="4"/>
  <c r="G38" i="4"/>
  <c r="G40" i="4"/>
  <c r="E41" i="4"/>
  <c r="G92" i="4"/>
  <c r="G91" i="4"/>
  <c r="G93" i="4"/>
  <c r="E93" i="3"/>
  <c r="G93" i="3"/>
  <c r="E91" i="3"/>
  <c r="G41" i="3"/>
  <c r="G94" i="3"/>
  <c r="E41" i="3"/>
  <c r="G38" i="3"/>
  <c r="G91" i="3"/>
  <c r="G39" i="3"/>
  <c r="E38" i="3"/>
  <c r="E92" i="3"/>
  <c r="G92" i="3"/>
  <c r="E39" i="4"/>
  <c r="E40" i="4"/>
  <c r="E94" i="3"/>
  <c r="G40" i="3"/>
  <c r="E38" i="4"/>
  <c r="G42" i="3" l="1"/>
  <c r="E42" i="3"/>
  <c r="E95" i="4"/>
  <c r="D105" i="4"/>
  <c r="D103" i="4"/>
  <c r="E111" i="4" s="1"/>
  <c r="F111" i="4" s="1"/>
  <c r="G42" i="4"/>
  <c r="G95" i="4"/>
  <c r="E95" i="3"/>
  <c r="G95" i="3"/>
  <c r="D103" i="3"/>
  <c r="E112" i="3" s="1"/>
  <c r="F112" i="3" s="1"/>
  <c r="D50" i="3"/>
  <c r="G70" i="3" s="1"/>
  <c r="H70" i="3" s="1"/>
  <c r="D52" i="3"/>
  <c r="D105" i="3"/>
  <c r="E42" i="4"/>
  <c r="D52" i="4"/>
  <c r="D50" i="4"/>
  <c r="G68" i="3"/>
  <c r="H68" i="3" s="1"/>
  <c r="E108" i="4" l="1"/>
  <c r="E112" i="4"/>
  <c r="F112" i="4" s="1"/>
  <c r="E109" i="4"/>
  <c r="F109" i="4" s="1"/>
  <c r="E113" i="4"/>
  <c r="F113" i="4" s="1"/>
  <c r="E110" i="4"/>
  <c r="F110" i="4" s="1"/>
  <c r="D104" i="4"/>
  <c r="E113" i="3"/>
  <c r="F113" i="3" s="1"/>
  <c r="D104" i="3"/>
  <c r="E111" i="3"/>
  <c r="F111" i="3" s="1"/>
  <c r="E109" i="3"/>
  <c r="F109" i="3" s="1"/>
  <c r="E110" i="3"/>
  <c r="F110" i="3" s="1"/>
  <c r="E108" i="3"/>
  <c r="E115" i="3" s="1"/>
  <c r="E116" i="3" s="1"/>
  <c r="G69" i="3"/>
  <c r="H69" i="3" s="1"/>
  <c r="G65" i="3"/>
  <c r="H65" i="3" s="1"/>
  <c r="G66" i="3"/>
  <c r="H66" i="3" s="1"/>
  <c r="G61" i="3"/>
  <c r="H61" i="3" s="1"/>
  <c r="G67" i="3"/>
  <c r="H67" i="3" s="1"/>
  <c r="G63" i="3"/>
  <c r="H63" i="3" s="1"/>
  <c r="G60" i="3"/>
  <c r="H60" i="3" s="1"/>
  <c r="G64" i="3"/>
  <c r="H64" i="3" s="1"/>
  <c r="D51" i="3"/>
  <c r="G71" i="3"/>
  <c r="H71" i="3" s="1"/>
  <c r="G62" i="3"/>
  <c r="H62" i="3" s="1"/>
  <c r="G70" i="4"/>
  <c r="H70" i="4" s="1"/>
  <c r="G67" i="4"/>
  <c r="H67" i="4" s="1"/>
  <c r="G63" i="4"/>
  <c r="H63" i="4" s="1"/>
  <c r="G69" i="4"/>
  <c r="H69" i="4" s="1"/>
  <c r="G62" i="4"/>
  <c r="H62" i="4" s="1"/>
  <c r="G65" i="4"/>
  <c r="H65" i="4" s="1"/>
  <c r="G66" i="4"/>
  <c r="H66" i="4" s="1"/>
  <c r="G61" i="4"/>
  <c r="H61" i="4" s="1"/>
  <c r="D51" i="4"/>
  <c r="G60" i="4"/>
  <c r="G71" i="4"/>
  <c r="H71" i="4" s="1"/>
  <c r="G64" i="4"/>
  <c r="H64" i="4" s="1"/>
  <c r="G68" i="4"/>
  <c r="H68" i="4" s="1"/>
  <c r="E120" i="4" l="1"/>
  <c r="E119" i="4"/>
  <c r="E115" i="4"/>
  <c r="E116" i="4" s="1"/>
  <c r="F108" i="4"/>
  <c r="D125" i="4" s="1"/>
  <c r="E117" i="4"/>
  <c r="E119" i="3"/>
  <c r="E120" i="3"/>
  <c r="E117" i="3"/>
  <c r="F108" i="3"/>
  <c r="F120" i="3" s="1"/>
  <c r="G72" i="3"/>
  <c r="G73" i="3" s="1"/>
  <c r="G74" i="3"/>
  <c r="F120" i="4"/>
  <c r="H74" i="3"/>
  <c r="H72" i="3"/>
  <c r="G74" i="4"/>
  <c r="G72" i="4"/>
  <c r="G73" i="4" s="1"/>
  <c r="H60" i="4"/>
  <c r="F117" i="4" l="1"/>
  <c r="F125" i="4"/>
  <c r="F119" i="4"/>
  <c r="F115" i="4"/>
  <c r="F116" i="4" s="1"/>
  <c r="F125" i="3"/>
  <c r="F117" i="3"/>
  <c r="D125" i="3"/>
  <c r="F119" i="3"/>
  <c r="F115" i="3"/>
  <c r="F116" i="3" s="1"/>
  <c r="H74" i="4"/>
  <c r="H72" i="4"/>
  <c r="G76" i="3"/>
  <c r="H73" i="3"/>
  <c r="G124" i="4"/>
  <c r="G124" i="3" l="1"/>
  <c r="H73" i="4"/>
  <c r="G76" i="4"/>
</calcChain>
</file>

<file path=xl/sharedStrings.xml><?xml version="1.0" encoding="utf-8"?>
<sst xmlns="http://schemas.openxmlformats.org/spreadsheetml/2006/main" count="448" uniqueCount="140">
  <si>
    <t>HPLC System Suitability Report</t>
  </si>
  <si>
    <t>Analysis Data</t>
  </si>
  <si>
    <t>Assay</t>
  </si>
  <si>
    <t>Sample(s)</t>
  </si>
  <si>
    <t>Reference Substance:</t>
  </si>
  <si>
    <t>COARTEM 20 mg/ 120 mg Tablets</t>
  </si>
  <si>
    <t>% age Purity:</t>
  </si>
  <si>
    <t>NDQA201511470</t>
  </si>
  <si>
    <t>Weight (mg):</t>
  </si>
  <si>
    <t>Artemether &amp; Lumefantrine</t>
  </si>
  <si>
    <t>Standard Conc (mg/mL):</t>
  </si>
  <si>
    <t>artemether 20 mg &amp; lumefantrine 120 mg</t>
  </si>
  <si>
    <t>2015-11-04 09:58:58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</si>
  <si>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</si>
  <si>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</si>
  <si>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</si>
  <si>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</si>
  <si>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</si>
  <si>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</si>
  <si>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</si>
  <si>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</si>
  <si>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</si>
  <si>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</si>
  <si>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</si>
  <si>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</si>
  <si>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</si>
  <si>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</si>
  <si>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</si>
  <si>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</si>
  <si>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</si>
  <si>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</si>
  <si>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</si>
  <si>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</si>
  <si>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</si>
  <si>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</si>
  <si>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</si>
  <si>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</si>
  <si>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</si>
  <si>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</si>
  <si>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</si>
  <si>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</si>
  <si>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</si>
  <si>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</si>
  <si>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</si>
  <si>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</si>
  <si>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</si>
  <si>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</si>
  <si>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</si>
  <si>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</si>
  <si>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</si>
  <si>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</si>
  <si>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</si>
  <si>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</si>
  <si>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</si>
  <si>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</si>
  <si>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</si>
  <si>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</si>
  <si>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</si>
  <si>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</si>
  <si>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</si>
  <si>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</si>
  <si>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</si>
  <si>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</si>
  <si>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</si>
  <si>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</si>
  <si>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</si>
  <si>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</si>
  <si>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</si>
  <si>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</si>
  <si>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</si>
  <si>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</si>
  <si>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</si>
  <si>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</si>
  <si>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</si>
  <si>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</si>
  <si>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</si>
  <si>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</si>
  <si>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</si>
  <si>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</si>
  <si>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</si>
  <si>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</si>
  <si>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</si>
  <si>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</si>
  <si>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</si>
  <si>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</si>
  <si>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</si>
  <si>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</si>
  <si>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</si>
  <si>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</si>
  <si>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</si>
  <si>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</si>
  <si>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</si>
  <si>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</si>
  <si>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</si>
  <si>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</si>
  <si>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</si>
  <si>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</si>
  <si>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</si>
  <si>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</si>
  <si>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</si>
  <si>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</si>
  <si>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</si>
  <si>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</si>
  <si>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</si>
  <si>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</si>
  <si>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</si>
  <si>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</si>
  <si>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</si>
  <si>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</si>
  <si>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</si>
  <si>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</si>
  <si>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</si>
  <si>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</si>
  <si>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</si>
  <si>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</si>
  <si>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</si>
  <si>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</si>
  <si>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</si>
  <si>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</si>
  <si>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</si>
  <si>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</si>
  <si>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</si>
  <si>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</si>
  <si>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</si>
  <si>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</si>
  <si>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</si>
  <si>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</si>
  <si>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</si>
  <si>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</si>
  <si>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</si>
  <si>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</si>
  <si>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</si>
  <si>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artemether 20 mg</t>
  </si>
  <si>
    <t>Lumefantrine</t>
  </si>
  <si>
    <t xml:space="preserve"> Lumefantrine</t>
  </si>
  <si>
    <t xml:space="preserve"> lumefantrine 120 mg</t>
  </si>
  <si>
    <t>L1 0</t>
  </si>
  <si>
    <t>A5 5</t>
  </si>
  <si>
    <t>Below 4.5 (ref. USP Salmous Method)</t>
  </si>
  <si>
    <t>REBECCA MANANI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</si>
</sst>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5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left"/>
      <protection locked="0"/>
    </xf>
    <xf numFmtId="15" fontId="1" fillId="2" borderId="11" xfId="0" applyNumberFormat="1" applyFont="1" applyFill="1" applyBorder="1"/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60166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A"/>
      <sheetName val="Artemether"/>
      <sheetName val="Uniformity"/>
      <sheetName val="SST L"/>
      <sheetName val="Lumefantrine"/>
    </sheetNames>
    <sheetDataSet>
      <sheetData sheetId="0"/>
      <sheetData sheetId="1">
        <row r="28">
          <cell r="B28">
            <v>99.65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1" sqref="E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Artemether!B18</f>
        <v>COARTEM 20 mg/ 120 mg Tablets</v>
      </c>
      <c r="D17" s="9"/>
      <c r="E17" s="10"/>
    </row>
    <row r="18" spans="1:6" ht="16.5" customHeight="1" x14ac:dyDescent="0.3">
      <c r="A18" s="11" t="s">
        <v>4</v>
      </c>
      <c r="B18" s="477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f>[1]Artemether!B28</f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10.55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0.21100000000000002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922265</v>
      </c>
      <c r="C24" s="18">
        <v>11462.6</v>
      </c>
      <c r="D24" s="19">
        <v>1</v>
      </c>
      <c r="E24" s="20">
        <v>5</v>
      </c>
    </row>
    <row r="25" spans="1:6" ht="16.5" customHeight="1" x14ac:dyDescent="0.3">
      <c r="A25" s="17">
        <v>2</v>
      </c>
      <c r="B25" s="18">
        <v>919717</v>
      </c>
      <c r="C25" s="18">
        <v>11443.5</v>
      </c>
      <c r="D25" s="19">
        <v>1</v>
      </c>
      <c r="E25" s="19">
        <v>5</v>
      </c>
    </row>
    <row r="26" spans="1:6" ht="16.5" customHeight="1" x14ac:dyDescent="0.3">
      <c r="A26" s="17">
        <v>3</v>
      </c>
      <c r="B26" s="18">
        <v>918738</v>
      </c>
      <c r="C26" s="18">
        <v>11438.3</v>
      </c>
      <c r="D26" s="19">
        <v>1</v>
      </c>
      <c r="E26" s="19">
        <v>5</v>
      </c>
    </row>
    <row r="27" spans="1:6" ht="16.5" customHeight="1" x14ac:dyDescent="0.3">
      <c r="A27" s="17">
        <v>4</v>
      </c>
      <c r="B27" s="18">
        <v>917951</v>
      </c>
      <c r="C27" s="18">
        <v>11455.3</v>
      </c>
      <c r="D27" s="19">
        <v>1</v>
      </c>
      <c r="E27" s="19">
        <v>5</v>
      </c>
    </row>
    <row r="28" spans="1:6" ht="16.5" customHeight="1" x14ac:dyDescent="0.3">
      <c r="A28" s="17">
        <v>5</v>
      </c>
      <c r="B28" s="18">
        <v>922422</v>
      </c>
      <c r="C28" s="18">
        <v>11482.1</v>
      </c>
      <c r="D28" s="19">
        <v>1</v>
      </c>
      <c r="E28" s="19">
        <v>5</v>
      </c>
    </row>
    <row r="29" spans="1:6" ht="16.5" customHeight="1" x14ac:dyDescent="0.3">
      <c r="A29" s="17">
        <v>6</v>
      </c>
      <c r="B29" s="21">
        <v>923820</v>
      </c>
      <c r="C29" s="21">
        <v>11466.7</v>
      </c>
      <c r="D29" s="22">
        <v>1</v>
      </c>
      <c r="E29" s="22">
        <v>5</v>
      </c>
    </row>
    <row r="30" spans="1:6" ht="16.5" customHeight="1" x14ac:dyDescent="0.3">
      <c r="A30" s="23" t="s">
        <v>18</v>
      </c>
      <c r="B30" s="24">
        <f>AVERAGE(B24:B29)</f>
        <v>920818.83333333337</v>
      </c>
      <c r="C30" s="25">
        <f>AVERAGE(C24:C29)</f>
        <v>11458.083333333334</v>
      </c>
      <c r="D30" s="26">
        <f>AVERAGE(D24:D29)</f>
        <v>1</v>
      </c>
      <c r="E30" s="26">
        <f>AVERAGE(E24:E29)</f>
        <v>5</v>
      </c>
    </row>
    <row r="31" spans="1:6" ht="16.5" customHeight="1" x14ac:dyDescent="0.3">
      <c r="A31" s="27" t="s">
        <v>19</v>
      </c>
      <c r="B31" s="28">
        <f>(STDEV(B24:B29)/B30)</f>
        <v>2.5439492439771976E-3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9" t="s">
        <v>26</v>
      </c>
      <c r="C59" s="47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1" workbookViewId="0">
      <selection activeCell="B54" sqref="B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3" t="s">
        <v>31</v>
      </c>
      <c r="B11" s="484"/>
      <c r="C11" s="484"/>
      <c r="D11" s="484"/>
      <c r="E11" s="484"/>
      <c r="F11" s="485"/>
      <c r="G11" s="91"/>
    </row>
    <row r="12" spans="1:7" ht="16.5" customHeight="1" x14ac:dyDescent="0.3">
      <c r="A12" s="482" t="s">
        <v>32</v>
      </c>
      <c r="B12" s="482"/>
      <c r="C12" s="482"/>
      <c r="D12" s="482"/>
      <c r="E12" s="482"/>
      <c r="F12" s="482"/>
      <c r="G12" s="90"/>
    </row>
    <row r="14" spans="1:7" ht="16.5" customHeight="1" x14ac:dyDescent="0.3">
      <c r="A14" s="487" t="s">
        <v>33</v>
      </c>
      <c r="B14" s="487"/>
      <c r="C14" s="60" t="s">
        <v>5</v>
      </c>
    </row>
    <row r="15" spans="1:7" ht="16.5" customHeight="1" x14ac:dyDescent="0.3">
      <c r="A15" s="487" t="s">
        <v>34</v>
      </c>
      <c r="B15" s="487"/>
      <c r="C15" s="60" t="s">
        <v>7</v>
      </c>
    </row>
    <row r="16" spans="1:7" ht="16.5" customHeight="1" x14ac:dyDescent="0.3">
      <c r="A16" s="487" t="s">
        <v>35</v>
      </c>
      <c r="B16" s="487"/>
      <c r="C16" s="60" t="s">
        <v>9</v>
      </c>
    </row>
    <row r="17" spans="1:5" ht="16.5" customHeight="1" x14ac:dyDescent="0.3">
      <c r="A17" s="487" t="s">
        <v>36</v>
      </c>
      <c r="B17" s="487"/>
      <c r="C17" s="60" t="s">
        <v>11</v>
      </c>
    </row>
    <row r="18" spans="1:5" ht="16.5" customHeight="1" x14ac:dyDescent="0.3">
      <c r="A18" s="487" t="s">
        <v>37</v>
      </c>
      <c r="B18" s="487"/>
      <c r="C18" s="97" t="s">
        <v>12</v>
      </c>
    </row>
    <row r="19" spans="1:5" ht="16.5" customHeight="1" x14ac:dyDescent="0.3">
      <c r="A19" s="487" t="s">
        <v>38</v>
      </c>
      <c r="B19" s="48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2" t="s">
        <v>1</v>
      </c>
      <c r="B21" s="482"/>
      <c r="C21" s="59" t="s">
        <v>39</v>
      </c>
      <c r="D21" s="66"/>
    </row>
    <row r="22" spans="1:5" ht="15.75" customHeight="1" x14ac:dyDescent="0.3">
      <c r="A22" s="486"/>
      <c r="B22" s="486"/>
      <c r="C22" s="57"/>
      <c r="D22" s="486"/>
      <c r="E22" s="48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288.42</v>
      </c>
      <c r="D24" s="87">
        <f t="shared" ref="D24:D43" si="0">(C24-$C$46)/$C$46</f>
        <v>1.8392409614073457E-3</v>
      </c>
      <c r="E24" s="53"/>
    </row>
    <row r="25" spans="1:5" ht="15.75" customHeight="1" x14ac:dyDescent="0.3">
      <c r="C25" s="95">
        <v>285.99</v>
      </c>
      <c r="D25" s="88">
        <f t="shared" si="0"/>
        <v>-6.6014682665804037E-3</v>
      </c>
      <c r="E25" s="53"/>
    </row>
    <row r="26" spans="1:5" ht="15.75" customHeight="1" x14ac:dyDescent="0.3">
      <c r="C26" s="95">
        <v>287.89</v>
      </c>
      <c r="D26" s="88">
        <f t="shared" si="0"/>
        <v>-1.73677144604694E-6</v>
      </c>
      <c r="E26" s="53"/>
    </row>
    <row r="27" spans="1:5" ht="15.75" customHeight="1" x14ac:dyDescent="0.3">
      <c r="C27" s="95">
        <v>290.20999999999998</v>
      </c>
      <c r="D27" s="88">
        <f t="shared" si="0"/>
        <v>8.056882738402292E-3</v>
      </c>
      <c r="E27" s="53"/>
    </row>
    <row r="28" spans="1:5" ht="15.75" customHeight="1" x14ac:dyDescent="0.3">
      <c r="C28" s="95">
        <v>288.60000000000002</v>
      </c>
      <c r="D28" s="88">
        <f t="shared" si="0"/>
        <v>2.4644786819990527E-3</v>
      </c>
      <c r="E28" s="53"/>
    </row>
    <row r="29" spans="1:5" ht="15.75" customHeight="1" x14ac:dyDescent="0.3">
      <c r="C29" s="95">
        <v>287.44</v>
      </c>
      <c r="D29" s="88">
        <f t="shared" si="0"/>
        <v>-1.5648310729252158E-3</v>
      </c>
      <c r="E29" s="53"/>
    </row>
    <row r="30" spans="1:5" ht="15.75" customHeight="1" x14ac:dyDescent="0.3">
      <c r="C30" s="95">
        <v>286.94</v>
      </c>
      <c r="D30" s="88">
        <f t="shared" si="0"/>
        <v>-3.301602519013225E-3</v>
      </c>
      <c r="E30" s="53"/>
    </row>
    <row r="31" spans="1:5" ht="15.75" customHeight="1" x14ac:dyDescent="0.3">
      <c r="C31" s="95">
        <v>288.68</v>
      </c>
      <c r="D31" s="88">
        <f t="shared" si="0"/>
        <v>2.7423621133730786E-3</v>
      </c>
      <c r="E31" s="53"/>
    </row>
    <row r="32" spans="1:5" ht="15.75" customHeight="1" x14ac:dyDescent="0.3">
      <c r="C32" s="95">
        <v>288.52</v>
      </c>
      <c r="D32" s="88">
        <f t="shared" si="0"/>
        <v>2.186595250624829E-3</v>
      </c>
      <c r="E32" s="53"/>
    </row>
    <row r="33" spans="1:7" ht="15.75" customHeight="1" x14ac:dyDescent="0.3">
      <c r="C33" s="95">
        <v>288.95999999999998</v>
      </c>
      <c r="D33" s="88">
        <f t="shared" si="0"/>
        <v>3.7149541231822694E-3</v>
      </c>
      <c r="E33" s="53"/>
    </row>
    <row r="34" spans="1:7" ht="15.75" customHeight="1" x14ac:dyDescent="0.3">
      <c r="C34" s="95">
        <v>287.56</v>
      </c>
      <c r="D34" s="88">
        <f t="shared" si="0"/>
        <v>-1.1480059258640778E-3</v>
      </c>
      <c r="E34" s="53"/>
    </row>
    <row r="35" spans="1:7" ht="15.75" customHeight="1" x14ac:dyDescent="0.3">
      <c r="C35" s="95">
        <v>286.75</v>
      </c>
      <c r="D35" s="88">
        <f t="shared" si="0"/>
        <v>-3.9615756685266604E-3</v>
      </c>
      <c r="E35" s="53"/>
    </row>
    <row r="36" spans="1:7" ht="15.75" customHeight="1" x14ac:dyDescent="0.3">
      <c r="C36" s="95">
        <v>287.95999999999998</v>
      </c>
      <c r="D36" s="88">
        <f t="shared" si="0"/>
        <v>2.4141123100625066E-4</v>
      </c>
      <c r="E36" s="53"/>
    </row>
    <row r="37" spans="1:7" ht="15.75" customHeight="1" x14ac:dyDescent="0.3">
      <c r="C37" s="95">
        <v>288.37</v>
      </c>
      <c r="D37" s="88">
        <f t="shared" si="0"/>
        <v>1.6655638167985052E-3</v>
      </c>
      <c r="E37" s="53"/>
    </row>
    <row r="38" spans="1:7" ht="15.75" customHeight="1" x14ac:dyDescent="0.3">
      <c r="C38" s="95">
        <v>288.45999999999998</v>
      </c>
      <c r="D38" s="88">
        <f t="shared" si="0"/>
        <v>1.9781826770942598E-3</v>
      </c>
      <c r="E38" s="53"/>
    </row>
    <row r="39" spans="1:7" ht="15.75" customHeight="1" x14ac:dyDescent="0.3">
      <c r="C39" s="95">
        <v>286.3</v>
      </c>
      <c r="D39" s="88">
        <f t="shared" si="0"/>
        <v>-5.5246699700058294E-3</v>
      </c>
      <c r="E39" s="53"/>
    </row>
    <row r="40" spans="1:7" ht="15.75" customHeight="1" x14ac:dyDescent="0.3">
      <c r="C40" s="95">
        <v>287.99</v>
      </c>
      <c r="D40" s="88">
        <f t="shared" si="0"/>
        <v>3.4561751777163388E-4</v>
      </c>
      <c r="E40" s="53"/>
    </row>
    <row r="41" spans="1:7" ht="15.75" customHeight="1" x14ac:dyDescent="0.3">
      <c r="C41" s="95">
        <v>286.95</v>
      </c>
      <c r="D41" s="88">
        <f t="shared" si="0"/>
        <v>-3.2668670900914965E-3</v>
      </c>
      <c r="E41" s="53"/>
    </row>
    <row r="42" spans="1:7" ht="15.75" customHeight="1" x14ac:dyDescent="0.3">
      <c r="C42" s="95">
        <v>287.36</v>
      </c>
      <c r="D42" s="88">
        <f t="shared" si="0"/>
        <v>-1.842714504299242E-3</v>
      </c>
      <c r="E42" s="53"/>
    </row>
    <row r="43" spans="1:7" ht="16.5" customHeight="1" x14ac:dyDescent="0.3">
      <c r="C43" s="96">
        <v>288.45999999999998</v>
      </c>
      <c r="D43" s="89">
        <f t="shared" si="0"/>
        <v>1.9781826770942598E-3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5757.8099999999995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287.89049999999997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80">
        <f>C46</f>
        <v>287.89049999999997</v>
      </c>
      <c r="C49" s="93">
        <f>-IF(C46&lt;=80,10%,IF(C46&lt;250,7.5%,5%))</f>
        <v>-0.05</v>
      </c>
      <c r="D49" s="81">
        <f>IF(C46&lt;=80,C46*0.9,IF(C46&lt;250,C46*0.925,C46*0.95))</f>
        <v>273.49597499999999</v>
      </c>
    </row>
    <row r="50" spans="1:6" ht="17.25" customHeight="1" x14ac:dyDescent="0.3">
      <c r="B50" s="481"/>
      <c r="C50" s="94">
        <f>IF(C46&lt;=80, 10%, IF(C46&lt;250, 7.5%, 5%))</f>
        <v>0.05</v>
      </c>
      <c r="D50" s="81">
        <f>IF(C46&lt;=80, C46*1.1, IF(C46&lt;250, C46*1.075, C46*1.05))</f>
        <v>302.28502499999996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2" zoomScale="55" zoomScaleNormal="40" zoomScalePageLayoutView="55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8" t="s">
        <v>45</v>
      </c>
      <c r="B1" s="488"/>
      <c r="C1" s="488"/>
      <c r="D1" s="488"/>
      <c r="E1" s="488"/>
      <c r="F1" s="488"/>
      <c r="G1" s="488"/>
      <c r="H1" s="488"/>
      <c r="I1" s="488"/>
    </row>
    <row r="2" spans="1:9" ht="18.75" customHeight="1" x14ac:dyDescent="0.25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8.75" customHeight="1" x14ac:dyDescent="0.25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8.75" customHeight="1" x14ac:dyDescent="0.25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8.75" customHeight="1" x14ac:dyDescent="0.25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8.75" customHeight="1" x14ac:dyDescent="0.25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8.75" customHeight="1" x14ac:dyDescent="0.25">
      <c r="A7" s="488"/>
      <c r="B7" s="488"/>
      <c r="C7" s="488"/>
      <c r="D7" s="488"/>
      <c r="E7" s="488"/>
      <c r="F7" s="488"/>
      <c r="G7" s="488"/>
      <c r="H7" s="488"/>
      <c r="I7" s="488"/>
    </row>
    <row r="8" spans="1:9" x14ac:dyDescent="0.25">
      <c r="A8" s="489" t="s">
        <v>46</v>
      </c>
      <c r="B8" s="489"/>
      <c r="C8" s="489"/>
      <c r="D8" s="489"/>
      <c r="E8" s="489"/>
      <c r="F8" s="489"/>
      <c r="G8" s="489"/>
      <c r="H8" s="489"/>
      <c r="I8" s="489"/>
    </row>
    <row r="9" spans="1:9" x14ac:dyDescent="0.25">
      <c r="A9" s="489"/>
      <c r="B9" s="489"/>
      <c r="C9" s="489"/>
      <c r="D9" s="489"/>
      <c r="E9" s="489"/>
      <c r="F9" s="489"/>
      <c r="G9" s="489"/>
      <c r="H9" s="489"/>
      <c r="I9" s="489"/>
    </row>
    <row r="10" spans="1:9" x14ac:dyDescent="0.25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x14ac:dyDescent="0.25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x14ac:dyDescent="0.25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x14ac:dyDescent="0.25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x14ac:dyDescent="0.25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x14ac:dyDescent="0.3">
      <c r="A15" s="98"/>
    </row>
    <row r="16" spans="1:9" ht="19.5" customHeight="1" x14ac:dyDescent="0.3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25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4">
      <c r="A18" s="100" t="s">
        <v>33</v>
      </c>
      <c r="B18" s="520" t="s">
        <v>5</v>
      </c>
      <c r="C18" s="520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5" t="s">
        <v>131</v>
      </c>
      <c r="C20" s="52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5" t="s">
        <v>132</v>
      </c>
      <c r="C21" s="525"/>
      <c r="D21" s="525"/>
      <c r="E21" s="525"/>
      <c r="F21" s="525"/>
      <c r="G21" s="525"/>
      <c r="H21" s="525"/>
      <c r="I21" s="104"/>
    </row>
    <row r="22" spans="1:14" ht="26.25" customHeight="1" x14ac:dyDescent="0.4">
      <c r="A22" s="100" t="s">
        <v>37</v>
      </c>
      <c r="B22" s="105"/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20" t="s">
        <v>131</v>
      </c>
      <c r="C26" s="520"/>
    </row>
    <row r="27" spans="1:14" ht="26.25" customHeight="1" x14ac:dyDescent="0.4">
      <c r="A27" s="109" t="s">
        <v>48</v>
      </c>
      <c r="B27" s="526" t="s">
        <v>137</v>
      </c>
      <c r="C27" s="526"/>
    </row>
    <row r="28" spans="1:14" ht="27" customHeight="1" x14ac:dyDescent="0.4">
      <c r="A28" s="109" t="s">
        <v>6</v>
      </c>
      <c r="B28" s="110">
        <v>99.65</v>
      </c>
    </row>
    <row r="29" spans="1:14" s="14" customFormat="1" ht="27" customHeight="1" x14ac:dyDescent="0.4">
      <c r="A29" s="109" t="s">
        <v>49</v>
      </c>
      <c r="B29" s="111">
        <v>0</v>
      </c>
      <c r="C29" s="496" t="s">
        <v>50</v>
      </c>
      <c r="D29" s="497"/>
      <c r="E29" s="497"/>
      <c r="F29" s="497"/>
      <c r="G29" s="49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9" t="s">
        <v>53</v>
      </c>
      <c r="D31" s="500"/>
      <c r="E31" s="500"/>
      <c r="F31" s="500"/>
      <c r="G31" s="500"/>
      <c r="H31" s="50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9" t="s">
        <v>55</v>
      </c>
      <c r="D32" s="500"/>
      <c r="E32" s="500"/>
      <c r="F32" s="500"/>
      <c r="G32" s="500"/>
      <c r="H32" s="50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502" t="s">
        <v>59</v>
      </c>
      <c r="E36" s="527"/>
      <c r="F36" s="502" t="s">
        <v>60</v>
      </c>
      <c r="G36" s="50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472">
        <v>920441</v>
      </c>
      <c r="E38" s="133">
        <f>IF(ISBLANK(D38),"-",$D$48/$D$45*D38)</f>
        <v>875520.24502821476</v>
      </c>
      <c r="F38" s="472">
        <v>907900</v>
      </c>
      <c r="G38" s="134">
        <f>IF(ISBLANK(F38),"-",$D$48/$F$45*F38)</f>
        <v>895859.2043637489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473">
        <v>928063</v>
      </c>
      <c r="E39" s="138">
        <f>IF(ISBLANK(D39),"-",$D$48/$D$45*D39)</f>
        <v>882770.26464664238</v>
      </c>
      <c r="F39" s="473">
        <v>912556</v>
      </c>
      <c r="G39" s="139">
        <f>IF(ISBLANK(F39),"-",$D$48/$F$45*F39)</f>
        <v>900453.45533358876</v>
      </c>
      <c r="I39" s="504">
        <f>ABS((F43/D43*D42)-F42)/D42</f>
        <v>2.0128265138417655E-2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473">
        <v>919972</v>
      </c>
      <c r="E40" s="138">
        <f>IF(ISBLANK(D40),"-",$D$48/$D$45*D40)</f>
        <v>875074.13387614943</v>
      </c>
      <c r="F40" s="473">
        <v>904027</v>
      </c>
      <c r="G40" s="139">
        <f>IF(ISBLANK(F40),"-",$D$48/$F$45*F40)</f>
        <v>892037.56905314117</v>
      </c>
      <c r="I40" s="50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474"/>
      <c r="E41" s="143" t="str">
        <f>IF(ISBLANK(D41),"-",$D$48/$D$45*D41)</f>
        <v>-</v>
      </c>
      <c r="F41" s="474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922825.33333333337</v>
      </c>
      <c r="E42" s="148">
        <f>AVERAGE(E38:E41)</f>
        <v>877788.21451700211</v>
      </c>
      <c r="F42" s="147">
        <f>AVERAGE(F38:F41)</f>
        <v>908161</v>
      </c>
      <c r="G42" s="149">
        <f>AVERAGE(G38:G41)</f>
        <v>896116.74291682616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10.55</v>
      </c>
      <c r="E43" s="140"/>
      <c r="F43" s="152">
        <v>10.17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10.55</v>
      </c>
      <c r="E44" s="155"/>
      <c r="F44" s="154">
        <f>F43*$B$34</f>
        <v>10.17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10.513075000000001</v>
      </c>
      <c r="E45" s="158"/>
      <c r="F45" s="157">
        <f>F44*$B$30/100</f>
        <v>10.134405000000001</v>
      </c>
      <c r="H45" s="150"/>
    </row>
    <row r="46" spans="1:14" ht="19.5" customHeight="1" x14ac:dyDescent="0.3">
      <c r="A46" s="490" t="s">
        <v>78</v>
      </c>
      <c r="B46" s="491"/>
      <c r="C46" s="153" t="s">
        <v>79</v>
      </c>
      <c r="D46" s="159">
        <f>D45/$B$45</f>
        <v>0.21026150000000002</v>
      </c>
      <c r="E46" s="160"/>
      <c r="F46" s="161">
        <f>F45/$B$45</f>
        <v>0.20268810000000001</v>
      </c>
      <c r="H46" s="150"/>
    </row>
    <row r="47" spans="1:14" ht="27" customHeight="1" x14ac:dyDescent="0.4">
      <c r="A47" s="492"/>
      <c r="B47" s="493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886952.47871691419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1.2108965151645813E-2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artemether 20 mg</v>
      </c>
    </row>
    <row r="56" spans="1:12" ht="26.25" customHeight="1" x14ac:dyDescent="0.4">
      <c r="A56" s="177" t="s">
        <v>87</v>
      </c>
      <c r="B56" s="178">
        <v>20</v>
      </c>
      <c r="C56" s="99" t="str">
        <f>B20</f>
        <v>Artemether</v>
      </c>
      <c r="H56" s="179"/>
    </row>
    <row r="57" spans="1:12" ht="18.75" x14ac:dyDescent="0.3">
      <c r="A57" s="176" t="s">
        <v>88</v>
      </c>
      <c r="B57" s="247">
        <f>Uniformity!C46</f>
        <v>287.89049999999997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507" t="s">
        <v>94</v>
      </c>
      <c r="D60" s="510">
        <f>lumefantrine!D60</f>
        <v>286.56</v>
      </c>
      <c r="E60" s="182">
        <v>1</v>
      </c>
      <c r="F60" s="183">
        <v>895234</v>
      </c>
      <c r="G60" s="248">
        <f>IF(ISBLANK(F60),"-",(F60/$D$50*$D$47*$B$68)*($B$57/$D$60))</f>
        <v>20.280468210907912</v>
      </c>
      <c r="H60" s="266">
        <f t="shared" ref="H60:H71" si="0">IF(ISBLANK(F60),"-",(G60/$B$56)*100)</f>
        <v>101.40234105453956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508"/>
      <c r="D61" s="511"/>
      <c r="E61" s="184">
        <v>2</v>
      </c>
      <c r="F61" s="137">
        <v>894783</v>
      </c>
      <c r="G61" s="249">
        <f>IF(ISBLANK(F61),"-",(F61/$D$50*$D$47*$B$68)*($B$57/$D$60))</f>
        <v>20.270251338935761</v>
      </c>
      <c r="H61" s="267">
        <f t="shared" si="0"/>
        <v>101.35125669467881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8"/>
      <c r="D62" s="511"/>
      <c r="E62" s="184">
        <v>3</v>
      </c>
      <c r="F62" s="185">
        <v>892566</v>
      </c>
      <c r="G62" s="249">
        <f>IF(ISBLANK(F62),"-",(F62/$D$50*$D$47*$B$68)*($B$57/$D$60))</f>
        <v>20.220027824163552</v>
      </c>
      <c r="H62" s="267">
        <f t="shared" si="0"/>
        <v>101.10013912081777</v>
      </c>
      <c r="L62" s="112"/>
    </row>
    <row r="63" spans="1:12" ht="27" customHeight="1" x14ac:dyDescent="0.4">
      <c r="A63" s="124" t="s">
        <v>97</v>
      </c>
      <c r="B63" s="125">
        <v>1</v>
      </c>
      <c r="C63" s="517"/>
      <c r="D63" s="512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7" t="s">
        <v>99</v>
      </c>
      <c r="D64" s="510">
        <f>lumefantrine!D64</f>
        <v>288.72000000000003</v>
      </c>
      <c r="E64" s="182">
        <v>1</v>
      </c>
      <c r="F64" s="183">
        <v>902246</v>
      </c>
      <c r="G64" s="248">
        <f>IF(ISBLANK(F64),"-",(F64/$D$50*$D$47*$B$68)*($B$57/$D$64))</f>
        <v>20.286404189175116</v>
      </c>
      <c r="H64" s="266">
        <f t="shared" si="0"/>
        <v>101.43202094587558</v>
      </c>
    </row>
    <row r="65" spans="1:8" ht="26.25" customHeight="1" x14ac:dyDescent="0.4">
      <c r="A65" s="124" t="s">
        <v>100</v>
      </c>
      <c r="B65" s="125">
        <v>1</v>
      </c>
      <c r="C65" s="508"/>
      <c r="D65" s="511"/>
      <c r="E65" s="184">
        <v>2</v>
      </c>
      <c r="F65" s="137">
        <v>900851</v>
      </c>
      <c r="G65" s="249">
        <f>IF(ISBLANK(F65),"-",(F65/$D$50*$D$47*$B$68)*($B$57/$D$64))</f>
        <v>20.25503853740841</v>
      </c>
      <c r="H65" s="267">
        <f t="shared" si="0"/>
        <v>101.27519268704206</v>
      </c>
    </row>
    <row r="66" spans="1:8" ht="26.25" customHeight="1" x14ac:dyDescent="0.4">
      <c r="A66" s="124" t="s">
        <v>101</v>
      </c>
      <c r="B66" s="125">
        <v>1</v>
      </c>
      <c r="C66" s="508"/>
      <c r="D66" s="511"/>
      <c r="E66" s="184">
        <v>3</v>
      </c>
      <c r="F66" s="137">
        <v>898963</v>
      </c>
      <c r="G66" s="249">
        <f>IF(ISBLANK(F66),"-",(F66/$D$50*$D$47*$B$68)*($B$57/$D$64))</f>
        <v>20.212588106916993</v>
      </c>
      <c r="H66" s="267">
        <f t="shared" si="0"/>
        <v>101.06294053458495</v>
      </c>
    </row>
    <row r="67" spans="1:8" ht="27" customHeight="1" x14ac:dyDescent="0.4">
      <c r="A67" s="124" t="s">
        <v>102</v>
      </c>
      <c r="B67" s="125">
        <v>1</v>
      </c>
      <c r="C67" s="517"/>
      <c r="D67" s="512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507" t="s">
        <v>104</v>
      </c>
      <c r="D68" s="510">
        <f>lumefantrine!D68</f>
        <v>287.77999999999997</v>
      </c>
      <c r="E68" s="182">
        <v>1</v>
      </c>
      <c r="F68" s="183">
        <v>905313</v>
      </c>
      <c r="G68" s="248">
        <f>IF(ISBLANK(F68),"-",(F68/$D$50*$D$47*$B$68)*($B$57/$D$68))</f>
        <v>20.421852089423098</v>
      </c>
      <c r="H68" s="267">
        <f t="shared" si="0"/>
        <v>102.10926044711547</v>
      </c>
    </row>
    <row r="69" spans="1:8" ht="27" customHeight="1" x14ac:dyDescent="0.4">
      <c r="A69" s="172" t="s">
        <v>105</v>
      </c>
      <c r="B69" s="189">
        <f>(D47*B68)/B56*B57</f>
        <v>287.89049999999997</v>
      </c>
      <c r="C69" s="508"/>
      <c r="D69" s="511"/>
      <c r="E69" s="184">
        <v>2</v>
      </c>
      <c r="F69" s="137">
        <v>904776</v>
      </c>
      <c r="G69" s="249">
        <f>IF(ISBLANK(F69),"-",(F69/$D$50*$D$47*$B$68)*($B$57/$D$68))</f>
        <v>20.409738561204662</v>
      </c>
      <c r="H69" s="267">
        <f t="shared" si="0"/>
        <v>102.04869280602331</v>
      </c>
    </row>
    <row r="70" spans="1:8" ht="26.25" customHeight="1" x14ac:dyDescent="0.4">
      <c r="A70" s="513" t="s">
        <v>78</v>
      </c>
      <c r="B70" s="514"/>
      <c r="C70" s="508"/>
      <c r="D70" s="511"/>
      <c r="E70" s="184">
        <v>3</v>
      </c>
      <c r="F70" s="137">
        <v>902818</v>
      </c>
      <c r="G70" s="249">
        <f>IF(ISBLANK(F70),"-",(F70/$D$50*$D$47*$B$68)*($B$57/$D$68))</f>
        <v>20.365570426657722</v>
      </c>
      <c r="H70" s="267">
        <f t="shared" si="0"/>
        <v>101.82785213328862</v>
      </c>
    </row>
    <row r="71" spans="1:8" ht="27" customHeight="1" x14ac:dyDescent="0.4">
      <c r="A71" s="515"/>
      <c r="B71" s="516"/>
      <c r="C71" s="509"/>
      <c r="D71" s="512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20.302437698310356</v>
      </c>
      <c r="H72" s="269">
        <f>AVERAGE(H60:H71)</f>
        <v>101.5121884915518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3.8408659911171529E-3</v>
      </c>
      <c r="H73" s="253">
        <f>STDEV(H60:H71)/H72</f>
        <v>3.8408659911171135E-3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494" t="str">
        <f>B26</f>
        <v>Artemether</v>
      </c>
      <c r="D76" s="494"/>
      <c r="E76" s="198" t="s">
        <v>108</v>
      </c>
      <c r="F76" s="198"/>
      <c r="G76" s="199">
        <f>H72</f>
        <v>101.5121884915518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8" t="str">
        <f>B26</f>
        <v>Artemether</v>
      </c>
      <c r="C79" s="528"/>
    </row>
    <row r="80" spans="1:8" ht="26.25" customHeight="1" x14ac:dyDescent="0.4">
      <c r="A80" s="109" t="s">
        <v>48</v>
      </c>
      <c r="B80" s="528" t="str">
        <f>B27</f>
        <v>A5 5</v>
      </c>
      <c r="C80" s="528"/>
    </row>
    <row r="81" spans="1:12" ht="27" customHeight="1" x14ac:dyDescent="0.4">
      <c r="A81" s="109" t="s">
        <v>6</v>
      </c>
      <c r="B81" s="201">
        <f>B28</f>
        <v>99.65</v>
      </c>
    </row>
    <row r="82" spans="1:12" s="14" customFormat="1" ht="27" customHeight="1" x14ac:dyDescent="0.4">
      <c r="A82" s="109" t="s">
        <v>49</v>
      </c>
      <c r="B82" s="111">
        <v>0</v>
      </c>
      <c r="C82" s="496" t="s">
        <v>50</v>
      </c>
      <c r="D82" s="497"/>
      <c r="E82" s="497"/>
      <c r="F82" s="497"/>
      <c r="G82" s="49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9" t="s">
        <v>111</v>
      </c>
      <c r="D84" s="500"/>
      <c r="E84" s="500"/>
      <c r="F84" s="500"/>
      <c r="G84" s="500"/>
      <c r="H84" s="50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9" t="s">
        <v>112</v>
      </c>
      <c r="D85" s="500"/>
      <c r="E85" s="500"/>
      <c r="F85" s="500"/>
      <c r="G85" s="500"/>
      <c r="H85" s="50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2" t="s">
        <v>59</v>
      </c>
      <c r="E89" s="203"/>
      <c r="F89" s="502" t="s">
        <v>60</v>
      </c>
      <c r="G89" s="50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504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50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17">
        <f>(B97/B96)*(B95/B94)*(B93/B92)*(B91/B90)*B89</f>
        <v>1</v>
      </c>
      <c r="C98" s="215" t="s">
        <v>115</v>
      </c>
      <c r="D98" s="218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490" t="s">
        <v>78</v>
      </c>
      <c r="B99" s="505"/>
      <c r="C99" s="215" t="s">
        <v>116</v>
      </c>
      <c r="D99" s="219">
        <f>D98/$B$98</f>
        <v>0</v>
      </c>
      <c r="E99" s="158"/>
      <c r="F99" s="161">
        <f>F98/$B$98</f>
        <v>0</v>
      </c>
      <c r="G99" s="220"/>
      <c r="H99" s="150"/>
    </row>
    <row r="100" spans="1:10" ht="19.5" customHeight="1" x14ac:dyDescent="0.3">
      <c r="A100" s="492"/>
      <c r="B100" s="506"/>
      <c r="C100" s="215" t="s">
        <v>80</v>
      </c>
      <c r="D100" s="221">
        <f>$B$56/$B$116</f>
        <v>20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20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490" t="s">
        <v>78</v>
      </c>
      <c r="B117" s="491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492"/>
      <c r="B118" s="493"/>
      <c r="C118" s="98"/>
      <c r="D118" s="260"/>
      <c r="E118" s="518" t="s">
        <v>123</v>
      </c>
      <c r="F118" s="519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4" t="str">
        <f>B26</f>
        <v>Artemether</v>
      </c>
      <c r="D124" s="494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5" t="s">
        <v>26</v>
      </c>
      <c r="C127" s="495"/>
      <c r="E127" s="204" t="s">
        <v>27</v>
      </c>
      <c r="F127" s="239"/>
      <c r="G127" s="495" t="s">
        <v>28</v>
      </c>
      <c r="H127" s="495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B61" sqref="B61:E6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Artemether!B18</f>
        <v>COARTEM 20 mg/ 120 mg Tablets</v>
      </c>
      <c r="D17" s="9"/>
      <c r="E17" s="72"/>
    </row>
    <row r="18" spans="1:5" ht="16.5" customHeight="1" x14ac:dyDescent="0.3">
      <c r="A18" s="75" t="s">
        <v>4</v>
      </c>
      <c r="B18" s="477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100.46</v>
      </c>
      <c r="C19" s="72"/>
      <c r="D19" s="72"/>
      <c r="E19" s="72"/>
    </row>
    <row r="20" spans="1:5" ht="16.5" customHeight="1" x14ac:dyDescent="0.3">
      <c r="A20" s="8" t="s">
        <v>8</v>
      </c>
      <c r="B20" s="12">
        <v>61.33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</f>
        <v>1.2265999999999999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403919898</v>
      </c>
      <c r="C24" s="18">
        <v>1932.5</v>
      </c>
      <c r="D24" s="19">
        <v>2.9</v>
      </c>
      <c r="E24" s="20">
        <v>10.8</v>
      </c>
    </row>
    <row r="25" spans="1:5" ht="16.5" customHeight="1" x14ac:dyDescent="0.3">
      <c r="A25" s="17">
        <v>2</v>
      </c>
      <c r="B25" s="18">
        <v>403126111</v>
      </c>
      <c r="C25" s="18">
        <v>1941.5</v>
      </c>
      <c r="D25" s="19">
        <v>2.9</v>
      </c>
      <c r="E25" s="19">
        <v>10.8</v>
      </c>
    </row>
    <row r="26" spans="1:5" ht="16.5" customHeight="1" x14ac:dyDescent="0.3">
      <c r="A26" s="17">
        <v>3</v>
      </c>
      <c r="B26" s="18">
        <v>403066767</v>
      </c>
      <c r="C26" s="18">
        <v>1948.1</v>
      </c>
      <c r="D26" s="19">
        <v>2.9</v>
      </c>
      <c r="E26" s="19">
        <v>10.8</v>
      </c>
    </row>
    <row r="27" spans="1:5" ht="16.5" customHeight="1" x14ac:dyDescent="0.3">
      <c r="A27" s="17">
        <v>4</v>
      </c>
      <c r="B27" s="18">
        <v>402916972</v>
      </c>
      <c r="C27" s="18">
        <v>1951.2</v>
      </c>
      <c r="D27" s="19">
        <v>2.9</v>
      </c>
      <c r="E27" s="19">
        <v>10.8</v>
      </c>
    </row>
    <row r="28" spans="1:5" ht="16.5" customHeight="1" x14ac:dyDescent="0.3">
      <c r="A28" s="17">
        <v>5</v>
      </c>
      <c r="B28" s="18">
        <v>404758609</v>
      </c>
      <c r="C28" s="18">
        <v>1950.3</v>
      </c>
      <c r="D28" s="19">
        <v>2.9</v>
      </c>
      <c r="E28" s="19">
        <v>10.8</v>
      </c>
    </row>
    <row r="29" spans="1:5" ht="16.5" customHeight="1" x14ac:dyDescent="0.3">
      <c r="A29" s="17">
        <v>6</v>
      </c>
      <c r="B29" s="21">
        <v>405410488</v>
      </c>
      <c r="C29" s="21">
        <v>1952.7</v>
      </c>
      <c r="D29" s="22">
        <v>2.9</v>
      </c>
      <c r="E29" s="22">
        <v>10.8</v>
      </c>
    </row>
    <row r="30" spans="1:5" ht="16.5" customHeight="1" x14ac:dyDescent="0.3">
      <c r="A30" s="23" t="s">
        <v>18</v>
      </c>
      <c r="B30" s="24">
        <f>AVERAGE(B24:B29)</f>
        <v>403866474.16666669</v>
      </c>
      <c r="C30" s="25">
        <f>AVERAGE(C24:C29)</f>
        <v>1946.0500000000002</v>
      </c>
      <c r="D30" s="26">
        <f>AVERAGE(D24:D29)</f>
        <v>2.9</v>
      </c>
      <c r="E30" s="26">
        <f>AVERAGE(E24:E29)</f>
        <v>10.799999999999999</v>
      </c>
    </row>
    <row r="31" spans="1:5" ht="16.5" customHeight="1" x14ac:dyDescent="0.3">
      <c r="A31" s="27" t="s">
        <v>19</v>
      </c>
      <c r="B31" s="28">
        <f>(STDEV(B24:B29)/B30)</f>
        <v>2.5425136079489734E-3</v>
      </c>
      <c r="C31" s="29"/>
      <c r="D31" s="29"/>
      <c r="E31" s="30"/>
    </row>
    <row r="32" spans="1:5" s="47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76" customFormat="1" ht="15.75" customHeight="1" x14ac:dyDescent="0.25">
      <c r="A33" s="72"/>
      <c r="B33" s="72"/>
      <c r="C33" s="72"/>
      <c r="D33" s="72"/>
      <c r="E33" s="72"/>
    </row>
    <row r="34" spans="1:5" s="47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530" t="s">
        <v>24</v>
      </c>
      <c r="C36" s="529"/>
      <c r="D36" s="529" t="s">
        <v>138</v>
      </c>
      <c r="E36" s="52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76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76" customFormat="1" ht="15.75" customHeight="1" x14ac:dyDescent="0.25">
      <c r="A54" s="72"/>
      <c r="B54" s="72"/>
      <c r="C54" s="72"/>
      <c r="D54" s="72"/>
      <c r="E54" s="72"/>
    </row>
    <row r="55" spans="1:7" s="47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75"/>
      <c r="D58" s="43"/>
      <c r="F58" s="44"/>
      <c r="G58" s="44"/>
    </row>
    <row r="59" spans="1:7" ht="15" customHeight="1" x14ac:dyDescent="0.3">
      <c r="B59" s="479" t="s">
        <v>26</v>
      </c>
      <c r="C59" s="47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 t="s">
        <v>139</v>
      </c>
      <c r="C61" s="50"/>
      <c r="E61" s="531">
        <v>42818</v>
      </c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00" zoomScale="40" zoomScaleNormal="40" zoomScalePageLayoutView="55" workbookViewId="0">
      <selection activeCell="C129" sqref="C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8" t="s">
        <v>45</v>
      </c>
      <c r="B1" s="488"/>
      <c r="C1" s="488"/>
      <c r="D1" s="488"/>
      <c r="E1" s="488"/>
      <c r="F1" s="488"/>
      <c r="G1" s="488"/>
      <c r="H1" s="488"/>
      <c r="I1" s="488"/>
    </row>
    <row r="2" spans="1:9" ht="18.75" customHeight="1" x14ac:dyDescent="0.25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8.75" customHeight="1" x14ac:dyDescent="0.25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8.75" customHeight="1" x14ac:dyDescent="0.25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8.75" customHeight="1" x14ac:dyDescent="0.25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8.75" customHeight="1" x14ac:dyDescent="0.25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8.75" customHeight="1" x14ac:dyDescent="0.25">
      <c r="A7" s="488"/>
      <c r="B7" s="488"/>
      <c r="C7" s="488"/>
      <c r="D7" s="488"/>
      <c r="E7" s="488"/>
      <c r="F7" s="488"/>
      <c r="G7" s="488"/>
      <c r="H7" s="488"/>
      <c r="I7" s="488"/>
    </row>
    <row r="8" spans="1:9" x14ac:dyDescent="0.25">
      <c r="A8" s="489" t="s">
        <v>46</v>
      </c>
      <c r="B8" s="489"/>
      <c r="C8" s="489"/>
      <c r="D8" s="489"/>
      <c r="E8" s="489"/>
      <c r="F8" s="489"/>
      <c r="G8" s="489"/>
      <c r="H8" s="489"/>
      <c r="I8" s="489"/>
    </row>
    <row r="9" spans="1:9" x14ac:dyDescent="0.25">
      <c r="A9" s="489"/>
      <c r="B9" s="489"/>
      <c r="C9" s="489"/>
      <c r="D9" s="489"/>
      <c r="E9" s="489"/>
      <c r="F9" s="489"/>
      <c r="G9" s="489"/>
      <c r="H9" s="489"/>
      <c r="I9" s="489"/>
    </row>
    <row r="10" spans="1:9" x14ac:dyDescent="0.25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x14ac:dyDescent="0.25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x14ac:dyDescent="0.25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x14ac:dyDescent="0.25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x14ac:dyDescent="0.25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x14ac:dyDescent="0.3">
      <c r="A15" s="285"/>
    </row>
    <row r="16" spans="1:9" ht="19.5" customHeight="1" x14ac:dyDescent="0.3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25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4">
      <c r="A18" s="287" t="s">
        <v>33</v>
      </c>
      <c r="B18" s="520" t="s">
        <v>5</v>
      </c>
      <c r="C18" s="520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525" t="s">
        <v>134</v>
      </c>
      <c r="C20" s="525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525" t="s">
        <v>135</v>
      </c>
      <c r="C21" s="525"/>
      <c r="D21" s="525"/>
      <c r="E21" s="525"/>
      <c r="F21" s="525"/>
      <c r="G21" s="525"/>
      <c r="H21" s="525"/>
      <c r="I21" s="291"/>
    </row>
    <row r="22" spans="1:14" ht="26.25" customHeight="1" x14ac:dyDescent="0.4">
      <c r="A22" s="287" t="s">
        <v>37</v>
      </c>
      <c r="B22" s="292"/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20" t="s">
        <v>133</v>
      </c>
      <c r="C26" s="520"/>
    </row>
    <row r="27" spans="1:14" ht="26.25" customHeight="1" x14ac:dyDescent="0.4">
      <c r="A27" s="296" t="s">
        <v>48</v>
      </c>
      <c r="B27" s="526" t="s">
        <v>136</v>
      </c>
      <c r="C27" s="526"/>
    </row>
    <row r="28" spans="1:14" ht="27" customHeight="1" x14ac:dyDescent="0.4">
      <c r="A28" s="296" t="s">
        <v>6</v>
      </c>
      <c r="B28" s="297">
        <v>100.46</v>
      </c>
    </row>
    <row r="29" spans="1:14" s="14" customFormat="1" ht="27" customHeight="1" x14ac:dyDescent="0.4">
      <c r="A29" s="296" t="s">
        <v>49</v>
      </c>
      <c r="B29" s="298">
        <v>0</v>
      </c>
      <c r="C29" s="496" t="s">
        <v>50</v>
      </c>
      <c r="D29" s="497"/>
      <c r="E29" s="497"/>
      <c r="F29" s="497"/>
      <c r="G29" s="498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100.46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9" t="s">
        <v>53</v>
      </c>
      <c r="D31" s="500"/>
      <c r="E31" s="500"/>
      <c r="F31" s="500"/>
      <c r="G31" s="500"/>
      <c r="H31" s="501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9" t="s">
        <v>55</v>
      </c>
      <c r="D32" s="500"/>
      <c r="E32" s="500"/>
      <c r="F32" s="500"/>
      <c r="G32" s="500"/>
      <c r="H32" s="501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502" t="s">
        <v>59</v>
      </c>
      <c r="E36" s="527"/>
      <c r="F36" s="502" t="s">
        <v>60</v>
      </c>
      <c r="G36" s="503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1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</v>
      </c>
      <c r="C38" s="318">
        <v>1</v>
      </c>
      <c r="D38" s="319">
        <v>403743160</v>
      </c>
      <c r="E38" s="320">
        <f>IF(ISBLANK(D38),"-",$D$48/$D$45*D38)</f>
        <v>393178978.20035994</v>
      </c>
      <c r="F38" s="319">
        <v>392572720</v>
      </c>
      <c r="G38" s="321">
        <f>IF(ISBLANK(F38),"-",$D$48/$F$45*F38)</f>
        <v>394855325.99218398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407145302</v>
      </c>
      <c r="E39" s="325">
        <f>IF(ISBLANK(D39),"-",$D$48/$D$45*D39)</f>
        <v>396492101.11556309</v>
      </c>
      <c r="F39" s="324">
        <v>394615541</v>
      </c>
      <c r="G39" s="326">
        <f>IF(ISBLANK(F39),"-",$D$48/$F$45*F39)</f>
        <v>396910024.93279982</v>
      </c>
      <c r="I39" s="504">
        <f>ABS((F43/D43*D42)-F42)/D42</f>
        <v>2.268827928728278E-3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404030469</v>
      </c>
      <c r="E40" s="325">
        <f>IF(ISBLANK(D40),"-",$D$48/$D$45*D40)</f>
        <v>393458769.58815157</v>
      </c>
      <c r="F40" s="324">
        <v>391858514</v>
      </c>
      <c r="G40" s="326">
        <f>IF(ISBLANK(F40),"-",$D$48/$F$45*F40)</f>
        <v>394136967.25611192</v>
      </c>
      <c r="I40" s="504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404972977</v>
      </c>
      <c r="E42" s="335">
        <f>AVERAGE(E38:E41)</f>
        <v>394376616.30135822</v>
      </c>
      <c r="F42" s="334">
        <f>AVERAGE(F38:F41)</f>
        <v>393015591.66666669</v>
      </c>
      <c r="G42" s="336">
        <f>AVERAGE(G38:G41)</f>
        <v>395300772.72703189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61.33</v>
      </c>
      <c r="E43" s="327"/>
      <c r="F43" s="339">
        <v>59.38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61.33</v>
      </c>
      <c r="E44" s="342"/>
      <c r="F44" s="341">
        <f>F43*$B$34</f>
        <v>59.38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50</v>
      </c>
      <c r="C45" s="340" t="s">
        <v>77</v>
      </c>
      <c r="D45" s="344">
        <f>D44*$B$30/100</f>
        <v>61.612117999999988</v>
      </c>
      <c r="E45" s="345"/>
      <c r="F45" s="344">
        <f>F44*$B$30/100</f>
        <v>59.653148000000002</v>
      </c>
      <c r="H45" s="337"/>
    </row>
    <row r="46" spans="1:14" ht="19.5" customHeight="1" x14ac:dyDescent="0.3">
      <c r="A46" s="490" t="s">
        <v>78</v>
      </c>
      <c r="B46" s="491"/>
      <c r="C46" s="340" t="s">
        <v>79</v>
      </c>
      <c r="D46" s="346">
        <f>D45/$B$45</f>
        <v>1.2322423599999999</v>
      </c>
      <c r="E46" s="347"/>
      <c r="F46" s="348">
        <f>F45/$B$45</f>
        <v>1.19306296</v>
      </c>
      <c r="H46" s="337"/>
    </row>
    <row r="47" spans="1:14" ht="27" customHeight="1" x14ac:dyDescent="0.4">
      <c r="A47" s="492"/>
      <c r="B47" s="493"/>
      <c r="C47" s="349" t="s">
        <v>80</v>
      </c>
      <c r="D47" s="350">
        <v>1.2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60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60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394838694.51419502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3.9522323802657043E-3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 xml:space="preserve"> lumefantrine 120 mg</v>
      </c>
    </row>
    <row r="56" spans="1:12" ht="26.25" customHeight="1" x14ac:dyDescent="0.4">
      <c r="A56" s="364" t="s">
        <v>87</v>
      </c>
      <c r="B56" s="365">
        <v>120</v>
      </c>
      <c r="C56" s="286" t="str">
        <f>B20</f>
        <v xml:space="preserve"> Lumefantrine</v>
      </c>
      <c r="H56" s="366"/>
    </row>
    <row r="57" spans="1:12" ht="18.75" x14ac:dyDescent="0.3">
      <c r="A57" s="363" t="s">
        <v>88</v>
      </c>
      <c r="B57" s="434">
        <f>Uniformity!C46</f>
        <v>287.89049999999997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1</v>
      </c>
      <c r="C60" s="507" t="s">
        <v>94</v>
      </c>
      <c r="D60" s="510">
        <v>286.56</v>
      </c>
      <c r="E60" s="369">
        <v>1</v>
      </c>
      <c r="F60" s="370">
        <v>391596716</v>
      </c>
      <c r="G60" s="435">
        <f>IF(ISBLANK(F60),"-",(F60/$D$50*$D$47*$B$68)*($B$57/$D$60))</f>
        <v>119.56727878260403</v>
      </c>
      <c r="H60" s="453">
        <f t="shared" ref="H60:H71" si="0">IF(ISBLANK(F60),"-",(G60/$B$56)*100)</f>
        <v>99.639398985503362</v>
      </c>
      <c r="L60" s="299"/>
    </row>
    <row r="61" spans="1:12" s="14" customFormat="1" ht="26.25" customHeight="1" x14ac:dyDescent="0.4">
      <c r="A61" s="311" t="s">
        <v>95</v>
      </c>
      <c r="B61" s="312">
        <v>1</v>
      </c>
      <c r="C61" s="508"/>
      <c r="D61" s="511"/>
      <c r="E61" s="371">
        <v>2</v>
      </c>
      <c r="F61" s="324">
        <v>391373274</v>
      </c>
      <c r="G61" s="436">
        <f>IF(ISBLANK(F61),"-",(F61/$D$50*$D$47*$B$68)*($B$57/$D$60))</f>
        <v>119.49905463563304</v>
      </c>
      <c r="H61" s="454">
        <f t="shared" si="0"/>
        <v>99.582545529694201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8"/>
      <c r="D62" s="511"/>
      <c r="E62" s="371">
        <v>3</v>
      </c>
      <c r="F62" s="372">
        <v>391482734</v>
      </c>
      <c r="G62" s="436">
        <f>IF(ISBLANK(F62),"-",(F62/$D$50*$D$47*$B$68)*($B$57/$D$60))</f>
        <v>119.53247635190593</v>
      </c>
      <c r="H62" s="454">
        <f t="shared" si="0"/>
        <v>99.610396959921616</v>
      </c>
      <c r="L62" s="299"/>
    </row>
    <row r="63" spans="1:12" ht="27" customHeight="1" x14ac:dyDescent="0.4">
      <c r="A63" s="311" t="s">
        <v>97</v>
      </c>
      <c r="B63" s="312">
        <v>1</v>
      </c>
      <c r="C63" s="517"/>
      <c r="D63" s="512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7" t="s">
        <v>99</v>
      </c>
      <c r="D64" s="510">
        <v>288.72000000000003</v>
      </c>
      <c r="E64" s="369">
        <v>1</v>
      </c>
      <c r="F64" s="370">
        <v>401192770</v>
      </c>
      <c r="G64" s="435">
        <f>IF(ISBLANK(F64),"-",(F64/$D$50*$D$47*$B$68)*($B$57/$D$64))</f>
        <v>121.58082935382829</v>
      </c>
      <c r="H64" s="453">
        <f t="shared" si="0"/>
        <v>101.31735779485692</v>
      </c>
    </row>
    <row r="65" spans="1:8" ht="26.25" customHeight="1" x14ac:dyDescent="0.4">
      <c r="A65" s="311" t="s">
        <v>100</v>
      </c>
      <c r="B65" s="312">
        <v>1</v>
      </c>
      <c r="C65" s="508"/>
      <c r="D65" s="511"/>
      <c r="E65" s="371">
        <v>2</v>
      </c>
      <c r="F65" s="324">
        <v>401204660</v>
      </c>
      <c r="G65" s="436">
        <f>IF(ISBLANK(F65),"-",(F65/$D$50*$D$47*$B$68)*($B$57/$D$64))</f>
        <v>121.5844325993729</v>
      </c>
      <c r="H65" s="454">
        <f t="shared" si="0"/>
        <v>101.32036049947742</v>
      </c>
    </row>
    <row r="66" spans="1:8" ht="26.25" customHeight="1" x14ac:dyDescent="0.4">
      <c r="A66" s="311" t="s">
        <v>101</v>
      </c>
      <c r="B66" s="312">
        <v>1</v>
      </c>
      <c r="C66" s="508"/>
      <c r="D66" s="511"/>
      <c r="E66" s="371">
        <v>3</v>
      </c>
      <c r="F66" s="324">
        <v>401133325</v>
      </c>
      <c r="G66" s="436">
        <f>IF(ISBLANK(F66),"-",(F66/$D$50*$D$47*$B$68)*($B$57/$D$64))</f>
        <v>121.56281464134749</v>
      </c>
      <c r="H66" s="454">
        <f t="shared" si="0"/>
        <v>101.30234553445622</v>
      </c>
    </row>
    <row r="67" spans="1:8" ht="27" customHeight="1" x14ac:dyDescent="0.4">
      <c r="A67" s="311" t="s">
        <v>102</v>
      </c>
      <c r="B67" s="312">
        <v>1</v>
      </c>
      <c r="C67" s="517"/>
      <c r="D67" s="512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100</v>
      </c>
      <c r="C68" s="507" t="s">
        <v>104</v>
      </c>
      <c r="D68" s="510">
        <v>287.77999999999997</v>
      </c>
      <c r="E68" s="369">
        <v>1</v>
      </c>
      <c r="F68" s="370">
        <v>396421837</v>
      </c>
      <c r="G68" s="435">
        <f>IF(ISBLANK(F68),"-",(F68/$D$50*$D$47*$B$68)*($B$57/$D$68))</f>
        <v>120.52741277987064</v>
      </c>
      <c r="H68" s="454">
        <f t="shared" si="0"/>
        <v>100.4395106498922</v>
      </c>
    </row>
    <row r="69" spans="1:8" ht="27" customHeight="1" x14ac:dyDescent="0.4">
      <c r="A69" s="359" t="s">
        <v>105</v>
      </c>
      <c r="B69" s="376">
        <f>(D47*B68)/B56*B57</f>
        <v>287.89049999999997</v>
      </c>
      <c r="C69" s="508"/>
      <c r="D69" s="511"/>
      <c r="E69" s="371">
        <v>2</v>
      </c>
      <c r="F69" s="324">
        <v>396458424</v>
      </c>
      <c r="G69" s="436">
        <f>IF(ISBLANK(F69),"-",(F69/$D$50*$D$47*$B$68)*($B$57/$D$68))</f>
        <v>120.53853662835678</v>
      </c>
      <c r="H69" s="454">
        <f t="shared" si="0"/>
        <v>100.44878052363065</v>
      </c>
    </row>
    <row r="70" spans="1:8" ht="26.25" customHeight="1" x14ac:dyDescent="0.4">
      <c r="A70" s="513" t="s">
        <v>78</v>
      </c>
      <c r="B70" s="514"/>
      <c r="C70" s="508"/>
      <c r="D70" s="511"/>
      <c r="E70" s="371">
        <v>3</v>
      </c>
      <c r="F70" s="324">
        <v>397172080</v>
      </c>
      <c r="G70" s="436">
        <f>IF(ISBLANK(F70),"-",(F70/$D$50*$D$47*$B$68)*($B$57/$D$68))</f>
        <v>120.75551536985539</v>
      </c>
      <c r="H70" s="454">
        <f t="shared" si="0"/>
        <v>100.62959614154616</v>
      </c>
    </row>
    <row r="71" spans="1:8" ht="27" customHeight="1" x14ac:dyDescent="0.4">
      <c r="A71" s="515"/>
      <c r="B71" s="516"/>
      <c r="C71" s="509"/>
      <c r="D71" s="512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120.57203901586382</v>
      </c>
      <c r="H72" s="456">
        <f>AVERAGE(H60:H71)</f>
        <v>100.47669917988652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7.3614991145175739E-3</v>
      </c>
      <c r="H73" s="440">
        <f>STDEV(H60:H71)/H72</f>
        <v>7.3614991145175479E-3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494" t="str">
        <f>B26</f>
        <v>Lumefantrine</v>
      </c>
      <c r="D76" s="494"/>
      <c r="E76" s="385" t="s">
        <v>108</v>
      </c>
      <c r="F76" s="385"/>
      <c r="G76" s="386">
        <f>H72</f>
        <v>100.47669917988652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28" t="str">
        <f>B26</f>
        <v>Lumefantrine</v>
      </c>
      <c r="C79" s="528"/>
    </row>
    <row r="80" spans="1:8" ht="26.25" customHeight="1" x14ac:dyDescent="0.4">
      <c r="A80" s="296" t="s">
        <v>48</v>
      </c>
      <c r="B80" s="528" t="str">
        <f>B27</f>
        <v>L1 0</v>
      </c>
      <c r="C80" s="528"/>
    </row>
    <row r="81" spans="1:12" ht="27" customHeight="1" x14ac:dyDescent="0.4">
      <c r="A81" s="296" t="s">
        <v>6</v>
      </c>
      <c r="B81" s="388">
        <f>B28</f>
        <v>100.46</v>
      </c>
    </row>
    <row r="82" spans="1:12" s="14" customFormat="1" ht="27" customHeight="1" x14ac:dyDescent="0.4">
      <c r="A82" s="296" t="s">
        <v>49</v>
      </c>
      <c r="B82" s="298">
        <v>0</v>
      </c>
      <c r="C82" s="496" t="s">
        <v>50</v>
      </c>
      <c r="D82" s="497"/>
      <c r="E82" s="497"/>
      <c r="F82" s="497"/>
      <c r="G82" s="498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100.46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9" t="s">
        <v>111</v>
      </c>
      <c r="D84" s="500"/>
      <c r="E84" s="500"/>
      <c r="F84" s="500"/>
      <c r="G84" s="500"/>
      <c r="H84" s="501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9" t="s">
        <v>112</v>
      </c>
      <c r="D85" s="500"/>
      <c r="E85" s="500"/>
      <c r="F85" s="500"/>
      <c r="G85" s="500"/>
      <c r="H85" s="501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1</v>
      </c>
      <c r="D89" s="389" t="s">
        <v>59</v>
      </c>
      <c r="E89" s="390"/>
      <c r="F89" s="502" t="s">
        <v>60</v>
      </c>
      <c r="G89" s="503"/>
    </row>
    <row r="90" spans="1:12" ht="27" customHeight="1" x14ac:dyDescent="0.4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3">
        <v>1</v>
      </c>
      <c r="D91" s="319"/>
      <c r="E91" s="320" t="str">
        <f>IF(ISBLANK(D91),"-",$D$101/$D$98*D91)</f>
        <v>-</v>
      </c>
      <c r="F91" s="319"/>
      <c r="G91" s="321" t="str">
        <f>IF(ISBLANK(F91),"-",$D$101/$F$98*F91)</f>
        <v>-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/>
      <c r="E92" s="325" t="str">
        <f>IF(ISBLANK(D92),"-",$D$101/$D$98*D92)</f>
        <v>-</v>
      </c>
      <c r="F92" s="324"/>
      <c r="G92" s="326" t="str">
        <f>IF(ISBLANK(F92),"-",$D$101/$F$98*F92)</f>
        <v>-</v>
      </c>
      <c r="I92" s="504" t="e">
        <f>ABS((F96/D96*D95)-F95)/D95</f>
        <v>#DIV/0!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/>
      <c r="E93" s="325" t="str">
        <f>IF(ISBLANK(D93),"-",$D$101/$D$98*D93)</f>
        <v>-</v>
      </c>
      <c r="F93" s="324"/>
      <c r="G93" s="326" t="str">
        <f>IF(ISBLANK(F93),"-",$D$101/$F$98*F93)</f>
        <v>-</v>
      </c>
      <c r="I93" s="504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 t="e">
        <f>AVERAGE(D91:D94)</f>
        <v>#DIV/0!</v>
      </c>
      <c r="E95" s="335" t="e">
        <f>AVERAGE(E91:E94)</f>
        <v>#DIV/0!</v>
      </c>
      <c r="F95" s="398" t="e">
        <f>AVERAGE(F91:F94)</f>
        <v>#DIV/0!</v>
      </c>
      <c r="G95" s="399" t="e">
        <f>AVERAGE(G91:G94)</f>
        <v>#DIV/0!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/>
      <c r="E96" s="327"/>
      <c r="F96" s="339"/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0</v>
      </c>
      <c r="E97" s="342"/>
      <c r="F97" s="341">
        <f>F96*$B$87</f>
        <v>0</v>
      </c>
    </row>
    <row r="98" spans="1:10" ht="19.5" customHeight="1" x14ac:dyDescent="0.3">
      <c r="A98" s="311" t="s">
        <v>76</v>
      </c>
      <c r="B98" s="404">
        <f>(B97/B96)*(B95/B94)*(B93/B92)*(B91/B90)*B89</f>
        <v>1</v>
      </c>
      <c r="C98" s="402" t="s">
        <v>115</v>
      </c>
      <c r="D98" s="405">
        <f>D97*$B$83/100</f>
        <v>0</v>
      </c>
      <c r="E98" s="345"/>
      <c r="F98" s="344">
        <f>F97*$B$83/100</f>
        <v>0</v>
      </c>
    </row>
    <row r="99" spans="1:10" ht="19.5" customHeight="1" x14ac:dyDescent="0.3">
      <c r="A99" s="490" t="s">
        <v>78</v>
      </c>
      <c r="B99" s="505"/>
      <c r="C99" s="402" t="s">
        <v>116</v>
      </c>
      <c r="D99" s="406">
        <f>D98/$B$98</f>
        <v>0</v>
      </c>
      <c r="E99" s="345"/>
      <c r="F99" s="348">
        <f>F98/$B$98</f>
        <v>0</v>
      </c>
      <c r="G99" s="407"/>
      <c r="H99" s="337"/>
    </row>
    <row r="100" spans="1:10" ht="19.5" customHeight="1" x14ac:dyDescent="0.3">
      <c r="A100" s="492"/>
      <c r="B100" s="506"/>
      <c r="C100" s="402" t="s">
        <v>80</v>
      </c>
      <c r="D100" s="408">
        <f>$B$56/$B$116</f>
        <v>120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120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120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 t="e">
        <f>AVERAGE(E91:E94,G91:G94)</f>
        <v>#DIV/0!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 t="e">
        <f>STDEV(E91:E94,G91:G94)/D103</f>
        <v>#DIV/0!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0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1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/>
      <c r="E108" s="437" t="str">
        <f t="shared" ref="E108:E113" si="1">IF(ISBLANK(D108),"-",D108/$D$103*$D$100*$B$116)</f>
        <v>-</v>
      </c>
      <c r="F108" s="464" t="str">
        <f t="shared" ref="F108:F113" si="2">IF(ISBLANK(D108), "-", (E108/$B$56)*100)</f>
        <v>-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/>
      <c r="E109" s="438" t="str">
        <f t="shared" si="1"/>
        <v>-</v>
      </c>
      <c r="F109" s="465" t="str">
        <f t="shared" si="2"/>
        <v>-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/>
      <c r="E110" s="438" t="str">
        <f t="shared" si="1"/>
        <v>-</v>
      </c>
      <c r="F110" s="465" t="str">
        <f t="shared" si="2"/>
        <v>-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/>
      <c r="E111" s="438" t="str">
        <f t="shared" si="1"/>
        <v>-</v>
      </c>
      <c r="F111" s="465" t="str">
        <f t="shared" si="2"/>
        <v>-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/>
      <c r="E112" s="438" t="str">
        <f t="shared" si="1"/>
        <v>-</v>
      </c>
      <c r="F112" s="465" t="str">
        <f t="shared" si="2"/>
        <v>-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/>
      <c r="E113" s="439" t="str">
        <f t="shared" si="1"/>
        <v>-</v>
      </c>
      <c r="F113" s="466" t="str">
        <f t="shared" si="2"/>
        <v>-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 t="e">
        <f>AVERAGE(E108:E113)</f>
        <v>#DIV/0!</v>
      </c>
      <c r="F115" s="468" t="e">
        <f>AVERAGE(F108:F113)</f>
        <v>#DIV/0!</v>
      </c>
    </row>
    <row r="116" spans="1:10" ht="27" customHeight="1" x14ac:dyDescent="0.4">
      <c r="A116" s="311" t="s">
        <v>103</v>
      </c>
      <c r="B116" s="343">
        <f>(B115/B114)*(B113/B112)*(B111/B110)*(B109/B108)*B107</f>
        <v>1</v>
      </c>
      <c r="C116" s="421"/>
      <c r="D116" s="445" t="s">
        <v>84</v>
      </c>
      <c r="E116" s="443" t="e">
        <f>STDEV(E108:E113)/E115</f>
        <v>#DIV/0!</v>
      </c>
      <c r="F116" s="422" t="e">
        <f>STDEV(F108:F113)/F115</f>
        <v>#DIV/0!</v>
      </c>
      <c r="I116" s="285"/>
    </row>
    <row r="117" spans="1:10" ht="27" customHeight="1" x14ac:dyDescent="0.4">
      <c r="A117" s="490" t="s">
        <v>78</v>
      </c>
      <c r="B117" s="491"/>
      <c r="C117" s="423"/>
      <c r="D117" s="382" t="s">
        <v>20</v>
      </c>
      <c r="E117" s="448">
        <f>COUNT(E108:E113)</f>
        <v>0</v>
      </c>
      <c r="F117" s="449">
        <f>COUNT(F108:F113)</f>
        <v>0</v>
      </c>
      <c r="I117" s="285"/>
      <c r="J117" s="416"/>
    </row>
    <row r="118" spans="1:10" ht="26.25" customHeight="1" x14ac:dyDescent="0.3">
      <c r="A118" s="492"/>
      <c r="B118" s="493"/>
      <c r="C118" s="285"/>
      <c r="D118" s="447"/>
      <c r="E118" s="518" t="s">
        <v>123</v>
      </c>
      <c r="F118" s="519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0</v>
      </c>
      <c r="F119" s="469">
        <f>MIN(F108:F113)</f>
        <v>0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0</v>
      </c>
      <c r="F120" s="470">
        <f>MAX(F108:F113)</f>
        <v>0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494" t="str">
        <f>B26</f>
        <v>Lumefantrine</v>
      </c>
      <c r="D124" s="494"/>
      <c r="E124" s="385" t="s">
        <v>127</v>
      </c>
      <c r="F124" s="385"/>
      <c r="G124" s="471" t="e">
        <f>F115</f>
        <v>#DIV/0!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0</v>
      </c>
      <c r="E125" s="396" t="s">
        <v>130</v>
      </c>
      <c r="F125" s="471">
        <f>MAX(F108:F113)</f>
        <v>0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95" t="s">
        <v>26</v>
      </c>
      <c r="C127" s="495"/>
      <c r="E127" s="391" t="s">
        <v>27</v>
      </c>
      <c r="F127" s="426"/>
      <c r="G127" s="495" t="s">
        <v>28</v>
      </c>
      <c r="H127" s="495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A</vt:lpstr>
      <vt:lpstr>Uniformity</vt:lpstr>
      <vt:lpstr>Artemether</vt:lpstr>
      <vt:lpstr>SST L</vt:lpstr>
      <vt:lpstr>lumefantrine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2017-03-24T11:11:36Z</dcterms:modified>
</cp:coreProperties>
</file>