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July 2016\"/>
    </mc:Choice>
  </mc:AlternateContent>
  <bookViews>
    <workbookView xWindow="510" yWindow="585" windowWidth="14055" windowHeight="6090" activeTab="3"/>
  </bookViews>
  <sheets>
    <sheet name="SST" sheetId="1" r:id="rId1"/>
    <sheet name="Uniformity" sheetId="2" r:id="rId2"/>
    <sheet name="artesunate" sheetId="7" r:id="rId3"/>
    <sheet name="sodium bicarbonate" sheetId="4" r:id="rId4"/>
    <sheet name="sodium chloride" sheetId="5" r:id="rId5"/>
  </sheets>
  <definedNames>
    <definedName name="_xlnm.Print_Area" localSheetId="3">'sodium bicarbonate'!$A$1:$I$64</definedName>
    <definedName name="_xlnm.Print_Area" localSheetId="4">'sodium chloride'!$A$1:$I$64</definedName>
    <definedName name="_xlnm.Print_Area" localSheetId="1">Uniformity!$A$1:$H$53</definedName>
  </definedNames>
  <calcPr calcId="152511"/>
</workbook>
</file>

<file path=xl/calcChain.xml><?xml version="1.0" encoding="utf-8"?>
<calcChain xmlns="http://schemas.openxmlformats.org/spreadsheetml/2006/main">
  <c r="B20" i="1" l="1"/>
  <c r="B21" i="1" s="1"/>
  <c r="D42" i="7" l="1"/>
  <c r="C129" i="7"/>
  <c r="B125" i="7"/>
  <c r="D109" i="7" s="1"/>
  <c r="D110" i="7" s="1"/>
  <c r="D111" i="7" s="1"/>
  <c r="F122" i="7"/>
  <c r="E122" i="7"/>
  <c r="F121" i="7"/>
  <c r="E121" i="7"/>
  <c r="F120" i="7"/>
  <c r="E120" i="7"/>
  <c r="F119" i="7"/>
  <c r="E119" i="7"/>
  <c r="F118" i="7"/>
  <c r="E118" i="7"/>
  <c r="F117" i="7"/>
  <c r="E117" i="7"/>
  <c r="B107" i="7"/>
  <c r="D106" i="7"/>
  <c r="F104" i="7"/>
  <c r="D104" i="7"/>
  <c r="G103" i="7"/>
  <c r="E103" i="7"/>
  <c r="G102" i="7"/>
  <c r="E102" i="7"/>
  <c r="G101" i="7"/>
  <c r="E101" i="7"/>
  <c r="G100" i="7"/>
  <c r="E100" i="7"/>
  <c r="B96" i="7"/>
  <c r="F106" i="7" s="1"/>
  <c r="B90" i="7"/>
  <c r="B89" i="7"/>
  <c r="B91" i="7" s="1"/>
  <c r="C74" i="7"/>
  <c r="G68" i="7"/>
  <c r="E68" i="7"/>
  <c r="G67" i="7"/>
  <c r="E67" i="7"/>
  <c r="B67" i="7"/>
  <c r="E63" i="7" s="1"/>
  <c r="G63" i="7" s="1"/>
  <c r="G66" i="7"/>
  <c r="E66" i="7"/>
  <c r="G65" i="7"/>
  <c r="E65" i="7"/>
  <c r="C56" i="7"/>
  <c r="B55" i="7"/>
  <c r="B45" i="7"/>
  <c r="D48" i="7" s="1"/>
  <c r="D44" i="7"/>
  <c r="F42" i="7"/>
  <c r="G41" i="7"/>
  <c r="E41" i="7"/>
  <c r="B34" i="7"/>
  <c r="F44" i="7" s="1"/>
  <c r="F45" i="7" s="1"/>
  <c r="B30" i="7"/>
  <c r="G38" i="7" l="1"/>
  <c r="G39" i="7"/>
  <c r="G40" i="7"/>
  <c r="D49" i="7"/>
  <c r="F124" i="7"/>
  <c r="F125" i="7" s="1"/>
  <c r="D112" i="7"/>
  <c r="D113" i="7" s="1"/>
  <c r="E64" i="7"/>
  <c r="G64" i="7" s="1"/>
  <c r="G104" i="7"/>
  <c r="F126" i="7"/>
  <c r="F46" i="7"/>
  <c r="G42" i="7"/>
  <c r="D45" i="7"/>
  <c r="G129" i="7"/>
  <c r="D107" i="7"/>
  <c r="D108" i="7" s="1"/>
  <c r="F107" i="7"/>
  <c r="F108" i="7" s="1"/>
  <c r="D114" i="7"/>
  <c r="E104" i="7"/>
  <c r="D46" i="7" l="1"/>
  <c r="E39" i="7"/>
  <c r="E40" i="7"/>
  <c r="E38" i="7"/>
  <c r="D50" i="7" l="1"/>
  <c r="D52" i="7"/>
  <c r="E42" i="7"/>
  <c r="E59" i="7" l="1"/>
  <c r="E62" i="7"/>
  <c r="E61" i="7"/>
  <c r="E60" i="7"/>
  <c r="D51" i="7"/>
  <c r="G61" i="7" l="1"/>
  <c r="G59" i="7"/>
  <c r="E72" i="7"/>
  <c r="E70" i="7"/>
  <c r="F62" i="7" s="1"/>
  <c r="G60" i="7"/>
  <c r="G62" i="7"/>
  <c r="F59" i="7" l="1"/>
  <c r="F63" i="7"/>
  <c r="E71" i="7"/>
  <c r="F68" i="7"/>
  <c r="F67" i="7"/>
  <c r="F65" i="7"/>
  <c r="F66" i="7"/>
  <c r="F64" i="7"/>
  <c r="F60" i="7"/>
  <c r="G72" i="7"/>
  <c r="C81" i="7"/>
  <c r="G70" i="7"/>
  <c r="F61" i="7"/>
  <c r="D58" i="5"/>
  <c r="B57" i="5"/>
  <c r="D56" i="5"/>
  <c r="D57" i="5" s="1"/>
  <c r="I55" i="5"/>
  <c r="H55" i="5"/>
  <c r="G55" i="5"/>
  <c r="F55" i="5"/>
  <c r="E55" i="5"/>
  <c r="E54" i="5"/>
  <c r="E53" i="5"/>
  <c r="E52" i="5"/>
  <c r="C48" i="5"/>
  <c r="E46" i="5"/>
  <c r="B44" i="5"/>
  <c r="G37" i="5"/>
  <c r="F37" i="5"/>
  <c r="E37" i="5"/>
  <c r="C37" i="5"/>
  <c r="C36" i="5"/>
  <c r="E36" i="5" s="1"/>
  <c r="C35" i="5"/>
  <c r="E35" i="5" s="1"/>
  <c r="C34" i="5"/>
  <c r="E34" i="5" s="1"/>
  <c r="D58" i="4"/>
  <c r="B57" i="4"/>
  <c r="D56" i="4"/>
  <c r="E54" i="4" s="1"/>
  <c r="I55" i="4"/>
  <c r="H55" i="4"/>
  <c r="G55" i="4"/>
  <c r="F55" i="4"/>
  <c r="E55" i="4"/>
  <c r="E52" i="4"/>
  <c r="C48" i="4"/>
  <c r="E46" i="4"/>
  <c r="B44" i="4"/>
  <c r="G37" i="4"/>
  <c r="F37" i="4"/>
  <c r="E37" i="4"/>
  <c r="C37" i="4"/>
  <c r="C36" i="4"/>
  <c r="E36" i="4" s="1"/>
  <c r="C35" i="4"/>
  <c r="E35" i="4" s="1"/>
  <c r="C34" i="4"/>
  <c r="E34" i="4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71" i="7" l="1"/>
  <c r="C79" i="7"/>
  <c r="C82" i="7"/>
  <c r="C83" i="7" s="1"/>
  <c r="G74" i="7"/>
  <c r="F70" i="7"/>
  <c r="F71" i="7" s="1"/>
  <c r="F72" i="7"/>
  <c r="D42" i="2"/>
  <c r="C49" i="2" s="1"/>
  <c r="G35" i="4"/>
  <c r="F35" i="4"/>
  <c r="G36" i="5"/>
  <c r="F36" i="5"/>
  <c r="G36" i="4"/>
  <c r="F36" i="4"/>
  <c r="G34" i="5"/>
  <c r="F34" i="5"/>
  <c r="E40" i="5"/>
  <c r="E38" i="5"/>
  <c r="E39" i="5" s="1"/>
  <c r="G34" i="4"/>
  <c r="F34" i="4"/>
  <c r="E40" i="4"/>
  <c r="E38" i="4"/>
  <c r="E39" i="4" s="1"/>
  <c r="G35" i="5"/>
  <c r="F35" i="5"/>
  <c r="D43" i="2"/>
  <c r="E53" i="4"/>
  <c r="D57" i="4"/>
  <c r="G38" i="4" l="1"/>
  <c r="F52" i="4" s="1"/>
  <c r="G52" i="4" s="1"/>
  <c r="H52" i="4" s="1"/>
  <c r="F38" i="4"/>
  <c r="F38" i="5"/>
  <c r="G38" i="5"/>
  <c r="F53" i="5" s="1"/>
  <c r="G53" i="5" s="1"/>
  <c r="H53" i="5" s="1"/>
  <c r="I53" i="5" s="1"/>
  <c r="D47" i="2"/>
  <c r="C47" i="2"/>
  <c r="E40" i="2"/>
  <c r="E38" i="2"/>
  <c r="E34" i="2"/>
  <c r="E32" i="2"/>
  <c r="E28" i="2"/>
  <c r="E24" i="2"/>
  <c r="E36" i="2"/>
  <c r="E30" i="2"/>
  <c r="E26" i="2"/>
  <c r="E22" i="2"/>
  <c r="D48" i="2"/>
  <c r="B47" i="2"/>
  <c r="C48" i="2"/>
  <c r="E39" i="2"/>
  <c r="E37" i="2"/>
  <c r="E35" i="2"/>
  <c r="E33" i="2"/>
  <c r="E31" i="2"/>
  <c r="E29" i="2"/>
  <c r="E27" i="2"/>
  <c r="E25" i="2"/>
  <c r="E23" i="2"/>
  <c r="E21" i="2"/>
  <c r="F54" i="4" l="1"/>
  <c r="G54" i="4" s="1"/>
  <c r="H54" i="4" s="1"/>
  <c r="I54" i="4" s="1"/>
  <c r="F53" i="4"/>
  <c r="G53" i="4" s="1"/>
  <c r="H53" i="4" s="1"/>
  <c r="I53" i="4" s="1"/>
  <c r="F52" i="5"/>
  <c r="G52" i="5" s="1"/>
  <c r="F54" i="5"/>
  <c r="G54" i="5" s="1"/>
  <c r="H54" i="5" s="1"/>
  <c r="I54" i="5" s="1"/>
  <c r="I52" i="4"/>
  <c r="G56" i="4" l="1"/>
  <c r="H56" i="4"/>
  <c r="H57" i="4" s="1"/>
  <c r="H58" i="4"/>
  <c r="G58" i="4"/>
  <c r="G58" i="5"/>
  <c r="H52" i="5"/>
  <c r="G56" i="5"/>
  <c r="I58" i="4"/>
  <c r="I56" i="4"/>
  <c r="I57" i="4" s="1"/>
  <c r="I52" i="5" l="1"/>
  <c r="H58" i="5"/>
  <c r="H56" i="5"/>
  <c r="H57" i="5" s="1"/>
  <c r="I56" i="5" l="1"/>
  <c r="I57" i="5" s="1"/>
  <c r="I58" i="5"/>
</calcChain>
</file>

<file path=xl/sharedStrings.xml><?xml version="1.0" encoding="utf-8"?>
<sst xmlns="http://schemas.openxmlformats.org/spreadsheetml/2006/main" count="370" uniqueCount="168">
  <si>
    <t>HPLC System Suitability Report</t>
  </si>
  <si>
    <t>Analysis Data</t>
  </si>
  <si>
    <t>Assay</t>
  </si>
  <si>
    <t>Sample(s)</t>
  </si>
  <si>
    <t>Reference Substance:</t>
  </si>
  <si>
    <t>ARTESUN INJECTION 60 mg</t>
  </si>
  <si>
    <t>% age Purity:</t>
  </si>
  <si>
    <t>NDQA201511511</t>
  </si>
  <si>
    <t>Weight (mg):</t>
  </si>
  <si>
    <t xml:space="preserve">ARTESUNATE </t>
  </si>
  <si>
    <t>Standard Conc (mg/mL):</t>
  </si>
  <si>
    <t>Each Pack contains: Artesunate 60 Mg</t>
  </si>
  <si>
    <t>2015-11-05 14:05:15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</si>
  <si>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</si>
  <si>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</si>
  <si>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</si>
  <si>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</si>
  <si>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</si>
  <si>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</si>
  <si>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</si>
  <si>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</si>
  <si>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</si>
  <si>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</si>
  <si>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</si>
  <si>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</si>
  <si>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</si>
  <si>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</si>
  <si>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</si>
  <si>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</si>
  <si>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</si>
  <si>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</si>
  <si>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</si>
  <si>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</si>
  <si>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</si>
  <si>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</si>
  <si>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</si>
  <si>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</si>
  <si>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</si>
  <si>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</si>
  <si>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2016-06-03 05:46:15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</si>
  <si>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</si>
  <si>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</si>
  <si>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</si>
  <si>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</si>
  <si>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</si>
  <si>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</si>
  <si>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</si>
  <si>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</si>
  <si>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</si>
  <si>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</si>
  <si>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</si>
  <si>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</si>
  <si>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</si>
  <si>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</si>
  <si>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</si>
  <si>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</si>
  <si>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</si>
  <si>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</si>
  <si>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</si>
  <si>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</si>
  <si>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</si>
  <si>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</si>
  <si>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</si>
  <si>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</si>
  <si>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</si>
  <si>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</si>
  <si>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</si>
  <si>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</si>
  <si>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</si>
  <si>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</si>
  <si>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</si>
  <si>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</si>
  <si>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</si>
  <si>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</si>
  <si>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</si>
  <si>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</si>
  <si>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</si>
  <si>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</si>
  <si>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</si>
  <si>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</si>
  <si>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</si>
  <si>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</si>
  <si>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</si>
  <si>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</si>
  <si>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</si>
  <si>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</si>
  <si>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</si>
  <si>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</si>
  <si>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</si>
  <si>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</si>
  <si>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</si>
  <si>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</si>
  <si>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</si>
  <si>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</si>
  <si>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</si>
  <si>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</si>
  <si>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</si>
  <si>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</si>
  <si>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</si>
  <si>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</si>
  <si>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</si>
  <si>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</si>
  <si>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</si>
  <si>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</si>
  <si>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</si>
  <si>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</si>
  <si>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>Sample Dilution Factor</t>
  </si>
  <si>
    <t xml:space="preserve">The amount  of </t>
  </si>
  <si>
    <t xml:space="preserve">dissolved as a percentage of the stated  label claim is 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</si>
  <si>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</si>
  <si>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</si>
  <si>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</si>
  <si>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</si>
  <si>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</si>
  <si>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</si>
  <si>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</si>
  <si>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</si>
  <si>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</si>
  <si>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</si>
  <si>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</si>
  <si>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</si>
  <si>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</si>
  <si>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</si>
  <si>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</si>
  <si>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</si>
  <si>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</si>
  <si>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</si>
  <si>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</si>
  <si>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</si>
  <si>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</si>
  <si>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</si>
  <si>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</si>
  <si>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</si>
  <si>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</si>
  <si>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</si>
  <si>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</si>
  <si>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</si>
  <si>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</si>
  <si>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</si>
  <si>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</si>
  <si>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A15 2</t>
  </si>
  <si>
    <t>Artesunate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</si>
  <si>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</si>
  <si>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</si>
  <si>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</si>
  <si>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</si>
  <si>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</si>
  <si>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</si>
  <si>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</si>
  <si>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</si>
  <si>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</si>
  <si>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</si>
  <si>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</si>
  <si>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</si>
  <si>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</si>
  <si>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</si>
  <si>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</si>
  <si>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</si>
  <si>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</si>
  <si>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 xml:space="preserve">Artesun </t>
  </si>
  <si>
    <t>Artesunate 60mg</t>
  </si>
  <si>
    <t>NDQD201511485</t>
  </si>
  <si>
    <t>Sodium Chloride</t>
  </si>
  <si>
    <t>Sodium Carbonate</t>
  </si>
  <si>
    <t>Each Pack contains: Sodium BiCarbonate 50mg/mL</t>
  </si>
  <si>
    <t>Sodium Bicarbonate</t>
  </si>
  <si>
    <t>Bugigi</t>
  </si>
  <si>
    <t>NDQA201511485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</si>
</sst>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%&quot;"/>
    <numFmt numFmtId="173" formatCode="0.00\ &quot;M&quot;"/>
    <numFmt numFmtId="174" formatCode="0\ &quot;mL&quot;"/>
    <numFmt numFmtId="175" formatCode="0\ &quot;mg&quot;"/>
    <numFmt numFmtId="176" formatCode="0.000\ &quot;mg&quot;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b/>
      <sz val="12"/>
      <color rgb="FF000000"/>
      <name val="Book Antiqua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2" borderId="0"/>
    <xf numFmtId="0" fontId="1" fillId="2" borderId="0"/>
  </cellStyleXfs>
  <cellXfs count="643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3" fillId="3" borderId="15" xfId="0" applyNumberFormat="1" applyFont="1" applyFill="1" applyBorder="1" applyAlignment="1" applyProtection="1">
      <alignment horizontal="center"/>
      <protection locked="0"/>
    </xf>
    <xf numFmtId="2" fontId="3" fillId="3" borderId="14" xfId="0" applyNumberFormat="1" applyFont="1" applyFill="1" applyBorder="1" applyAlignment="1" applyProtection="1">
      <alignment horizontal="center"/>
      <protection locked="0"/>
    </xf>
    <xf numFmtId="2" fontId="3" fillId="2" borderId="14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/>
      <protection locked="0"/>
    </xf>
    <xf numFmtId="2" fontId="3" fillId="3" borderId="17" xfId="0" applyNumberFormat="1" applyFont="1" applyFill="1" applyBorder="1" applyAlignment="1" applyProtection="1">
      <alignment horizontal="center"/>
      <protection locked="0"/>
    </xf>
    <xf numFmtId="2" fontId="3" fillId="2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 wrapText="1"/>
      <protection locked="0"/>
    </xf>
    <xf numFmtId="1" fontId="3" fillId="2" borderId="18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 applyProtection="1">
      <alignment horizontal="center" wrapText="1"/>
      <protection locked="0"/>
    </xf>
    <xf numFmtId="2" fontId="3" fillId="3" borderId="18" xfId="0" applyNumberFormat="1" applyFont="1" applyFill="1" applyBorder="1" applyAlignment="1" applyProtection="1">
      <alignment horizontal="center"/>
      <protection locked="0"/>
    </xf>
    <xf numFmtId="2" fontId="3" fillId="2" borderId="18" xfId="0" applyNumberFormat="1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right"/>
    </xf>
    <xf numFmtId="166" fontId="3" fillId="2" borderId="21" xfId="0" applyNumberFormat="1" applyFont="1" applyFill="1" applyBorder="1" applyAlignment="1">
      <alignment horizontal="center"/>
    </xf>
    <xf numFmtId="166" fontId="3" fillId="2" borderId="22" xfId="0" applyNumberFormat="1" applyFont="1" applyFill="1" applyBorder="1" applyAlignment="1">
      <alignment horizontal="center"/>
    </xf>
    <xf numFmtId="166" fontId="3" fillId="2" borderId="23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right"/>
    </xf>
    <xf numFmtId="166" fontId="2" fillId="2" borderId="25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165" fontId="2" fillId="2" borderId="28" xfId="0" applyNumberFormat="1" applyFont="1" applyFill="1" applyBorder="1" applyAlignment="1">
      <alignment horizontal="center"/>
    </xf>
    <xf numFmtId="168" fontId="2" fillId="2" borderId="29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0" fontId="3" fillId="2" borderId="9" xfId="0" applyFont="1" applyFill="1" applyBorder="1"/>
    <xf numFmtId="10" fontId="3" fillId="2" borderId="3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15" fillId="3" borderId="37" xfId="0" applyFont="1" applyFill="1" applyBorder="1" applyAlignment="1" applyProtection="1">
      <alignment horizontal="center"/>
      <protection locked="0"/>
    </xf>
    <xf numFmtId="0" fontId="15" fillId="3" borderId="34" xfId="0" applyFont="1" applyFill="1" applyBorder="1" applyAlignment="1" applyProtection="1">
      <alignment horizontal="center"/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2" fillId="2" borderId="0" xfId="0" applyFont="1" applyFill="1"/>
    <xf numFmtId="0" fontId="12" fillId="3" borderId="0" xfId="0" applyFont="1" applyFill="1" applyProtection="1">
      <protection locked="0"/>
    </xf>
    <xf numFmtId="0" fontId="16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2" fillId="3" borderId="0" xfId="0" applyFont="1" applyFill="1" applyAlignment="1" applyProtection="1">
      <alignment vertical="center"/>
      <protection locked="0"/>
    </xf>
    <xf numFmtId="170" fontId="1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2" fillId="2" borderId="34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2" fontId="13" fillId="2" borderId="3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2" fillId="2" borderId="7" xfId="0" applyFont="1" applyFill="1" applyBorder="1" applyAlignment="1" applyProtection="1">
      <alignment vertical="center"/>
      <protection locked="0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170" fontId="12" fillId="3" borderId="0" xfId="0" applyNumberFormat="1" applyFont="1" applyFill="1" applyAlignment="1" applyProtection="1">
      <alignment horizontal="left" vertical="center"/>
      <protection locked="0"/>
    </xf>
    <xf numFmtId="2" fontId="12" fillId="2" borderId="45" xfId="0" applyNumberFormat="1" applyFont="1" applyFill="1" applyBorder="1"/>
    <xf numFmtId="2" fontId="12" fillId="8" borderId="45" xfId="0" applyNumberFormat="1" applyFont="1" applyFill="1" applyBorder="1"/>
    <xf numFmtId="164" fontId="12" fillId="8" borderId="45" xfId="0" applyNumberFormat="1" applyFont="1" applyFill="1" applyBorder="1"/>
    <xf numFmtId="0" fontId="12" fillId="2" borderId="0" xfId="0" applyFont="1" applyFill="1" applyAlignment="1">
      <alignment vertical="center"/>
    </xf>
    <xf numFmtId="2" fontId="12" fillId="2" borderId="46" xfId="0" applyNumberFormat="1" applyFont="1" applyFill="1" applyBorder="1"/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/>
    </xf>
    <xf numFmtId="0" fontId="12" fillId="2" borderId="0" xfId="0" applyFont="1" applyFill="1"/>
    <xf numFmtId="0" fontId="12" fillId="2" borderId="38" xfId="0" applyFont="1" applyFill="1" applyBorder="1" applyAlignment="1">
      <alignment horizontal="right"/>
    </xf>
    <xf numFmtId="0" fontId="12" fillId="2" borderId="40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right"/>
    </xf>
    <xf numFmtId="0" fontId="12" fillId="7" borderId="18" xfId="0" applyFont="1" applyFill="1" applyBorder="1" applyAlignment="1">
      <alignment horizontal="center"/>
    </xf>
    <xf numFmtId="164" fontId="13" fillId="7" borderId="28" xfId="0" applyNumberFormat="1" applyFont="1" applyFill="1" applyBorder="1" applyAlignment="1">
      <alignment horizontal="center"/>
    </xf>
    <xf numFmtId="0" fontId="12" fillId="2" borderId="0" xfId="0" applyFont="1" applyFill="1"/>
    <xf numFmtId="2" fontId="13" fillId="2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Continuous"/>
    </xf>
    <xf numFmtId="0" fontId="12" fillId="2" borderId="28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right"/>
    </xf>
    <xf numFmtId="2" fontId="15" fillId="3" borderId="28" xfId="0" applyNumberFormat="1" applyFont="1" applyFill="1" applyBorder="1" applyAlignment="1" applyProtection="1">
      <alignment horizontal="center"/>
      <protection locked="0"/>
    </xf>
    <xf numFmtId="2" fontId="15" fillId="3" borderId="17" xfId="0" applyNumberFormat="1" applyFont="1" applyFill="1" applyBorder="1" applyAlignment="1" applyProtection="1">
      <alignment horizontal="center"/>
      <protection locked="0"/>
    </xf>
    <xf numFmtId="2" fontId="15" fillId="3" borderId="18" xfId="0" applyNumberFormat="1" applyFont="1" applyFill="1" applyBorder="1" applyAlignment="1" applyProtection="1">
      <alignment horizontal="center"/>
      <protection locked="0"/>
    </xf>
    <xf numFmtId="2" fontId="13" fillId="2" borderId="10" xfId="0" applyNumberFormat="1" applyFont="1" applyFill="1" applyBorder="1" applyAlignment="1">
      <alignment horizontal="center" vertical="center"/>
    </xf>
    <xf numFmtId="166" fontId="12" fillId="2" borderId="39" xfId="0" applyNumberFormat="1" applyFont="1" applyFill="1" applyBorder="1" applyAlignment="1">
      <alignment horizontal="center"/>
    </xf>
    <xf numFmtId="166" fontId="12" fillId="2" borderId="11" xfId="0" applyNumberFormat="1" applyFont="1" applyFill="1" applyBorder="1" applyAlignment="1">
      <alignment horizontal="center"/>
    </xf>
    <xf numFmtId="166" fontId="12" fillId="2" borderId="43" xfId="0" applyNumberFormat="1" applyFont="1" applyFill="1" applyBorder="1" applyAlignment="1">
      <alignment horizontal="center"/>
    </xf>
    <xf numFmtId="2" fontId="13" fillId="2" borderId="35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5" fillId="2" borderId="0" xfId="0" applyNumberFormat="1" applyFont="1" applyFill="1" applyAlignment="1" applyProtection="1">
      <alignment horizontal="center"/>
      <protection locked="0"/>
    </xf>
    <xf numFmtId="2" fontId="15" fillId="3" borderId="0" xfId="0" applyNumberFormat="1" applyFont="1" applyFill="1" applyAlignment="1" applyProtection="1">
      <alignment horizontal="left"/>
      <protection locked="0"/>
    </xf>
    <xf numFmtId="2" fontId="13" fillId="2" borderId="35" xfId="0" applyNumberFormat="1" applyFont="1" applyFill="1" applyBorder="1" applyAlignment="1">
      <alignment horizontal="center" vertical="center"/>
    </xf>
    <xf numFmtId="2" fontId="13" fillId="2" borderId="12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5" fillId="3" borderId="20" xfId="0" applyNumberFormat="1" applyFont="1" applyFill="1" applyBorder="1" applyAlignment="1" applyProtection="1">
      <alignment horizontal="center"/>
      <protection locked="0"/>
    </xf>
    <xf numFmtId="2" fontId="15" fillId="3" borderId="40" xfId="0" applyNumberFormat="1" applyFont="1" applyFill="1" applyBorder="1" applyAlignment="1" applyProtection="1">
      <alignment horizontal="center"/>
      <protection locked="0"/>
    </xf>
    <xf numFmtId="2" fontId="15" fillId="3" borderId="24" xfId="0" applyNumberFormat="1" applyFont="1" applyFill="1" applyBorder="1" applyAlignment="1" applyProtection="1">
      <alignment horizontal="center"/>
      <protection locked="0"/>
    </xf>
    <xf numFmtId="166" fontId="13" fillId="7" borderId="14" xfId="0" applyNumberFormat="1" applyFont="1" applyFill="1" applyBorder="1" applyAlignment="1">
      <alignment horizontal="center"/>
    </xf>
    <xf numFmtId="2" fontId="15" fillId="3" borderId="23" xfId="0" applyNumberFormat="1" applyFont="1" applyFill="1" applyBorder="1" applyAlignment="1" applyProtection="1">
      <alignment horizontal="center"/>
      <protection locked="0"/>
    </xf>
    <xf numFmtId="2" fontId="15" fillId="3" borderId="42" xfId="0" applyNumberFormat="1" applyFont="1" applyFill="1" applyBorder="1" applyAlignment="1" applyProtection="1">
      <alignment horizontal="center"/>
      <protection locked="0"/>
    </xf>
    <xf numFmtId="2" fontId="15" fillId="3" borderId="27" xfId="0" applyNumberFormat="1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right"/>
    </xf>
    <xf numFmtId="10" fontId="14" fillId="6" borderId="17" xfId="0" applyNumberFormat="1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2" fontId="13" fillId="2" borderId="33" xfId="0" applyNumberFormat="1" applyFont="1" applyFill="1" applyBorder="1" applyAlignment="1">
      <alignment horizontal="center" vertical="center"/>
    </xf>
    <xf numFmtId="2" fontId="15" fillId="7" borderId="14" xfId="0" applyNumberFormat="1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 vertical="center"/>
    </xf>
    <xf numFmtId="166" fontId="12" fillId="2" borderId="17" xfId="0" applyNumberFormat="1" applyFont="1" applyFill="1" applyBorder="1" applyAlignment="1">
      <alignment horizontal="center" vertical="center"/>
    </xf>
    <xf numFmtId="166" fontId="12" fillId="2" borderId="18" xfId="0" applyNumberFormat="1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173" fontId="15" fillId="3" borderId="0" xfId="0" applyNumberFormat="1" applyFont="1" applyFill="1" applyAlignment="1" applyProtection="1">
      <alignment horizontal="center"/>
      <protection locked="0"/>
    </xf>
    <xf numFmtId="164" fontId="12" fillId="2" borderId="39" xfId="0" applyNumberFormat="1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164" fontId="12" fillId="2" borderId="43" xfId="0" applyNumberFormat="1" applyFont="1" applyFill="1" applyBorder="1" applyAlignment="1">
      <alignment horizontal="center"/>
    </xf>
    <xf numFmtId="164" fontId="12" fillId="2" borderId="28" xfId="0" applyNumberFormat="1" applyFont="1" applyFill="1" applyBorder="1" applyAlignment="1">
      <alignment horizontal="center"/>
    </xf>
    <xf numFmtId="164" fontId="12" fillId="2" borderId="17" xfId="0" applyNumberFormat="1" applyFont="1" applyFill="1" applyBorder="1" applyAlignment="1">
      <alignment horizontal="center"/>
    </xf>
    <xf numFmtId="164" fontId="12" fillId="2" borderId="18" xfId="0" applyNumberFormat="1" applyFont="1" applyFill="1" applyBorder="1" applyAlignment="1">
      <alignment horizontal="center"/>
    </xf>
    <xf numFmtId="2" fontId="12" fillId="2" borderId="47" xfId="0" applyNumberFormat="1" applyFont="1" applyFill="1" applyBorder="1"/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  <xf numFmtId="10" fontId="12" fillId="2" borderId="18" xfId="0" applyNumberFormat="1" applyFont="1" applyFill="1" applyBorder="1" applyAlignment="1">
      <alignment horizontal="center"/>
    </xf>
    <xf numFmtId="2" fontId="12" fillId="2" borderId="29" xfId="0" applyNumberFormat="1" applyFont="1" applyFill="1" applyBorder="1" applyAlignment="1">
      <alignment horizontal="center"/>
    </xf>
    <xf numFmtId="2" fontId="12" fillId="2" borderId="16" xfId="0" applyNumberFormat="1" applyFont="1" applyFill="1" applyBorder="1" applyAlignment="1">
      <alignment horizontal="center"/>
    </xf>
    <xf numFmtId="2" fontId="12" fillId="2" borderId="19" xfId="0" applyNumberFormat="1" applyFont="1" applyFill="1" applyBorder="1" applyAlignment="1">
      <alignment horizontal="center"/>
    </xf>
    <xf numFmtId="10" fontId="14" fillId="2" borderId="17" xfId="0" applyNumberFormat="1" applyFont="1" applyFill="1" applyBorder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vertic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0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  <xf numFmtId="10" fontId="15" fillId="7" borderId="14" xfId="0" applyNumberFormat="1" applyFont="1" applyFill="1" applyBorder="1" applyAlignment="1">
      <alignment horizontal="center"/>
    </xf>
    <xf numFmtId="2" fontId="12" fillId="2" borderId="43" xfId="0" applyNumberFormat="1" applyFont="1" applyFill="1" applyBorder="1" applyAlignment="1">
      <alignment horizontal="center"/>
    </xf>
    <xf numFmtId="166" fontId="13" fillId="7" borderId="12" xfId="0" applyNumberFormat="1" applyFont="1" applyFill="1" applyBorder="1" applyAlignment="1">
      <alignment horizontal="center"/>
    </xf>
    <xf numFmtId="10" fontId="13" fillId="7" borderId="41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171" fontId="15" fillId="3" borderId="28" xfId="0" applyNumberFormat="1" applyFont="1" applyFill="1" applyBorder="1" applyAlignment="1" applyProtection="1">
      <alignment horizontal="center"/>
      <protection locked="0"/>
    </xf>
    <xf numFmtId="171" fontId="15" fillId="3" borderId="17" xfId="0" applyNumberFormat="1" applyFont="1" applyFill="1" applyBorder="1" applyAlignment="1" applyProtection="1">
      <alignment horizontal="center"/>
      <protection locked="0"/>
    </xf>
    <xf numFmtId="171" fontId="15" fillId="3" borderId="18" xfId="0" applyNumberFormat="1" applyFont="1" applyFill="1" applyBorder="1" applyAlignment="1" applyProtection="1">
      <alignment horizontal="center"/>
      <protection locked="0"/>
    </xf>
    <xf numFmtId="171" fontId="15" fillId="3" borderId="21" xfId="0" applyNumberFormat="1" applyFont="1" applyFill="1" applyBorder="1" applyAlignment="1" applyProtection="1">
      <alignment horizontal="center"/>
      <protection locked="0"/>
    </xf>
    <xf numFmtId="171" fontId="15" fillId="3" borderId="36" xfId="0" applyNumberFormat="1" applyFont="1" applyFill="1" applyBorder="1" applyAlignment="1" applyProtection="1">
      <alignment horizontal="center"/>
      <protection locked="0"/>
    </xf>
    <xf numFmtId="171" fontId="15" fillId="3" borderId="25" xfId="0" applyNumberFormat="1" applyFont="1" applyFill="1" applyBorder="1" applyAlignment="1" applyProtection="1">
      <alignment horizontal="center"/>
      <protection locked="0"/>
    </xf>
    <xf numFmtId="171" fontId="12" fillId="2" borderId="39" xfId="0" applyNumberFormat="1" applyFont="1" applyFill="1" applyBorder="1" applyAlignment="1">
      <alignment horizontal="center" vertical="center"/>
    </xf>
    <xf numFmtId="171" fontId="12" fillId="2" borderId="11" xfId="0" applyNumberFormat="1" applyFont="1" applyFill="1" applyBorder="1" applyAlignment="1">
      <alignment horizontal="center" vertical="center"/>
    </xf>
    <xf numFmtId="2" fontId="15" fillId="7" borderId="38" xfId="0" applyNumberFormat="1" applyFont="1" applyFill="1" applyBorder="1" applyAlignment="1">
      <alignment horizontal="center"/>
    </xf>
    <xf numFmtId="10" fontId="14" fillId="6" borderId="40" xfId="0" applyNumberFormat="1" applyFont="1" applyFill="1" applyBorder="1" applyAlignment="1">
      <alignment horizontal="center"/>
    </xf>
    <xf numFmtId="0" fontId="14" fillId="7" borderId="24" xfId="0" applyFont="1" applyFill="1" applyBorder="1" applyAlignment="1">
      <alignment horizontal="center"/>
    </xf>
    <xf numFmtId="2" fontId="13" fillId="2" borderId="12" xfId="0" applyNumberFormat="1" applyFont="1" applyFill="1" applyBorder="1" applyAlignment="1">
      <alignment vertical="center"/>
    </xf>
    <xf numFmtId="174" fontId="15" fillId="3" borderId="0" xfId="0" applyNumberFormat="1" applyFont="1" applyFill="1" applyAlignment="1" applyProtection="1">
      <alignment horizontal="center"/>
      <protection locked="0"/>
    </xf>
    <xf numFmtId="175" fontId="15" fillId="3" borderId="0" xfId="0" applyNumberFormat="1" applyFont="1" applyFill="1" applyAlignment="1" applyProtection="1">
      <alignment horizontal="center"/>
      <protection locked="0"/>
    </xf>
    <xf numFmtId="176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2" fillId="2" borderId="0" xfId="0" applyFont="1" applyFill="1"/>
    <xf numFmtId="0" fontId="12" fillId="3" borderId="0" xfId="0" applyFont="1" applyFill="1" applyProtection="1">
      <protection locked="0"/>
    </xf>
    <xf numFmtId="0" fontId="16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2" fillId="3" borderId="0" xfId="0" applyFont="1" applyFill="1" applyAlignment="1" applyProtection="1">
      <alignment vertical="center"/>
      <protection locked="0"/>
    </xf>
    <xf numFmtId="170" fontId="1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2" fillId="2" borderId="34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2" fontId="13" fillId="2" borderId="3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2" fillId="2" borderId="7" xfId="0" applyFont="1" applyFill="1" applyBorder="1" applyAlignment="1" applyProtection="1">
      <alignment vertical="center"/>
      <protection locked="0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170" fontId="12" fillId="3" borderId="0" xfId="0" applyNumberFormat="1" applyFont="1" applyFill="1" applyAlignment="1" applyProtection="1">
      <alignment horizontal="left" vertical="center"/>
      <protection locked="0"/>
    </xf>
    <xf numFmtId="2" fontId="12" fillId="2" borderId="45" xfId="0" applyNumberFormat="1" applyFont="1" applyFill="1" applyBorder="1"/>
    <xf numFmtId="2" fontId="12" fillId="8" borderId="45" xfId="0" applyNumberFormat="1" applyFont="1" applyFill="1" applyBorder="1"/>
    <xf numFmtId="164" fontId="12" fillId="8" borderId="45" xfId="0" applyNumberFormat="1" applyFont="1" applyFill="1" applyBorder="1"/>
    <xf numFmtId="0" fontId="12" fillId="2" borderId="0" xfId="0" applyFont="1" applyFill="1" applyAlignment="1">
      <alignment vertical="center"/>
    </xf>
    <xf numFmtId="2" fontId="12" fillId="2" borderId="46" xfId="0" applyNumberFormat="1" applyFont="1" applyFill="1" applyBorder="1"/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/>
    </xf>
    <xf numFmtId="0" fontId="12" fillId="2" borderId="0" xfId="0" applyFont="1" applyFill="1"/>
    <xf numFmtId="0" fontId="12" fillId="2" borderId="38" xfId="0" applyFont="1" applyFill="1" applyBorder="1" applyAlignment="1">
      <alignment horizontal="right"/>
    </xf>
    <xf numFmtId="0" fontId="12" fillId="2" borderId="40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right"/>
    </xf>
    <xf numFmtId="0" fontId="12" fillId="7" borderId="18" xfId="0" applyFont="1" applyFill="1" applyBorder="1" applyAlignment="1">
      <alignment horizontal="center"/>
    </xf>
    <xf numFmtId="164" fontId="13" fillId="7" borderId="28" xfId="0" applyNumberFormat="1" applyFont="1" applyFill="1" applyBorder="1" applyAlignment="1">
      <alignment horizontal="center"/>
    </xf>
    <xf numFmtId="0" fontId="12" fillId="2" borderId="0" xfId="0" applyFont="1" applyFill="1"/>
    <xf numFmtId="2" fontId="13" fillId="2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Continuous"/>
    </xf>
    <xf numFmtId="0" fontId="12" fillId="2" borderId="28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right"/>
    </xf>
    <xf numFmtId="2" fontId="15" fillId="3" borderId="28" xfId="0" applyNumberFormat="1" applyFont="1" applyFill="1" applyBorder="1" applyAlignment="1" applyProtection="1">
      <alignment horizontal="center"/>
      <protection locked="0"/>
    </xf>
    <xf numFmtId="2" fontId="15" fillId="3" borderId="17" xfId="0" applyNumberFormat="1" applyFont="1" applyFill="1" applyBorder="1" applyAlignment="1" applyProtection="1">
      <alignment horizontal="center"/>
      <protection locked="0"/>
    </xf>
    <xf numFmtId="2" fontId="15" fillId="3" borderId="18" xfId="0" applyNumberFormat="1" applyFont="1" applyFill="1" applyBorder="1" applyAlignment="1" applyProtection="1">
      <alignment horizontal="center"/>
      <protection locked="0"/>
    </xf>
    <xf numFmtId="2" fontId="13" fillId="2" borderId="10" xfId="0" applyNumberFormat="1" applyFont="1" applyFill="1" applyBorder="1" applyAlignment="1">
      <alignment horizontal="center" vertical="center"/>
    </xf>
    <xf numFmtId="166" fontId="12" fillId="2" borderId="39" xfId="0" applyNumberFormat="1" applyFont="1" applyFill="1" applyBorder="1" applyAlignment="1">
      <alignment horizontal="center"/>
    </xf>
    <xf numFmtId="166" fontId="12" fillId="2" borderId="11" xfId="0" applyNumberFormat="1" applyFont="1" applyFill="1" applyBorder="1" applyAlignment="1">
      <alignment horizontal="center"/>
    </xf>
    <xf numFmtId="166" fontId="12" fillId="2" borderId="43" xfId="0" applyNumberFormat="1" applyFont="1" applyFill="1" applyBorder="1" applyAlignment="1">
      <alignment horizontal="center"/>
    </xf>
    <xf numFmtId="2" fontId="13" fillId="2" borderId="35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5" fillId="2" borderId="0" xfId="0" applyNumberFormat="1" applyFont="1" applyFill="1" applyAlignment="1" applyProtection="1">
      <alignment horizontal="center"/>
      <protection locked="0"/>
    </xf>
    <xf numFmtId="2" fontId="15" fillId="3" borderId="0" xfId="0" applyNumberFormat="1" applyFont="1" applyFill="1" applyAlignment="1" applyProtection="1">
      <alignment horizontal="left"/>
      <protection locked="0"/>
    </xf>
    <xf numFmtId="2" fontId="13" fillId="2" borderId="35" xfId="0" applyNumberFormat="1" applyFont="1" applyFill="1" applyBorder="1" applyAlignment="1">
      <alignment horizontal="center" vertical="center"/>
    </xf>
    <xf numFmtId="2" fontId="13" fillId="2" borderId="12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5" fillId="3" borderId="20" xfId="0" applyNumberFormat="1" applyFont="1" applyFill="1" applyBorder="1" applyAlignment="1" applyProtection="1">
      <alignment horizontal="center"/>
      <protection locked="0"/>
    </xf>
    <xf numFmtId="2" fontId="15" fillId="3" borderId="40" xfId="0" applyNumberFormat="1" applyFont="1" applyFill="1" applyBorder="1" applyAlignment="1" applyProtection="1">
      <alignment horizontal="center"/>
      <protection locked="0"/>
    </xf>
    <xf numFmtId="2" fontId="15" fillId="3" borderId="24" xfId="0" applyNumberFormat="1" applyFont="1" applyFill="1" applyBorder="1" applyAlignment="1" applyProtection="1">
      <alignment horizontal="center"/>
      <protection locked="0"/>
    </xf>
    <xf numFmtId="166" fontId="13" fillId="7" borderId="14" xfId="0" applyNumberFormat="1" applyFont="1" applyFill="1" applyBorder="1" applyAlignment="1">
      <alignment horizontal="center"/>
    </xf>
    <xf numFmtId="2" fontId="15" fillId="3" borderId="23" xfId="0" applyNumberFormat="1" applyFont="1" applyFill="1" applyBorder="1" applyAlignment="1" applyProtection="1">
      <alignment horizontal="center"/>
      <protection locked="0"/>
    </xf>
    <xf numFmtId="2" fontId="15" fillId="3" borderId="42" xfId="0" applyNumberFormat="1" applyFont="1" applyFill="1" applyBorder="1" applyAlignment="1" applyProtection="1">
      <alignment horizontal="center"/>
      <protection locked="0"/>
    </xf>
    <xf numFmtId="2" fontId="15" fillId="3" borderId="27" xfId="0" applyNumberFormat="1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right"/>
    </xf>
    <xf numFmtId="10" fontId="14" fillId="6" borderId="17" xfId="0" applyNumberFormat="1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2" fontId="13" fillId="2" borderId="33" xfId="0" applyNumberFormat="1" applyFont="1" applyFill="1" applyBorder="1" applyAlignment="1">
      <alignment horizontal="center" vertical="center"/>
    </xf>
    <xf numFmtId="2" fontId="15" fillId="7" borderId="14" xfId="0" applyNumberFormat="1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 vertical="center"/>
    </xf>
    <xf numFmtId="166" fontId="12" fillId="2" borderId="17" xfId="0" applyNumberFormat="1" applyFont="1" applyFill="1" applyBorder="1" applyAlignment="1">
      <alignment horizontal="center" vertical="center"/>
    </xf>
    <xf numFmtId="166" fontId="12" fillId="2" borderId="18" xfId="0" applyNumberFormat="1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173" fontId="15" fillId="3" borderId="0" xfId="0" applyNumberFormat="1" applyFont="1" applyFill="1" applyAlignment="1" applyProtection="1">
      <alignment horizontal="center"/>
      <protection locked="0"/>
    </xf>
    <xf numFmtId="164" fontId="12" fillId="2" borderId="39" xfId="0" applyNumberFormat="1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164" fontId="12" fillId="2" borderId="43" xfId="0" applyNumberFormat="1" applyFont="1" applyFill="1" applyBorder="1" applyAlignment="1">
      <alignment horizontal="center"/>
    </xf>
    <xf numFmtId="164" fontId="12" fillId="2" borderId="28" xfId="0" applyNumberFormat="1" applyFont="1" applyFill="1" applyBorder="1" applyAlignment="1">
      <alignment horizontal="center"/>
    </xf>
    <xf numFmtId="164" fontId="12" fillId="2" borderId="17" xfId="0" applyNumberFormat="1" applyFont="1" applyFill="1" applyBorder="1" applyAlignment="1">
      <alignment horizontal="center"/>
    </xf>
    <xf numFmtId="164" fontId="12" fillId="2" borderId="18" xfId="0" applyNumberFormat="1" applyFont="1" applyFill="1" applyBorder="1" applyAlignment="1">
      <alignment horizontal="center"/>
    </xf>
    <xf numFmtId="2" fontId="12" fillId="2" borderId="47" xfId="0" applyNumberFormat="1" applyFont="1" applyFill="1" applyBorder="1"/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  <xf numFmtId="10" fontId="12" fillId="2" borderId="18" xfId="0" applyNumberFormat="1" applyFont="1" applyFill="1" applyBorder="1" applyAlignment="1">
      <alignment horizontal="center"/>
    </xf>
    <xf numFmtId="2" fontId="12" fillId="2" borderId="29" xfId="0" applyNumberFormat="1" applyFont="1" applyFill="1" applyBorder="1" applyAlignment="1">
      <alignment horizontal="center"/>
    </xf>
    <xf numFmtId="2" fontId="12" fillId="2" borderId="16" xfId="0" applyNumberFormat="1" applyFont="1" applyFill="1" applyBorder="1" applyAlignment="1">
      <alignment horizontal="center"/>
    </xf>
    <xf numFmtId="2" fontId="12" fillId="2" borderId="19" xfId="0" applyNumberFormat="1" applyFont="1" applyFill="1" applyBorder="1" applyAlignment="1">
      <alignment horizontal="center"/>
    </xf>
    <xf numFmtId="10" fontId="14" fillId="2" borderId="17" xfId="0" applyNumberFormat="1" applyFont="1" applyFill="1" applyBorder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vertic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0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  <xf numFmtId="10" fontId="15" fillId="7" borderId="14" xfId="0" applyNumberFormat="1" applyFont="1" applyFill="1" applyBorder="1" applyAlignment="1">
      <alignment horizontal="center"/>
    </xf>
    <xf numFmtId="2" fontId="12" fillId="2" borderId="43" xfId="0" applyNumberFormat="1" applyFont="1" applyFill="1" applyBorder="1" applyAlignment="1">
      <alignment horizontal="center"/>
    </xf>
    <xf numFmtId="166" fontId="13" fillId="7" borderId="12" xfId="0" applyNumberFormat="1" applyFont="1" applyFill="1" applyBorder="1" applyAlignment="1">
      <alignment horizontal="center"/>
    </xf>
    <xf numFmtId="10" fontId="13" fillId="7" borderId="41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171" fontId="15" fillId="3" borderId="28" xfId="0" applyNumberFormat="1" applyFont="1" applyFill="1" applyBorder="1" applyAlignment="1" applyProtection="1">
      <alignment horizontal="center"/>
      <protection locked="0"/>
    </xf>
    <xf numFmtId="171" fontId="15" fillId="3" borderId="17" xfId="0" applyNumberFormat="1" applyFont="1" applyFill="1" applyBorder="1" applyAlignment="1" applyProtection="1">
      <alignment horizontal="center"/>
      <protection locked="0"/>
    </xf>
    <xf numFmtId="171" fontId="15" fillId="3" borderId="18" xfId="0" applyNumberFormat="1" applyFont="1" applyFill="1" applyBorder="1" applyAlignment="1" applyProtection="1">
      <alignment horizontal="center"/>
      <protection locked="0"/>
    </xf>
    <xf numFmtId="171" fontId="15" fillId="3" borderId="21" xfId="0" applyNumberFormat="1" applyFont="1" applyFill="1" applyBorder="1" applyAlignment="1" applyProtection="1">
      <alignment horizontal="center"/>
      <protection locked="0"/>
    </xf>
    <xf numFmtId="171" fontId="15" fillId="3" borderId="36" xfId="0" applyNumberFormat="1" applyFont="1" applyFill="1" applyBorder="1" applyAlignment="1" applyProtection="1">
      <alignment horizontal="center"/>
      <protection locked="0"/>
    </xf>
    <xf numFmtId="171" fontId="15" fillId="3" borderId="25" xfId="0" applyNumberFormat="1" applyFont="1" applyFill="1" applyBorder="1" applyAlignment="1" applyProtection="1">
      <alignment horizontal="center"/>
      <protection locked="0"/>
    </xf>
    <xf numFmtId="171" fontId="12" fillId="2" borderId="39" xfId="0" applyNumberFormat="1" applyFont="1" applyFill="1" applyBorder="1" applyAlignment="1">
      <alignment horizontal="center" vertical="center"/>
    </xf>
    <xf numFmtId="171" fontId="12" fillId="2" borderId="11" xfId="0" applyNumberFormat="1" applyFont="1" applyFill="1" applyBorder="1" applyAlignment="1">
      <alignment horizontal="center" vertical="center"/>
    </xf>
    <xf numFmtId="2" fontId="15" fillId="7" borderId="38" xfId="0" applyNumberFormat="1" applyFont="1" applyFill="1" applyBorder="1" applyAlignment="1">
      <alignment horizontal="center"/>
    </xf>
    <xf numFmtId="10" fontId="14" fillId="6" borderId="40" xfId="0" applyNumberFormat="1" applyFont="1" applyFill="1" applyBorder="1" applyAlignment="1">
      <alignment horizontal="center"/>
    </xf>
    <xf numFmtId="0" fontId="14" fillId="7" borderId="24" xfId="0" applyFont="1" applyFill="1" applyBorder="1" applyAlignment="1">
      <alignment horizontal="center"/>
    </xf>
    <xf numFmtId="2" fontId="13" fillId="2" borderId="12" xfId="0" applyNumberFormat="1" applyFont="1" applyFill="1" applyBorder="1" applyAlignment="1">
      <alignment vertical="center"/>
    </xf>
    <xf numFmtId="174" fontId="15" fillId="3" borderId="0" xfId="0" applyNumberFormat="1" applyFont="1" applyFill="1" applyAlignment="1" applyProtection="1">
      <alignment horizontal="center"/>
      <protection locked="0"/>
    </xf>
    <xf numFmtId="175" fontId="15" fillId="3" borderId="0" xfId="0" applyNumberFormat="1" applyFont="1" applyFill="1" applyAlignment="1" applyProtection="1">
      <alignment horizontal="center"/>
      <protection locked="0"/>
    </xf>
    <xf numFmtId="176" fontId="15" fillId="3" borderId="0" xfId="0" applyNumberFormat="1" applyFont="1" applyFill="1" applyAlignment="1" applyProtection="1">
      <alignment horizontal="center"/>
      <protection locked="0"/>
    </xf>
    <xf numFmtId="0" fontId="20" fillId="2" borderId="0" xfId="1" applyFont="1"/>
    <xf numFmtId="0" fontId="1" fillId="2" borderId="0" xfId="2"/>
    <xf numFmtId="0" fontId="22" fillId="2" borderId="0" xfId="1" applyFont="1"/>
    <xf numFmtId="0" fontId="23" fillId="2" borderId="0" xfId="1" applyFont="1"/>
    <xf numFmtId="0" fontId="23" fillId="9" borderId="0" xfId="1" applyFont="1" applyFill="1" applyAlignment="1" applyProtection="1">
      <alignment horizontal="left"/>
      <protection locked="0"/>
    </xf>
    <xf numFmtId="0" fontId="25" fillId="9" borderId="0" xfId="1" applyFont="1" applyFill="1" applyAlignment="1" applyProtection="1">
      <alignment horizontal="left"/>
      <protection locked="0"/>
    </xf>
    <xf numFmtId="0" fontId="25" fillId="9" borderId="0" xfId="1" quotePrefix="1" applyFont="1" applyFill="1" applyAlignment="1" applyProtection="1">
      <protection locked="0"/>
    </xf>
    <xf numFmtId="0" fontId="20" fillId="9" borderId="0" xfId="1" quotePrefix="1" applyFont="1" applyFill="1" applyAlignment="1" applyProtection="1">
      <protection locked="0"/>
    </xf>
    <xf numFmtId="170" fontId="25" fillId="9" borderId="0" xfId="1" applyNumberFormat="1" applyFont="1" applyFill="1" applyAlignment="1" applyProtection="1">
      <alignment horizontal="left"/>
      <protection locked="0"/>
    </xf>
    <xf numFmtId="0" fontId="25" fillId="2" borderId="0" xfId="1" applyFont="1"/>
    <xf numFmtId="170" fontId="20" fillId="2" borderId="0" xfId="1" applyNumberFormat="1" applyFont="1" applyAlignment="1">
      <alignment horizontal="left"/>
    </xf>
    <xf numFmtId="0" fontId="22" fillId="2" borderId="0" xfId="1" applyFont="1" applyAlignment="1">
      <alignment horizontal="left"/>
    </xf>
    <xf numFmtId="0" fontId="23" fillId="2" borderId="0" xfId="1" applyFont="1" applyAlignment="1">
      <alignment horizontal="right"/>
    </xf>
    <xf numFmtId="0" fontId="20" fillId="2" borderId="0" xfId="1" applyFont="1" applyAlignment="1">
      <alignment horizontal="right"/>
    </xf>
    <xf numFmtId="0" fontId="24" fillId="9" borderId="0" xfId="1" applyFont="1" applyFill="1" applyBorder="1" applyAlignment="1" applyProtection="1">
      <alignment horizontal="center"/>
      <protection locked="0"/>
    </xf>
    <xf numFmtId="0" fontId="25" fillId="9" borderId="0" xfId="1" applyFont="1" applyFill="1" applyAlignment="1" applyProtection="1">
      <alignment horizontal="center"/>
      <protection locked="0"/>
    </xf>
    <xf numFmtId="0" fontId="26" fillId="2" borderId="0" xfId="2" applyFont="1"/>
    <xf numFmtId="0" fontId="23" fillId="2" borderId="0" xfId="1" applyFont="1" applyAlignment="1">
      <alignment horizontal="center"/>
    </xf>
    <xf numFmtId="0" fontId="27" fillId="2" borderId="0" xfId="1" applyFont="1" applyFill="1"/>
    <xf numFmtId="2" fontId="24" fillId="9" borderId="0" xfId="1" applyNumberFormat="1" applyFont="1" applyFill="1" applyAlignment="1" applyProtection="1">
      <alignment horizontal="center"/>
      <protection locked="0"/>
    </xf>
    <xf numFmtId="0" fontId="21" fillId="2" borderId="0" xfId="1" applyFont="1" applyFill="1" applyBorder="1" applyAlignment="1">
      <alignment vertical="center" wrapText="1"/>
    </xf>
    <xf numFmtId="2" fontId="23" fillId="2" borderId="0" xfId="1" applyNumberFormat="1" applyFont="1" applyAlignment="1">
      <alignment horizontal="center"/>
    </xf>
    <xf numFmtId="0" fontId="21" fillId="2" borderId="0" xfId="1" applyFont="1" applyFill="1" applyBorder="1" applyAlignment="1">
      <alignment horizontal="left" vertical="center" wrapText="1"/>
    </xf>
    <xf numFmtId="169" fontId="23" fillId="2" borderId="0" xfId="1" applyNumberFormat="1" applyFont="1" applyAlignment="1">
      <alignment horizontal="center"/>
    </xf>
    <xf numFmtId="0" fontId="20" fillId="2" borderId="51" xfId="1" applyFont="1" applyBorder="1" applyAlignment="1">
      <alignment horizontal="right"/>
    </xf>
    <xf numFmtId="0" fontId="24" fillId="9" borderId="52" xfId="1" applyFont="1" applyFill="1" applyBorder="1" applyAlignment="1" applyProtection="1">
      <alignment horizontal="center"/>
      <protection locked="0"/>
    </xf>
    <xf numFmtId="0" fontId="20" fillId="2" borderId="56" xfId="1" applyFont="1" applyBorder="1" applyAlignment="1">
      <alignment horizontal="right"/>
    </xf>
    <xf numFmtId="0" fontId="24" fillId="9" borderId="57" xfId="1" applyFont="1" applyFill="1" applyBorder="1" applyAlignment="1" applyProtection="1">
      <alignment horizontal="center"/>
      <protection locked="0"/>
    </xf>
    <xf numFmtId="0" fontId="23" fillId="2" borderId="58" xfId="1" applyFont="1" applyBorder="1" applyAlignment="1">
      <alignment horizontal="center"/>
    </xf>
    <xf numFmtId="0" fontId="23" fillId="2" borderId="59" xfId="1" applyFont="1" applyBorder="1" applyAlignment="1">
      <alignment horizontal="center"/>
    </xf>
    <xf numFmtId="0" fontId="23" fillId="2" borderId="60" xfId="1" applyFont="1" applyBorder="1" applyAlignment="1">
      <alignment horizontal="center"/>
    </xf>
    <xf numFmtId="0" fontId="23" fillId="2" borderId="61" xfId="1" applyFont="1" applyBorder="1" applyAlignment="1">
      <alignment horizontal="center"/>
    </xf>
    <xf numFmtId="0" fontId="20" fillId="2" borderId="62" xfId="1" applyFont="1" applyBorder="1" applyAlignment="1">
      <alignment horizontal="center"/>
    </xf>
    <xf numFmtId="0" fontId="24" fillId="9" borderId="63" xfId="1" applyFont="1" applyFill="1" applyBorder="1" applyAlignment="1" applyProtection="1">
      <alignment horizontal="center"/>
      <protection locked="0"/>
    </xf>
    <xf numFmtId="171" fontId="20" fillId="2" borderId="60" xfId="1" applyNumberFormat="1" applyFont="1" applyBorder="1" applyAlignment="1">
      <alignment horizontal="center"/>
    </xf>
    <xf numFmtId="171" fontId="20" fillId="2" borderId="61" xfId="1" applyNumberFormat="1" applyFont="1" applyBorder="1" applyAlignment="1">
      <alignment horizontal="center"/>
    </xf>
    <xf numFmtId="0" fontId="20" fillId="2" borderId="64" xfId="1" applyFont="1" applyBorder="1" applyAlignment="1">
      <alignment horizontal="center"/>
    </xf>
    <xf numFmtId="0" fontId="24" fillId="9" borderId="56" xfId="1" applyFont="1" applyFill="1" applyBorder="1" applyAlignment="1" applyProtection="1">
      <alignment horizontal="center"/>
      <protection locked="0"/>
    </xf>
    <xf numFmtId="171" fontId="20" fillId="2" borderId="65" xfId="1" applyNumberFormat="1" applyFont="1" applyBorder="1" applyAlignment="1">
      <alignment horizontal="center"/>
    </xf>
    <xf numFmtId="171" fontId="20" fillId="2" borderId="57" xfId="1" applyNumberFormat="1" applyFont="1" applyBorder="1" applyAlignment="1">
      <alignment horizontal="center"/>
    </xf>
    <xf numFmtId="0" fontId="20" fillId="2" borderId="66" xfId="1" applyFont="1" applyBorder="1" applyAlignment="1">
      <alignment horizontal="center"/>
    </xf>
    <xf numFmtId="0" fontId="24" fillId="9" borderId="67" xfId="1" applyFont="1" applyFill="1" applyBorder="1" applyAlignment="1" applyProtection="1">
      <alignment horizontal="center"/>
      <protection locked="0"/>
    </xf>
    <xf numFmtId="171" fontId="20" fillId="2" borderId="68" xfId="1" applyNumberFormat="1" applyFont="1" applyBorder="1" applyAlignment="1">
      <alignment horizontal="center"/>
    </xf>
    <xf numFmtId="171" fontId="20" fillId="2" borderId="69" xfId="1" applyNumberFormat="1" applyFont="1" applyBorder="1" applyAlignment="1">
      <alignment horizontal="center"/>
    </xf>
    <xf numFmtId="0" fontId="20" fillId="2" borderId="64" xfId="1" applyFont="1" applyBorder="1" applyAlignment="1">
      <alignment horizontal="right"/>
    </xf>
    <xf numFmtId="1" fontId="23" fillId="10" borderId="70" xfId="1" applyNumberFormat="1" applyFont="1" applyFill="1" applyBorder="1" applyAlignment="1">
      <alignment horizontal="center"/>
    </xf>
    <xf numFmtId="171" fontId="23" fillId="10" borderId="71" xfId="1" applyNumberFormat="1" applyFont="1" applyFill="1" applyBorder="1" applyAlignment="1">
      <alignment horizontal="center"/>
    </xf>
    <xf numFmtId="171" fontId="23" fillId="10" borderId="72" xfId="1" applyNumberFormat="1" applyFont="1" applyFill="1" applyBorder="1" applyAlignment="1">
      <alignment horizontal="center"/>
    </xf>
    <xf numFmtId="0" fontId="29" fillId="2" borderId="0" xfId="2" applyFont="1" applyBorder="1" applyAlignment="1">
      <alignment horizontal="center"/>
    </xf>
    <xf numFmtId="0" fontId="20" fillId="2" borderId="54" xfId="1" applyFont="1" applyBorder="1" applyAlignment="1">
      <alignment horizontal="right"/>
    </xf>
    <xf numFmtId="0" fontId="24" fillId="9" borderId="73" xfId="1" applyFont="1" applyFill="1" applyBorder="1" applyAlignment="1" applyProtection="1">
      <alignment horizontal="center"/>
      <protection locked="0"/>
    </xf>
    <xf numFmtId="0" fontId="20" fillId="2" borderId="0" xfId="1" applyFont="1" applyFill="1" applyBorder="1"/>
    <xf numFmtId="0" fontId="20" fillId="2" borderId="74" xfId="1" applyFont="1" applyBorder="1" applyAlignment="1">
      <alignment horizontal="right"/>
    </xf>
    <xf numFmtId="2" fontId="20" fillId="10" borderId="75" xfId="1" applyNumberFormat="1" applyFont="1" applyFill="1" applyBorder="1" applyAlignment="1">
      <alignment horizontal="center"/>
    </xf>
    <xf numFmtId="0" fontId="20" fillId="2" borderId="0" xfId="1" applyFont="1" applyFill="1" applyBorder="1" applyAlignment="1">
      <alignment horizontal="center"/>
    </xf>
    <xf numFmtId="0" fontId="20" fillId="2" borderId="72" xfId="1" applyFont="1" applyFill="1" applyBorder="1" applyAlignment="1" applyProtection="1">
      <alignment horizontal="center"/>
    </xf>
    <xf numFmtId="2" fontId="20" fillId="11" borderId="75" xfId="1" applyNumberFormat="1" applyFont="1" applyFill="1" applyBorder="1" applyAlignment="1">
      <alignment horizontal="center"/>
    </xf>
    <xf numFmtId="2" fontId="20" fillId="2" borderId="0" xfId="1" applyNumberFormat="1" applyFont="1" applyFill="1" applyBorder="1" applyAlignment="1">
      <alignment horizontal="center"/>
    </xf>
    <xf numFmtId="2" fontId="20" fillId="10" borderId="76" xfId="1" applyNumberFormat="1" applyFont="1" applyFill="1" applyBorder="1" applyAlignment="1">
      <alignment horizontal="center"/>
    </xf>
    <xf numFmtId="0" fontId="20" fillId="2" borderId="79" xfId="1" applyFont="1" applyBorder="1" applyAlignment="1">
      <alignment horizontal="right"/>
    </xf>
    <xf numFmtId="0" fontId="24" fillId="9" borderId="75" xfId="1" applyFont="1" applyFill="1" applyBorder="1" applyAlignment="1" applyProtection="1">
      <alignment horizontal="center"/>
      <protection locked="0"/>
    </xf>
    <xf numFmtId="1" fontId="20" fillId="2" borderId="0" xfId="1" applyNumberFormat="1" applyFont="1" applyFill="1" applyBorder="1" applyAlignment="1">
      <alignment horizontal="center"/>
    </xf>
    <xf numFmtId="0" fontId="20" fillId="2" borderId="63" xfId="1" applyFont="1" applyBorder="1" applyAlignment="1">
      <alignment horizontal="right"/>
    </xf>
    <xf numFmtId="0" fontId="20" fillId="2" borderId="0" xfId="1" applyFont="1" applyBorder="1" applyAlignment="1">
      <alignment horizontal="right"/>
    </xf>
    <xf numFmtId="2" fontId="20" fillId="10" borderId="80" xfId="1" applyNumberFormat="1" applyFont="1" applyFill="1" applyBorder="1" applyAlignment="1">
      <alignment horizontal="center"/>
    </xf>
    <xf numFmtId="171" fontId="23" fillId="11" borderId="81" xfId="1" applyNumberFormat="1" applyFont="1" applyFill="1" applyBorder="1" applyAlignment="1">
      <alignment horizontal="center"/>
    </xf>
    <xf numFmtId="171" fontId="20" fillId="2" borderId="0" xfId="1" applyNumberFormat="1" applyFont="1" applyFill="1" applyBorder="1" applyAlignment="1">
      <alignment horizontal="center"/>
    </xf>
    <xf numFmtId="10" fontId="20" fillId="10" borderId="75" xfId="1" applyNumberFormat="1" applyFont="1" applyFill="1" applyBorder="1" applyAlignment="1">
      <alignment horizontal="center"/>
    </xf>
    <xf numFmtId="0" fontId="20" fillId="2" borderId="77" xfId="1" applyFont="1" applyBorder="1" applyAlignment="1">
      <alignment horizontal="right"/>
    </xf>
    <xf numFmtId="0" fontId="20" fillId="11" borderId="80" xfId="1" applyFont="1" applyFill="1" applyBorder="1" applyAlignment="1">
      <alignment horizontal="center"/>
    </xf>
    <xf numFmtId="0" fontId="23" fillId="2" borderId="0" xfId="1" quotePrefix="1" applyFont="1" applyAlignment="1">
      <alignment horizontal="left"/>
    </xf>
    <xf numFmtId="0" fontId="20" fillId="2" borderId="0" xfId="1" quotePrefix="1" applyFont="1" applyAlignment="1">
      <alignment horizontal="left"/>
    </xf>
    <xf numFmtId="0" fontId="20" fillId="2" borderId="0" xfId="1" applyFont="1" applyAlignment="1">
      <alignment horizontal="left"/>
    </xf>
    <xf numFmtId="0" fontId="24" fillId="9" borderId="0" xfId="1" applyFont="1" applyFill="1" applyAlignment="1" applyProtection="1">
      <alignment horizontal="center"/>
      <protection locked="0"/>
    </xf>
    <xf numFmtId="0" fontId="20" fillId="2" borderId="0" xfId="1" applyFont="1" applyAlignment="1">
      <alignment horizontal="center"/>
    </xf>
    <xf numFmtId="0" fontId="30" fillId="2" borderId="0" xfId="1" applyFont="1"/>
    <xf numFmtId="0" fontId="31" fillId="2" borderId="0" xfId="1" applyFont="1"/>
    <xf numFmtId="0" fontId="23" fillId="2" borderId="82" xfId="1" applyFont="1" applyFill="1" applyBorder="1" applyAlignment="1">
      <alignment horizontal="center"/>
    </xf>
    <xf numFmtId="0" fontId="23" fillId="11" borderId="83" xfId="1" applyFont="1" applyFill="1" applyBorder="1" applyAlignment="1">
      <alignment horizontal="center"/>
    </xf>
    <xf numFmtId="0" fontId="23" fillId="11" borderId="84" xfId="1" applyFont="1" applyFill="1" applyBorder="1" applyAlignment="1">
      <alignment horizontal="center"/>
    </xf>
    <xf numFmtId="0" fontId="23" fillId="11" borderId="85" xfId="1" applyFont="1" applyFill="1" applyBorder="1" applyAlignment="1">
      <alignment horizontal="center" wrapText="1"/>
    </xf>
    <xf numFmtId="0" fontId="23" fillId="11" borderId="58" xfId="1" applyFont="1" applyFill="1" applyBorder="1" applyAlignment="1">
      <alignment horizontal="center" wrapText="1"/>
    </xf>
    <xf numFmtId="0" fontId="32" fillId="2" borderId="0" xfId="1" applyFont="1" applyFill="1" applyBorder="1" applyAlignment="1">
      <alignment horizontal="center" wrapText="1"/>
    </xf>
    <xf numFmtId="0" fontId="20" fillId="2" borderId="63" xfId="1" applyFont="1" applyFill="1" applyBorder="1" applyAlignment="1">
      <alignment horizontal="center"/>
    </xf>
    <xf numFmtId="0" fontId="25" fillId="9" borderId="86" xfId="1" applyFont="1" applyFill="1" applyBorder="1" applyAlignment="1">
      <alignment horizontal="center" wrapText="1"/>
    </xf>
    <xf numFmtId="2" fontId="20" fillId="2" borderId="60" xfId="1" quotePrefix="1" applyNumberFormat="1" applyFont="1" applyFill="1" applyBorder="1" applyAlignment="1">
      <alignment horizontal="center"/>
    </xf>
    <xf numFmtId="2" fontId="20" fillId="2" borderId="86" xfId="1" applyNumberFormat="1" applyFont="1" applyBorder="1" applyAlignment="1">
      <alignment horizontal="center"/>
    </xf>
    <xf numFmtId="2" fontId="20" fillId="2" borderId="62" xfId="1" applyNumberFormat="1" applyFont="1" applyBorder="1" applyAlignment="1">
      <alignment horizontal="center"/>
    </xf>
    <xf numFmtId="0" fontId="20" fillId="2" borderId="56" xfId="1" applyFont="1" applyFill="1" applyBorder="1" applyAlignment="1">
      <alignment horizontal="center"/>
    </xf>
    <xf numFmtId="0" fontId="25" fillId="9" borderId="87" xfId="1" applyFont="1" applyFill="1" applyBorder="1" applyAlignment="1">
      <alignment horizontal="center" wrapText="1"/>
    </xf>
    <xf numFmtId="2" fontId="20" fillId="2" borderId="65" xfId="1" quotePrefix="1" applyNumberFormat="1" applyFont="1" applyFill="1" applyBorder="1" applyAlignment="1">
      <alignment horizontal="center"/>
    </xf>
    <xf numFmtId="2" fontId="20" fillId="2" borderId="87" xfId="1" applyNumberFormat="1" applyFont="1" applyBorder="1" applyAlignment="1">
      <alignment horizontal="center"/>
    </xf>
    <xf numFmtId="2" fontId="20" fillId="2" borderId="64" xfId="1" applyNumberFormat="1" applyFont="1" applyBorder="1" applyAlignment="1">
      <alignment horizontal="center"/>
    </xf>
    <xf numFmtId="0" fontId="20" fillId="2" borderId="77" xfId="1" applyFont="1" applyFill="1" applyBorder="1" applyAlignment="1">
      <alignment horizontal="center"/>
    </xf>
    <xf numFmtId="0" fontId="25" fillId="9" borderId="88" xfId="1" applyFont="1" applyFill="1" applyBorder="1" applyAlignment="1">
      <alignment horizontal="center" wrapText="1"/>
    </xf>
    <xf numFmtId="2" fontId="20" fillId="2" borderId="71" xfId="1" quotePrefix="1" applyNumberFormat="1" applyFont="1" applyFill="1" applyBorder="1" applyAlignment="1">
      <alignment horizontal="center"/>
    </xf>
    <xf numFmtId="2" fontId="20" fillId="2" borderId="88" xfId="1" applyNumberFormat="1" applyFont="1" applyBorder="1" applyAlignment="1">
      <alignment horizontal="center"/>
    </xf>
    <xf numFmtId="2" fontId="20" fillId="2" borderId="78" xfId="1" applyNumberFormat="1" applyFont="1" applyBorder="1" applyAlignment="1">
      <alignment horizontal="center"/>
    </xf>
    <xf numFmtId="0" fontId="20" fillId="2" borderId="0" xfId="1" applyFont="1" applyFill="1" applyBorder="1" applyAlignment="1"/>
    <xf numFmtId="0" fontId="20" fillId="2" borderId="64" xfId="1" applyFont="1" applyBorder="1"/>
    <xf numFmtId="2" fontId="31" fillId="2" borderId="0" xfId="1" applyNumberFormat="1" applyFont="1" applyFill="1" applyBorder="1" applyAlignment="1">
      <alignment horizontal="center"/>
    </xf>
    <xf numFmtId="0" fontId="20" fillId="2" borderId="56" xfId="1" applyFont="1" applyBorder="1" applyAlignment="1">
      <alignment horizontal="center"/>
    </xf>
    <xf numFmtId="10" fontId="23" fillId="2" borderId="0" xfId="1" applyNumberFormat="1" applyFont="1" applyFill="1" applyBorder="1" applyAlignment="1">
      <alignment horizontal="center"/>
    </xf>
    <xf numFmtId="2" fontId="23" fillId="12" borderId="90" xfId="1" applyNumberFormat="1" applyFont="1" applyFill="1" applyBorder="1" applyAlignment="1">
      <alignment horizontal="center"/>
    </xf>
    <xf numFmtId="2" fontId="24" fillId="12" borderId="90" xfId="1" applyNumberFormat="1" applyFont="1" applyFill="1" applyBorder="1" applyAlignment="1">
      <alignment horizontal="center"/>
    </xf>
    <xf numFmtId="10" fontId="32" fillId="2" borderId="0" xfId="1" applyNumberFormat="1" applyFont="1" applyFill="1" applyBorder="1" applyAlignment="1">
      <alignment horizontal="center"/>
    </xf>
    <xf numFmtId="10" fontId="23" fillId="10" borderId="90" xfId="1" applyNumberFormat="1" applyFont="1" applyFill="1" applyBorder="1" applyAlignment="1">
      <alignment horizontal="center"/>
    </xf>
    <xf numFmtId="10" fontId="24" fillId="10" borderId="90" xfId="1" applyNumberFormat="1" applyFont="1" applyFill="1" applyBorder="1" applyAlignment="1">
      <alignment horizontal="center"/>
    </xf>
    <xf numFmtId="0" fontId="20" fillId="2" borderId="77" xfId="1" applyFont="1" applyBorder="1" applyAlignment="1">
      <alignment horizontal="center"/>
    </xf>
    <xf numFmtId="10" fontId="23" fillId="2" borderId="89" xfId="1" applyNumberFormat="1" applyFont="1" applyFill="1" applyBorder="1" applyAlignment="1">
      <alignment horizontal="center"/>
    </xf>
    <xf numFmtId="2" fontId="23" fillId="12" borderId="91" xfId="1" applyNumberFormat="1" applyFont="1" applyFill="1" applyBorder="1" applyAlignment="1">
      <alignment horizontal="center"/>
    </xf>
    <xf numFmtId="2" fontId="24" fillId="12" borderId="91" xfId="1" applyNumberFormat="1" applyFont="1" applyFill="1" applyBorder="1" applyAlignment="1">
      <alignment horizontal="center"/>
    </xf>
    <xf numFmtId="0" fontId="20" fillId="2" borderId="0" xfId="1" applyFont="1" applyBorder="1"/>
    <xf numFmtId="0" fontId="31" fillId="2" borderId="0" xfId="1" applyFont="1" applyFill="1" applyBorder="1" applyAlignment="1">
      <alignment horizontal="center"/>
    </xf>
    <xf numFmtId="0" fontId="20" fillId="2" borderId="0" xfId="1" quotePrefix="1" applyFont="1" applyBorder="1" applyAlignment="1">
      <alignment horizontal="right"/>
    </xf>
    <xf numFmtId="0" fontId="20" fillId="2" borderId="0" xfId="1" applyFont="1" applyBorder="1" applyAlignment="1"/>
    <xf numFmtId="172" fontId="23" fillId="2" borderId="0" xfId="1" applyNumberFormat="1" applyFont="1" applyFill="1" applyBorder="1" applyAlignment="1">
      <alignment horizontal="center"/>
    </xf>
    <xf numFmtId="0" fontId="23" fillId="2" borderId="0" xfId="1" applyFont="1" applyFill="1" applyBorder="1" applyAlignment="1">
      <alignment horizontal="center"/>
    </xf>
    <xf numFmtId="0" fontId="23" fillId="2" borderId="0" xfId="1" quotePrefix="1" applyFont="1" applyBorder="1" applyAlignment="1">
      <alignment horizontal="center"/>
    </xf>
    <xf numFmtId="165" fontId="23" fillId="2" borderId="0" xfId="1" applyNumberFormat="1" applyFont="1" applyFill="1" applyBorder="1" applyAlignment="1">
      <alignment horizontal="center"/>
    </xf>
    <xf numFmtId="0" fontId="22" fillId="2" borderId="0" xfId="1" quotePrefix="1" applyFont="1" applyAlignment="1">
      <alignment horizontal="left"/>
    </xf>
    <xf numFmtId="0" fontId="20" fillId="2" borderId="94" xfId="1" applyFont="1" applyBorder="1" applyAlignment="1">
      <alignment horizontal="right"/>
    </xf>
    <xf numFmtId="2" fontId="20" fillId="2" borderId="94" xfId="1" applyNumberFormat="1" applyFont="1" applyBorder="1" applyAlignment="1">
      <alignment horizontal="center"/>
    </xf>
    <xf numFmtId="0" fontId="25" fillId="9" borderId="94" xfId="1" applyFont="1" applyFill="1" applyBorder="1" applyAlignment="1" applyProtection="1">
      <alignment horizontal="center"/>
      <protection locked="0"/>
    </xf>
    <xf numFmtId="1" fontId="23" fillId="10" borderId="94" xfId="1" applyNumberFormat="1" applyFont="1" applyFill="1" applyBorder="1" applyAlignment="1">
      <alignment horizontal="center"/>
    </xf>
    <xf numFmtId="0" fontId="23" fillId="2" borderId="0" xfId="1" applyFont="1" applyFill="1" applyAlignment="1" applyProtection="1">
      <alignment horizontal="center"/>
      <protection locked="0"/>
    </xf>
    <xf numFmtId="0" fontId="27" fillId="2" borderId="0" xfId="2" applyFont="1" applyFill="1"/>
    <xf numFmtId="0" fontId="34" fillId="2" borderId="0" xfId="1" applyFont="1" applyFill="1"/>
    <xf numFmtId="0" fontId="24" fillId="9" borderId="58" xfId="1" applyFont="1" applyFill="1" applyBorder="1" applyAlignment="1" applyProtection="1">
      <alignment horizontal="center"/>
      <protection locked="0"/>
    </xf>
    <xf numFmtId="0" fontId="23" fillId="2" borderId="53" xfId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24" fillId="9" borderId="64" xfId="1" applyFont="1" applyFill="1" applyBorder="1" applyAlignment="1" applyProtection="1">
      <alignment horizontal="center"/>
      <protection locked="0"/>
    </xf>
    <xf numFmtId="171" fontId="20" fillId="2" borderId="86" xfId="1" applyNumberFormat="1" applyFont="1" applyBorder="1" applyAlignment="1">
      <alignment horizontal="center"/>
    </xf>
    <xf numFmtId="0" fontId="24" fillId="9" borderId="95" xfId="1" applyFont="1" applyFill="1" applyBorder="1" applyAlignment="1" applyProtection="1">
      <alignment horizontal="center"/>
      <protection locked="0"/>
    </xf>
    <xf numFmtId="171" fontId="20" fillId="2" borderId="87" xfId="1" applyNumberFormat="1" applyFont="1" applyBorder="1" applyAlignment="1">
      <alignment horizontal="center"/>
    </xf>
    <xf numFmtId="171" fontId="24" fillId="9" borderId="0" xfId="1" applyNumberFormat="1" applyFont="1" applyFill="1" applyBorder="1" applyAlignment="1" applyProtection="1">
      <alignment horizontal="center"/>
      <protection locked="0"/>
    </xf>
    <xf numFmtId="171" fontId="20" fillId="2" borderId="96" xfId="1" applyNumberFormat="1" applyFont="1" applyBorder="1" applyAlignment="1">
      <alignment horizontal="center"/>
    </xf>
    <xf numFmtId="171" fontId="24" fillId="9" borderId="97" xfId="1" applyNumberFormat="1" applyFont="1" applyFill="1" applyBorder="1" applyAlignment="1" applyProtection="1">
      <alignment horizontal="center"/>
      <protection locked="0"/>
    </xf>
    <xf numFmtId="171" fontId="23" fillId="10" borderId="98" xfId="1" applyNumberFormat="1" applyFont="1" applyFill="1" applyBorder="1" applyAlignment="1">
      <alignment horizontal="center"/>
    </xf>
    <xf numFmtId="171" fontId="23" fillId="10" borderId="80" xfId="1" applyNumberFormat="1" applyFont="1" applyFill="1" applyBorder="1" applyAlignment="1">
      <alignment horizontal="center"/>
    </xf>
    <xf numFmtId="0" fontId="24" fillId="9" borderId="99" xfId="1" applyFont="1" applyFill="1" applyBorder="1" applyAlignment="1" applyProtection="1">
      <alignment horizontal="center"/>
      <protection locked="0"/>
    </xf>
    <xf numFmtId="2" fontId="20" fillId="10" borderId="90" xfId="1" applyNumberFormat="1" applyFont="1" applyFill="1" applyBorder="1" applyAlignment="1">
      <alignment horizontal="center"/>
    </xf>
    <xf numFmtId="0" fontId="20" fillId="2" borderId="0" xfId="1" applyFont="1" applyFill="1" applyBorder="1" applyAlignment="1" applyProtection="1">
      <alignment horizontal="center"/>
    </xf>
    <xf numFmtId="2" fontId="20" fillId="11" borderId="90" xfId="1" applyNumberFormat="1" applyFont="1" applyFill="1" applyBorder="1" applyAlignment="1">
      <alignment horizontal="center"/>
    </xf>
    <xf numFmtId="0" fontId="29" fillId="2" borderId="0" xfId="2" applyFont="1" applyBorder="1"/>
    <xf numFmtId="0" fontId="20" fillId="2" borderId="59" xfId="1" applyFont="1" applyBorder="1" applyAlignment="1">
      <alignment horizontal="right"/>
    </xf>
    <xf numFmtId="166" fontId="20" fillId="11" borderId="90" xfId="1" applyNumberFormat="1" applyFont="1" applyFill="1" applyBorder="1" applyAlignment="1" applyProtection="1">
      <alignment horizontal="center"/>
    </xf>
    <xf numFmtId="2" fontId="29" fillId="2" borderId="0" xfId="2" applyNumberFormat="1" applyFont="1" applyFill="1" applyBorder="1" applyAlignment="1">
      <alignment horizontal="center"/>
    </xf>
    <xf numFmtId="0" fontId="20" fillId="2" borderId="100" xfId="1" applyFont="1" applyBorder="1" applyAlignment="1">
      <alignment horizontal="right"/>
    </xf>
    <xf numFmtId="2" fontId="20" fillId="11" borderId="61" xfId="1" applyNumberFormat="1" applyFont="1" applyFill="1" applyBorder="1" applyAlignment="1" applyProtection="1">
      <alignment horizontal="center"/>
    </xf>
    <xf numFmtId="0" fontId="20" fillId="2" borderId="73" xfId="1" applyFont="1" applyBorder="1" applyAlignment="1">
      <alignment horizontal="right"/>
    </xf>
    <xf numFmtId="171" fontId="23" fillId="11" borderId="73" xfId="1" applyNumberFormat="1" applyFont="1" applyFill="1" applyBorder="1" applyAlignment="1">
      <alignment horizontal="center"/>
    </xf>
    <xf numFmtId="2" fontId="29" fillId="2" borderId="0" xfId="2" applyNumberFormat="1" applyFont="1" applyBorder="1" applyAlignment="1">
      <alignment horizontal="center"/>
    </xf>
    <xf numFmtId="0" fontId="20" fillId="2" borderId="75" xfId="1" applyFont="1" applyBorder="1" applyAlignment="1">
      <alignment horizontal="right"/>
    </xf>
    <xf numFmtId="10" fontId="23" fillId="10" borderId="75" xfId="1" applyNumberFormat="1" applyFont="1" applyFill="1" applyBorder="1" applyAlignment="1">
      <alignment horizontal="center"/>
    </xf>
    <xf numFmtId="0" fontId="20" fillId="2" borderId="76" xfId="1" applyFont="1" applyBorder="1" applyAlignment="1">
      <alignment horizontal="right"/>
    </xf>
    <xf numFmtId="0" fontId="23" fillId="11" borderId="76" xfId="1" applyFont="1" applyFill="1" applyBorder="1" applyAlignment="1">
      <alignment horizontal="center"/>
    </xf>
    <xf numFmtId="0" fontId="23" fillId="2" borderId="53" xfId="1" applyFont="1" applyFill="1" applyBorder="1" applyAlignment="1">
      <alignment horizontal="center"/>
    </xf>
    <xf numFmtId="0" fontId="23" fillId="2" borderId="83" xfId="1" applyFont="1" applyFill="1" applyBorder="1" applyAlignment="1">
      <alignment horizontal="center"/>
    </xf>
    <xf numFmtId="0" fontId="23" fillId="2" borderId="85" xfId="1" applyFont="1" applyFill="1" applyBorder="1"/>
    <xf numFmtId="0" fontId="23" fillId="2" borderId="58" xfId="1" applyFont="1" applyFill="1" applyBorder="1" applyAlignment="1">
      <alignment horizontal="center" wrapText="1"/>
    </xf>
    <xf numFmtId="171" fontId="24" fillId="9" borderId="65" xfId="1" applyNumberFormat="1" applyFont="1" applyFill="1" applyBorder="1" applyAlignment="1" applyProtection="1">
      <alignment horizontal="center"/>
      <protection locked="0"/>
    </xf>
    <xf numFmtId="2" fontId="20" fillId="2" borderId="60" xfId="1" applyNumberFormat="1" applyFont="1" applyBorder="1" applyAlignment="1">
      <alignment horizontal="center"/>
    </xf>
    <xf numFmtId="10" fontId="20" fillId="2" borderId="61" xfId="1" applyNumberFormat="1" applyFont="1" applyBorder="1" applyAlignment="1" applyProtection="1">
      <alignment horizontal="center"/>
    </xf>
    <xf numFmtId="2" fontId="20" fillId="2" borderId="65" xfId="1" applyNumberFormat="1" applyFont="1" applyBorder="1" applyAlignment="1">
      <alignment horizontal="center"/>
    </xf>
    <xf numFmtId="10" fontId="20" fillId="2" borderId="57" xfId="1" applyNumberFormat="1" applyFont="1" applyBorder="1" applyAlignment="1" applyProtection="1">
      <alignment horizontal="center"/>
    </xf>
    <xf numFmtId="0" fontId="20" fillId="2" borderId="67" xfId="1" applyFont="1" applyFill="1" applyBorder="1" applyAlignment="1">
      <alignment horizontal="center"/>
    </xf>
    <xf numFmtId="171" fontId="24" fillId="9" borderId="68" xfId="1" applyNumberFormat="1" applyFont="1" applyFill="1" applyBorder="1" applyAlignment="1" applyProtection="1">
      <alignment horizontal="center"/>
      <protection locked="0"/>
    </xf>
    <xf numFmtId="2" fontId="20" fillId="2" borderId="68" xfId="1" applyNumberFormat="1" applyFont="1" applyBorder="1" applyAlignment="1">
      <alignment horizontal="center"/>
    </xf>
    <xf numFmtId="10" fontId="20" fillId="2" borderId="69" xfId="1" applyNumberFormat="1" applyFont="1" applyBorder="1" applyAlignment="1" applyProtection="1">
      <alignment horizontal="center"/>
    </xf>
    <xf numFmtId="0" fontId="20" fillId="2" borderId="0" xfId="1" applyFont="1" applyBorder="1" applyAlignment="1">
      <alignment horizontal="center"/>
    </xf>
    <xf numFmtId="171" fontId="23" fillId="2" borderId="0" xfId="1" applyNumberFormat="1" applyFont="1" applyFill="1" applyBorder="1" applyAlignment="1">
      <alignment horizontal="center"/>
    </xf>
    <xf numFmtId="171" fontId="20" fillId="2" borderId="92" xfId="1" quotePrefix="1" applyNumberFormat="1" applyFont="1" applyBorder="1" applyAlignment="1">
      <alignment horizontal="right"/>
    </xf>
    <xf numFmtId="10" fontId="24" fillId="11" borderId="90" xfId="1" applyNumberFormat="1" applyFont="1" applyFill="1" applyBorder="1" applyAlignment="1">
      <alignment horizontal="center"/>
    </xf>
    <xf numFmtId="0" fontId="20" fillId="2" borderId="64" xfId="1" applyFont="1" applyFill="1" applyBorder="1" applyAlignment="1" applyProtection="1">
      <alignment horizontal="center"/>
    </xf>
    <xf numFmtId="0" fontId="20" fillId="2" borderId="56" xfId="1" applyFont="1" applyBorder="1"/>
    <xf numFmtId="0" fontId="20" fillId="2" borderId="101" xfId="1" applyFont="1" applyBorder="1"/>
    <xf numFmtId="0" fontId="20" fillId="2" borderId="77" xfId="1" applyFont="1" applyBorder="1"/>
    <xf numFmtId="0" fontId="20" fillId="2" borderId="102" xfId="1" applyFont="1" applyBorder="1" applyAlignment="1">
      <alignment horizontal="center"/>
    </xf>
    <xf numFmtId="0" fontId="20" fillId="2" borderId="103" xfId="1" applyFont="1" applyBorder="1" applyAlignment="1">
      <alignment horizontal="right"/>
    </xf>
    <xf numFmtId="0" fontId="24" fillId="11" borderId="76" xfId="1" applyFont="1" applyFill="1" applyBorder="1" applyAlignment="1">
      <alignment horizontal="center"/>
    </xf>
    <xf numFmtId="0" fontId="21" fillId="2" borderId="89" xfId="1" applyFont="1" applyFill="1" applyBorder="1" applyAlignment="1">
      <alignment horizontal="left" vertical="center" wrapText="1"/>
    </xf>
    <xf numFmtId="0" fontId="20" fillId="2" borderId="89" xfId="1" applyFont="1" applyBorder="1"/>
    <xf numFmtId="0" fontId="23" fillId="2" borderId="84" xfId="1" applyFont="1" applyBorder="1" applyAlignment="1">
      <alignment horizontal="center"/>
    </xf>
    <xf numFmtId="0" fontId="20" fillId="2" borderId="84" xfId="1" applyFont="1" applyBorder="1" applyAlignment="1">
      <alignment horizontal="center"/>
    </xf>
    <xf numFmtId="0" fontId="23" fillId="2" borderId="0" xfId="1" applyFont="1" applyBorder="1" applyAlignment="1">
      <alignment horizontal="right"/>
    </xf>
    <xf numFmtId="0" fontId="20" fillId="2" borderId="97" xfId="1" quotePrefix="1" applyFont="1" applyBorder="1" applyAlignment="1"/>
    <xf numFmtId="0" fontId="20" fillId="2" borderId="97" xfId="1" applyFont="1" applyBorder="1" applyAlignment="1"/>
    <xf numFmtId="0" fontId="23" fillId="2" borderId="74" xfId="1" applyFont="1" applyBorder="1" applyAlignment="1"/>
    <xf numFmtId="0" fontId="20" fillId="2" borderId="74" xfId="1" applyFont="1" applyBorder="1" applyAlignment="1"/>
    <xf numFmtId="0" fontId="3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9" fontId="2" fillId="2" borderId="31" xfId="0" applyNumberFormat="1" applyFont="1" applyFill="1" applyBorder="1" applyAlignment="1">
      <alignment horizontal="center" vertical="center"/>
    </xf>
    <xf numFmtId="169" fontId="2" fillId="2" borderId="32" xfId="0" applyNumberFormat="1" applyFont="1" applyFill="1" applyBorder="1" applyAlignment="1">
      <alignment horizontal="center" vertical="center"/>
    </xf>
    <xf numFmtId="0" fontId="21" fillId="2" borderId="51" xfId="1" applyFont="1" applyFill="1" applyBorder="1" applyAlignment="1">
      <alignment horizontal="left" vertical="center" wrapText="1"/>
    </xf>
    <xf numFmtId="0" fontId="21" fillId="2" borderId="84" xfId="1" applyFont="1" applyFill="1" applyBorder="1" applyAlignment="1">
      <alignment horizontal="left" vertical="center" wrapText="1"/>
    </xf>
    <xf numFmtId="0" fontId="21" fillId="2" borderId="77" xfId="1" applyFont="1" applyFill="1" applyBorder="1" applyAlignment="1">
      <alignment horizontal="left" vertical="center" wrapText="1"/>
    </xf>
    <xf numFmtId="0" fontId="21" fillId="2" borderId="89" xfId="1" applyFont="1" applyFill="1" applyBorder="1" applyAlignment="1">
      <alignment horizontal="left" vertical="center" wrapText="1"/>
    </xf>
    <xf numFmtId="0" fontId="21" fillId="2" borderId="48" xfId="1" applyFont="1" applyBorder="1" applyAlignment="1">
      <alignment horizontal="center"/>
    </xf>
    <xf numFmtId="0" fontId="21" fillId="2" borderId="49" xfId="1" applyFont="1" applyBorder="1" applyAlignment="1">
      <alignment horizontal="center"/>
    </xf>
    <xf numFmtId="0" fontId="21" fillId="2" borderId="50" xfId="1" applyFont="1" applyBorder="1" applyAlignment="1">
      <alignment horizontal="center"/>
    </xf>
    <xf numFmtId="0" fontId="24" fillId="9" borderId="0" xfId="1" applyFont="1" applyFill="1" applyAlignment="1" applyProtection="1">
      <alignment horizontal="left"/>
      <protection locked="0"/>
    </xf>
    <xf numFmtId="0" fontId="25" fillId="9" borderId="0" xfId="1" applyFont="1" applyFill="1" applyAlignment="1" applyProtection="1">
      <alignment horizontal="left"/>
      <protection locked="0"/>
    </xf>
    <xf numFmtId="0" fontId="21" fillId="2" borderId="48" xfId="1" applyFont="1" applyFill="1" applyBorder="1" applyAlignment="1">
      <alignment horizontal="left" vertical="center" wrapText="1"/>
    </xf>
    <xf numFmtId="0" fontId="21" fillId="2" borderId="49" xfId="1" applyFont="1" applyFill="1" applyBorder="1" applyAlignment="1">
      <alignment horizontal="left" vertical="center" wrapText="1"/>
    </xf>
    <xf numFmtId="0" fontId="21" fillId="2" borderId="50" xfId="1" applyFont="1" applyFill="1" applyBorder="1" applyAlignment="1">
      <alignment horizontal="left" vertical="center" wrapText="1"/>
    </xf>
    <xf numFmtId="0" fontId="23" fillId="2" borderId="53" xfId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23" fillId="2" borderId="55" xfId="1" applyFont="1" applyBorder="1" applyAlignment="1">
      <alignment horizontal="center"/>
    </xf>
    <xf numFmtId="0" fontId="21" fillId="2" borderId="58" xfId="1" applyFont="1" applyFill="1" applyBorder="1" applyAlignment="1">
      <alignment horizontal="left" vertical="center" wrapText="1"/>
    </xf>
    <xf numFmtId="0" fontId="21" fillId="2" borderId="78" xfId="1" applyFont="1" applyFill="1" applyBorder="1" applyAlignment="1">
      <alignment horizontal="left" vertical="center" wrapText="1"/>
    </xf>
    <xf numFmtId="0" fontId="23" fillId="2" borderId="84" xfId="1" applyFont="1" applyBorder="1" applyAlignment="1">
      <alignment horizontal="center"/>
    </xf>
    <xf numFmtId="0" fontId="23" fillId="2" borderId="0" xfId="1" quotePrefix="1" applyFont="1" applyBorder="1" applyAlignment="1">
      <alignment horizontal="center"/>
    </xf>
    <xf numFmtId="0" fontId="23" fillId="2" borderId="92" xfId="1" applyFont="1" applyBorder="1" applyAlignment="1">
      <alignment horizontal="center"/>
    </xf>
    <xf numFmtId="0" fontId="23" fillId="2" borderId="93" xfId="1" applyFont="1" applyBorder="1" applyAlignment="1">
      <alignment horizontal="center"/>
    </xf>
    <xf numFmtId="0" fontId="21" fillId="2" borderId="48" xfId="1" applyFont="1" applyFill="1" applyBorder="1" applyAlignment="1">
      <alignment horizontal="justify" vertical="center" wrapText="1"/>
    </xf>
    <xf numFmtId="0" fontId="21" fillId="2" borderId="49" xfId="1" applyFont="1" applyFill="1" applyBorder="1" applyAlignment="1">
      <alignment horizontal="justify" vertical="center" wrapText="1"/>
    </xf>
    <xf numFmtId="0" fontId="21" fillId="2" borderId="50" xfId="1" applyFont="1" applyFill="1" applyBorder="1" applyAlignment="1">
      <alignment horizontal="justify" vertical="center" wrapText="1"/>
    </xf>
    <xf numFmtId="0" fontId="18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44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8" zoomScale="60" zoomScaleNormal="100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01" t="s">
        <v>0</v>
      </c>
      <c r="B15" s="601"/>
      <c r="C15" s="601"/>
      <c r="D15" s="601"/>
      <c r="E15" s="60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600">
        <f>artesunate!D43</f>
        <v>23.2</v>
      </c>
      <c r="C20" s="10"/>
      <c r="D20" s="10"/>
      <c r="E20" s="10"/>
    </row>
    <row r="21" spans="1:6" ht="16.5" customHeight="1" x14ac:dyDescent="0.3">
      <c r="A21" s="7" t="s">
        <v>10</v>
      </c>
      <c r="B21" s="13">
        <f>SST!B20/5</f>
        <v>4.6399999999999997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6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6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6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6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6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6" ht="16.5" customHeight="1" x14ac:dyDescent="0.3">
      <c r="A30" s="23" t="s">
        <v>18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6" ht="16.5" customHeight="1" x14ac:dyDescent="0.3">
      <c r="A31" s="27" t="s">
        <v>19</v>
      </c>
      <c r="B31" s="28">
        <f>(STDEV(B24:B29)/B30)</f>
        <v>1.6990046680863192E-3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02" t="s">
        <v>26</v>
      </c>
      <c r="C59" s="60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21" zoomScale="60" zoomScaleNormal="100" workbookViewId="0">
      <selection activeCell="B50" sqref="B50:C5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605" t="s">
        <v>31</v>
      </c>
      <c r="B8" s="605"/>
      <c r="C8" s="605"/>
      <c r="D8" s="605"/>
      <c r="E8" s="605"/>
      <c r="F8" s="605"/>
      <c r="G8" s="605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606" t="s">
        <v>32</v>
      </c>
      <c r="B10" s="606"/>
      <c r="C10" s="606"/>
      <c r="D10" s="606"/>
      <c r="E10" s="606"/>
      <c r="F10" s="606"/>
      <c r="G10" s="606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603" t="s">
        <v>33</v>
      </c>
      <c r="B11" s="603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603" t="s">
        <v>34</v>
      </c>
      <c r="B12" s="603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603" t="s">
        <v>35</v>
      </c>
      <c r="B13" s="603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603" t="s">
        <v>36</v>
      </c>
      <c r="B14" s="603"/>
      <c r="C14" s="604" t="s">
        <v>11</v>
      </c>
      <c r="D14" s="604"/>
      <c r="E14" s="604"/>
      <c r="F14" s="604"/>
      <c r="G14" s="604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603" t="s">
        <v>37</v>
      </c>
      <c r="B15" s="603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603" t="s">
        <v>38</v>
      </c>
      <c r="B16" s="603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607" t="s">
        <v>1</v>
      </c>
      <c r="B18" s="60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10481.290000000001</v>
      </c>
      <c r="C21" s="83">
        <v>10413.27</v>
      </c>
      <c r="D21" s="84">
        <f t="shared" ref="D21:D40" si="0">B21-C21</f>
        <v>68.020000000000437</v>
      </c>
      <c r="E21" s="85">
        <f t="shared" ref="E21:E40" si="1">(D21-$D$43)/$D$43</f>
        <v>2.5203395093675449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10612.85</v>
      </c>
      <c r="C22" s="88">
        <v>10547.65</v>
      </c>
      <c r="D22" s="89">
        <f t="shared" si="0"/>
        <v>65.200000000000728</v>
      </c>
      <c r="E22" s="85">
        <f t="shared" si="1"/>
        <v>2.3743918848980448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10309.280000000001</v>
      </c>
      <c r="C23" s="88">
        <v>10250.469999999999</v>
      </c>
      <c r="D23" s="89">
        <f t="shared" si="0"/>
        <v>58.81000000000131</v>
      </c>
      <c r="E23" s="85">
        <f t="shared" si="1"/>
        <v>2.0436807783873654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10683.6</v>
      </c>
      <c r="C24" s="88">
        <v>10619.64</v>
      </c>
      <c r="D24" s="89">
        <f t="shared" si="0"/>
        <v>63.960000000000946</v>
      </c>
      <c r="E24" s="85">
        <f t="shared" si="1"/>
        <v>2.3102163337128792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10451.49</v>
      </c>
      <c r="C25" s="88">
        <v>10384.65</v>
      </c>
      <c r="D25" s="89">
        <f t="shared" si="0"/>
        <v>66.840000000000146</v>
      </c>
      <c r="E25" s="85">
        <f t="shared" si="1"/>
        <v>2.4592692267880873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10430.08</v>
      </c>
      <c r="C26" s="88">
        <v>10366.469999999999</v>
      </c>
      <c r="D26" s="89">
        <f t="shared" si="0"/>
        <v>63.610000000000582</v>
      </c>
      <c r="E26" s="85">
        <f t="shared" si="1"/>
        <v>2.2921022668460767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/>
      <c r="C27" s="88"/>
      <c r="D27" s="89">
        <f t="shared" si="0"/>
        <v>0</v>
      </c>
      <c r="E27" s="85">
        <f t="shared" si="1"/>
        <v>-1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/>
      <c r="C28" s="88"/>
      <c r="D28" s="89">
        <f t="shared" si="0"/>
        <v>0</v>
      </c>
      <c r="E28" s="85">
        <f t="shared" si="1"/>
        <v>-1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/>
      <c r="C29" s="88"/>
      <c r="D29" s="89">
        <f t="shared" si="0"/>
        <v>0</v>
      </c>
      <c r="E29" s="85">
        <f t="shared" si="1"/>
        <v>-1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/>
      <c r="C30" s="88"/>
      <c r="D30" s="89">
        <f t="shared" si="0"/>
        <v>0</v>
      </c>
      <c r="E30" s="85">
        <f t="shared" si="1"/>
        <v>-1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/>
      <c r="C31" s="88"/>
      <c r="D31" s="89">
        <f t="shared" si="0"/>
        <v>0</v>
      </c>
      <c r="E31" s="85">
        <f t="shared" si="1"/>
        <v>-1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/>
      <c r="C32" s="88"/>
      <c r="D32" s="89">
        <f t="shared" si="0"/>
        <v>0</v>
      </c>
      <c r="E32" s="85">
        <f t="shared" si="1"/>
        <v>-1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/>
      <c r="C33" s="88"/>
      <c r="D33" s="89">
        <f t="shared" si="0"/>
        <v>0</v>
      </c>
      <c r="E33" s="85">
        <f t="shared" si="1"/>
        <v>-1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/>
      <c r="C34" s="88"/>
      <c r="D34" s="89">
        <f t="shared" si="0"/>
        <v>0</v>
      </c>
      <c r="E34" s="85">
        <f t="shared" si="1"/>
        <v>-1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/>
      <c r="C35" s="88"/>
      <c r="D35" s="89">
        <f t="shared" si="0"/>
        <v>0</v>
      </c>
      <c r="E35" s="85">
        <f t="shared" si="1"/>
        <v>-1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/>
      <c r="C36" s="88"/>
      <c r="D36" s="89">
        <f t="shared" si="0"/>
        <v>0</v>
      </c>
      <c r="E36" s="85">
        <f t="shared" si="1"/>
        <v>-1</v>
      </c>
      <c r="G36" s="66"/>
      <c r="H36" s="66"/>
    </row>
    <row r="37" spans="1:15" ht="15" x14ac:dyDescent="0.3">
      <c r="A37" s="86">
        <v>17</v>
      </c>
      <c r="B37" s="90"/>
      <c r="C37" s="88"/>
      <c r="D37" s="89">
        <f t="shared" si="0"/>
        <v>0</v>
      </c>
      <c r="E37" s="85">
        <f t="shared" si="1"/>
        <v>-1</v>
      </c>
    </row>
    <row r="38" spans="1:15" ht="15" x14ac:dyDescent="0.3">
      <c r="A38" s="86">
        <v>18</v>
      </c>
      <c r="B38" s="90"/>
      <c r="C38" s="88"/>
      <c r="D38" s="89">
        <f t="shared" si="0"/>
        <v>0</v>
      </c>
      <c r="E38" s="85">
        <f t="shared" si="1"/>
        <v>-1</v>
      </c>
    </row>
    <row r="39" spans="1:15" ht="15" x14ac:dyDescent="0.3">
      <c r="A39" s="86">
        <v>19</v>
      </c>
      <c r="B39" s="90"/>
      <c r="C39" s="88"/>
      <c r="D39" s="89">
        <f t="shared" si="0"/>
        <v>0</v>
      </c>
      <c r="E39" s="85">
        <f t="shared" si="1"/>
        <v>-1</v>
      </c>
    </row>
    <row r="40" spans="1:15" ht="14.25" customHeight="1" x14ac:dyDescent="0.3">
      <c r="A40" s="91">
        <v>20</v>
      </c>
      <c r="B40" s="92"/>
      <c r="C40" s="93"/>
      <c r="D40" s="94">
        <f t="shared" si="0"/>
        <v>0</v>
      </c>
      <c r="E40" s="95">
        <f t="shared" si="1"/>
        <v>-1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62968.59</v>
      </c>
      <c r="C42" s="98">
        <f>SUM(C21:C40)</f>
        <v>62582.15</v>
      </c>
      <c r="D42" s="99">
        <f>SUM(D21:D40)</f>
        <v>386.44000000000415</v>
      </c>
    </row>
    <row r="43" spans="1:15" ht="15.75" customHeight="1" x14ac:dyDescent="0.3">
      <c r="A43" s="100" t="s">
        <v>47</v>
      </c>
      <c r="B43" s="101">
        <f>AVERAGE(B21:B40)</f>
        <v>10494.764999999999</v>
      </c>
      <c r="C43" s="102">
        <f>AVERAGE(C21:C40)</f>
        <v>10430.358333333334</v>
      </c>
      <c r="D43" s="103">
        <f>AVERAGE(D21:D40)</f>
        <v>19.322000000000209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608">
        <f>D43</f>
        <v>19.322000000000209</v>
      </c>
      <c r="C47" s="107">
        <f>-(IF(D43&gt;300, 7.5%, 10%))</f>
        <v>-0.1</v>
      </c>
      <c r="D47" s="108">
        <f>IF(D43&lt;300, D43*0.9, D43*0.925)</f>
        <v>17.389800000000189</v>
      </c>
    </row>
    <row r="48" spans="1:15" ht="15.75" customHeight="1" x14ac:dyDescent="0.3">
      <c r="B48" s="609"/>
      <c r="C48" s="109">
        <f>+(IF(D43&gt;300, 7.5%, 10%))</f>
        <v>0.1</v>
      </c>
      <c r="D48" s="108">
        <f>IF(D43&lt;300, D43*1.1, D43*1.075)</f>
        <v>21.254200000000232</v>
      </c>
    </row>
    <row r="49" spans="1:7" ht="14.25" customHeight="1" x14ac:dyDescent="0.3">
      <c r="A49" s="110"/>
      <c r="C49" s="22">
        <f>D42/6</f>
        <v>64.406666666667363</v>
      </c>
      <c r="D49" s="111"/>
    </row>
    <row r="50" spans="1:7" ht="15" customHeight="1" x14ac:dyDescent="0.3">
      <c r="B50" s="602" t="s">
        <v>26</v>
      </c>
      <c r="C50" s="602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36" priority="1" operator="notBetween">
      <formula>IF(+$D$43&lt;300, -10.5%, -7.5%)</formula>
      <formula>IF(+$D$43&lt;300, 10.5%, 7.5%)</formula>
    </cfRule>
  </conditionalFormatting>
  <conditionalFormatting sqref="E22">
    <cfRule type="cellIs" dxfId="35" priority="2" operator="notBetween">
      <formula>IF(+$D$43&lt;300, -10.5%, -7.5%)</formula>
      <formula>IF(+$D$43&lt;300, 10.5%, 7.5%)</formula>
    </cfRule>
  </conditionalFormatting>
  <conditionalFormatting sqref="E23">
    <cfRule type="cellIs" dxfId="34" priority="3" operator="notBetween">
      <formula>IF(+$D$43&lt;300, -10.5%, -7.5%)</formula>
      <formula>IF(+$D$43&lt;300, 10.5%, 7.5%)</formula>
    </cfRule>
  </conditionalFormatting>
  <conditionalFormatting sqref="E24">
    <cfRule type="cellIs" dxfId="33" priority="4" operator="notBetween">
      <formula>IF(+$D$43&lt;300, -10.5%, -7.5%)</formula>
      <formula>IF(+$D$43&lt;300, 10.5%, 7.5%)</formula>
    </cfRule>
  </conditionalFormatting>
  <conditionalFormatting sqref="E25">
    <cfRule type="cellIs" dxfId="32" priority="5" operator="notBetween">
      <formula>IF(+$D$43&lt;300, -10.5%, -7.5%)</formula>
      <formula>IF(+$D$43&lt;300, 10.5%, 7.5%)</formula>
    </cfRule>
  </conditionalFormatting>
  <conditionalFormatting sqref="E26">
    <cfRule type="cellIs" dxfId="31" priority="6" operator="notBetween">
      <formula>IF(+$D$43&lt;300, -10.5%, -7.5%)</formula>
      <formula>IF(+$D$43&lt;300, 10.5%, 7.5%)</formula>
    </cfRule>
  </conditionalFormatting>
  <conditionalFormatting sqref="E27">
    <cfRule type="cellIs" dxfId="30" priority="7" operator="notBetween">
      <formula>IF(+$D$43&lt;300, -10.5%, -7.5%)</formula>
      <formula>IF(+$D$43&lt;300, 10.5%, 7.5%)</formula>
    </cfRule>
  </conditionalFormatting>
  <conditionalFormatting sqref="E28">
    <cfRule type="cellIs" dxfId="29" priority="8" operator="notBetween">
      <formula>IF(+$D$43&lt;300, -10.5%, -7.5%)</formula>
      <formula>IF(+$D$43&lt;300, 10.5%, 7.5%)</formula>
    </cfRule>
  </conditionalFormatting>
  <conditionalFormatting sqref="E29">
    <cfRule type="cellIs" dxfId="28" priority="9" operator="notBetween">
      <formula>IF(+$D$43&lt;300, -10.5%, -7.5%)</formula>
      <formula>IF(+$D$43&lt;300, 10.5%, 7.5%)</formula>
    </cfRule>
  </conditionalFormatting>
  <conditionalFormatting sqref="E30">
    <cfRule type="cellIs" dxfId="27" priority="10" operator="notBetween">
      <formula>IF(+$D$43&lt;300, -10.5%, -7.5%)</formula>
      <formula>IF(+$D$43&lt;300, 10.5%, 7.5%)</formula>
    </cfRule>
  </conditionalFormatting>
  <conditionalFormatting sqref="E31">
    <cfRule type="cellIs" dxfId="26" priority="11" operator="notBetween">
      <formula>IF(+$D$43&lt;300, -10.5%, -7.5%)</formula>
      <formula>IF(+$D$43&lt;300, 10.5%, 7.5%)</formula>
    </cfRule>
  </conditionalFormatting>
  <conditionalFormatting sqref="E32">
    <cfRule type="cellIs" dxfId="25" priority="12" operator="notBetween">
      <formula>IF(+$D$43&lt;300, -10.5%, -7.5%)</formula>
      <formula>IF(+$D$43&lt;300, 10.5%, 7.5%)</formula>
    </cfRule>
  </conditionalFormatting>
  <conditionalFormatting sqref="E33">
    <cfRule type="cellIs" dxfId="24" priority="13" operator="notBetween">
      <formula>IF(+$D$43&lt;300, -10.5%, -7.5%)</formula>
      <formula>IF(+$D$43&lt;300, 10.5%, 7.5%)</formula>
    </cfRule>
  </conditionalFormatting>
  <conditionalFormatting sqref="E34">
    <cfRule type="cellIs" dxfId="23" priority="14" operator="notBetween">
      <formula>IF(+$D$43&lt;300, -10.5%, -7.5%)</formula>
      <formula>IF(+$D$43&lt;300, 10.5%, 7.5%)</formula>
    </cfRule>
  </conditionalFormatting>
  <conditionalFormatting sqref="E35">
    <cfRule type="cellIs" dxfId="22" priority="15" operator="notBetween">
      <formula>IF(+$D$43&lt;300, -10.5%, -7.5%)</formula>
      <formula>IF(+$D$43&lt;300, 10.5%, 7.5%)</formula>
    </cfRule>
  </conditionalFormatting>
  <conditionalFormatting sqref="E36">
    <cfRule type="cellIs" dxfId="21" priority="16" operator="notBetween">
      <formula>IF(+$D$43&lt;300, -10.5%, -7.5%)</formula>
      <formula>IF(+$D$43&lt;300, 10.5%, 7.5%)</formula>
    </cfRule>
  </conditionalFormatting>
  <conditionalFormatting sqref="E37">
    <cfRule type="cellIs" dxfId="20" priority="17" operator="notBetween">
      <formula>IF(+$D$43&lt;300, -10.5%, -7.5%)</formula>
      <formula>IF(+$D$43&lt;300, 10.5%, 7.5%)</formula>
    </cfRule>
  </conditionalFormatting>
  <conditionalFormatting sqref="E38">
    <cfRule type="cellIs" dxfId="19" priority="18" operator="notBetween">
      <formula>IF(+$D$43&lt;300, -10.5%, -7.5%)</formula>
      <formula>IF(+$D$43&lt;300, 10.5%, 7.5%)</formula>
    </cfRule>
  </conditionalFormatting>
  <conditionalFormatting sqref="E39">
    <cfRule type="cellIs" dxfId="18" priority="19" operator="notBetween">
      <formula>IF(+$D$43&lt;300, -10.5%, -7.5%)</formula>
      <formula>IF(+$D$43&lt;300, 10.5%, 7.5%)</formula>
    </cfRule>
  </conditionalFormatting>
  <conditionalFormatting sqref="E40">
    <cfRule type="cellIs" dxfId="17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1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view="pageBreakPreview" topLeftCell="A43" zoomScale="60" zoomScaleNormal="69" workbookViewId="0">
      <selection activeCell="E80" sqref="E80"/>
    </sheetView>
  </sheetViews>
  <sheetFormatPr defaultRowHeight="15" x14ac:dyDescent="0.25"/>
  <cols>
    <col min="1" max="1" width="54.85546875" style="411" customWidth="1"/>
    <col min="2" max="2" width="39.42578125" style="411" customWidth="1"/>
    <col min="3" max="3" width="42.5703125" style="411" customWidth="1"/>
    <col min="4" max="4" width="21" style="411" customWidth="1"/>
    <col min="5" max="5" width="28.28515625" style="411" customWidth="1"/>
    <col min="6" max="6" width="20.28515625" style="411" customWidth="1"/>
    <col min="7" max="7" width="29.42578125" style="411" customWidth="1"/>
    <col min="8" max="16384" width="9.140625" style="411"/>
  </cols>
  <sheetData>
    <row r="1" spans="1:8" ht="18.75" x14ac:dyDescent="0.3">
      <c r="A1" s="410"/>
      <c r="B1" s="410"/>
      <c r="C1" s="410"/>
      <c r="D1" s="410"/>
      <c r="E1" s="410"/>
      <c r="F1" s="410"/>
      <c r="G1" s="410"/>
      <c r="H1" s="410"/>
    </row>
    <row r="2" spans="1:8" ht="18.75" x14ac:dyDescent="0.3">
      <c r="A2" s="410"/>
      <c r="B2" s="410"/>
      <c r="C2" s="410"/>
      <c r="D2" s="410"/>
      <c r="E2" s="410"/>
      <c r="F2" s="410"/>
      <c r="G2" s="410"/>
      <c r="H2" s="410"/>
    </row>
    <row r="3" spans="1:8" ht="18.75" x14ac:dyDescent="0.3">
      <c r="A3" s="410"/>
      <c r="B3" s="410"/>
      <c r="C3" s="410"/>
      <c r="D3" s="410"/>
      <c r="E3" s="410"/>
      <c r="F3" s="410"/>
      <c r="G3" s="410"/>
      <c r="H3" s="410"/>
    </row>
    <row r="4" spans="1:8" ht="18.75" x14ac:dyDescent="0.3">
      <c r="A4" s="410"/>
      <c r="B4" s="410"/>
      <c r="C4" s="410"/>
      <c r="D4" s="410"/>
      <c r="E4" s="410"/>
      <c r="F4" s="410"/>
      <c r="G4" s="410"/>
      <c r="H4" s="410"/>
    </row>
    <row r="5" spans="1:8" ht="18.75" x14ac:dyDescent="0.3">
      <c r="A5" s="410"/>
      <c r="B5" s="410"/>
      <c r="C5" s="410"/>
      <c r="D5" s="410"/>
      <c r="E5" s="410"/>
      <c r="F5" s="410"/>
      <c r="G5" s="410"/>
      <c r="H5" s="410"/>
    </row>
    <row r="6" spans="1:8" ht="18.75" x14ac:dyDescent="0.3">
      <c r="A6" s="410"/>
      <c r="B6" s="410"/>
      <c r="C6" s="410"/>
      <c r="D6" s="410"/>
      <c r="E6" s="410"/>
      <c r="F6" s="410"/>
      <c r="G6" s="410"/>
      <c r="H6" s="410"/>
    </row>
    <row r="7" spans="1:8" ht="18.75" x14ac:dyDescent="0.3">
      <c r="A7" s="410"/>
      <c r="B7" s="410"/>
      <c r="C7" s="410"/>
      <c r="D7" s="410"/>
      <c r="E7" s="410"/>
      <c r="F7" s="410"/>
      <c r="G7" s="410"/>
      <c r="H7" s="410"/>
    </row>
    <row r="8" spans="1:8" ht="18.75" x14ac:dyDescent="0.3">
      <c r="A8" s="410"/>
      <c r="B8" s="410"/>
      <c r="C8" s="410"/>
      <c r="D8" s="410"/>
      <c r="E8" s="410"/>
      <c r="F8" s="410"/>
      <c r="G8" s="410"/>
      <c r="H8" s="410"/>
    </row>
    <row r="9" spans="1:8" ht="18.75" x14ac:dyDescent="0.3">
      <c r="A9" s="410"/>
      <c r="B9" s="410"/>
      <c r="C9" s="410"/>
      <c r="D9" s="410"/>
      <c r="E9" s="410"/>
      <c r="F9" s="410"/>
      <c r="G9" s="410"/>
      <c r="H9" s="410"/>
    </row>
    <row r="10" spans="1:8" ht="18.75" x14ac:dyDescent="0.3">
      <c r="A10" s="410"/>
      <c r="B10" s="410"/>
      <c r="C10" s="410"/>
      <c r="D10" s="410"/>
      <c r="E10" s="410"/>
      <c r="F10" s="410"/>
      <c r="G10" s="410"/>
      <c r="H10" s="410"/>
    </row>
    <row r="11" spans="1:8" ht="18.75" x14ac:dyDescent="0.3">
      <c r="A11" s="410"/>
      <c r="B11" s="410"/>
      <c r="C11" s="410"/>
      <c r="D11" s="410"/>
      <c r="E11" s="410"/>
      <c r="F11" s="410"/>
      <c r="G11" s="410"/>
      <c r="H11" s="410"/>
    </row>
    <row r="12" spans="1:8" ht="18.75" x14ac:dyDescent="0.3">
      <c r="A12" s="410"/>
      <c r="B12" s="410"/>
      <c r="C12" s="410"/>
      <c r="D12" s="410"/>
      <c r="E12" s="410"/>
      <c r="F12" s="410"/>
      <c r="G12" s="410"/>
      <c r="H12" s="410"/>
    </row>
    <row r="13" spans="1:8" ht="18.75" x14ac:dyDescent="0.3">
      <c r="A13" s="410"/>
      <c r="B13" s="410"/>
      <c r="C13" s="410"/>
      <c r="D13" s="410"/>
      <c r="E13" s="410"/>
      <c r="F13" s="410"/>
      <c r="G13" s="410"/>
      <c r="H13" s="410"/>
    </row>
    <row r="14" spans="1:8" ht="18.75" x14ac:dyDescent="0.3">
      <c r="A14" s="410"/>
      <c r="B14" s="410"/>
      <c r="C14" s="410"/>
      <c r="D14" s="410"/>
      <c r="E14" s="410"/>
      <c r="F14" s="410"/>
      <c r="G14" s="410"/>
      <c r="H14" s="410"/>
    </row>
    <row r="15" spans="1:8" ht="19.5" thickBot="1" x14ac:dyDescent="0.35">
      <c r="A15" s="410"/>
      <c r="B15" s="410"/>
      <c r="C15" s="410"/>
      <c r="D15" s="410"/>
      <c r="E15" s="410"/>
      <c r="F15" s="410"/>
      <c r="G15" s="410"/>
      <c r="H15" s="410"/>
    </row>
    <row r="16" spans="1:8" ht="19.5" thickBot="1" x14ac:dyDescent="0.35">
      <c r="A16" s="614" t="s">
        <v>31</v>
      </c>
      <c r="B16" s="615"/>
      <c r="C16" s="615"/>
      <c r="D16" s="615"/>
      <c r="E16" s="615"/>
      <c r="F16" s="615"/>
      <c r="G16" s="615"/>
      <c r="H16" s="616"/>
    </row>
    <row r="17" spans="1:8" ht="18.75" x14ac:dyDescent="0.3">
      <c r="A17" s="412" t="s">
        <v>50</v>
      </c>
      <c r="B17" s="412"/>
      <c r="C17" s="410"/>
      <c r="D17" s="410"/>
      <c r="E17" s="410"/>
      <c r="F17" s="410"/>
      <c r="G17" s="410"/>
      <c r="H17" s="410"/>
    </row>
    <row r="18" spans="1:8" ht="26.25" x14ac:dyDescent="0.4">
      <c r="A18" s="413" t="s">
        <v>33</v>
      </c>
      <c r="B18" s="617" t="s">
        <v>159</v>
      </c>
      <c r="C18" s="617"/>
      <c r="D18" s="414"/>
      <c r="E18" s="414"/>
      <c r="F18" s="410"/>
      <c r="G18" s="410"/>
      <c r="H18" s="410"/>
    </row>
    <row r="19" spans="1:8" ht="26.25" x14ac:dyDescent="0.4">
      <c r="A19" s="413" t="s">
        <v>34</v>
      </c>
      <c r="B19" s="415" t="s">
        <v>161</v>
      </c>
      <c r="C19" s="410">
        <v>12</v>
      </c>
      <c r="E19" s="410"/>
      <c r="F19" s="410"/>
      <c r="G19" s="410"/>
      <c r="H19" s="410"/>
    </row>
    <row r="20" spans="1:8" ht="26.25" x14ac:dyDescent="0.4">
      <c r="A20" s="413" t="s">
        <v>35</v>
      </c>
      <c r="B20" s="618" t="s">
        <v>141</v>
      </c>
      <c r="C20" s="618"/>
      <c r="D20" s="410"/>
      <c r="E20" s="410"/>
      <c r="F20" s="410"/>
      <c r="G20" s="410"/>
      <c r="H20" s="410"/>
    </row>
    <row r="21" spans="1:8" ht="26.25" x14ac:dyDescent="0.4">
      <c r="A21" s="413" t="s">
        <v>36</v>
      </c>
      <c r="B21" s="416" t="s">
        <v>160</v>
      </c>
      <c r="C21" s="416"/>
      <c r="D21" s="417"/>
      <c r="E21" s="417"/>
      <c r="F21" s="417"/>
      <c r="G21" s="417"/>
      <c r="H21" s="417"/>
    </row>
    <row r="22" spans="1:8" ht="26.25" x14ac:dyDescent="0.4">
      <c r="A22" s="413" t="s">
        <v>37</v>
      </c>
      <c r="B22" s="418">
        <v>42478</v>
      </c>
      <c r="C22" s="419"/>
      <c r="D22" s="410"/>
      <c r="E22" s="410"/>
      <c r="F22" s="410"/>
      <c r="G22" s="410"/>
      <c r="H22" s="410"/>
    </row>
    <row r="23" spans="1:8" ht="26.25" x14ac:dyDescent="0.4">
      <c r="A23" s="413" t="s">
        <v>38</v>
      </c>
      <c r="B23" s="418">
        <v>42524</v>
      </c>
      <c r="C23" s="419"/>
      <c r="D23" s="410"/>
      <c r="E23" s="410"/>
      <c r="F23" s="410"/>
      <c r="G23" s="410"/>
      <c r="H23" s="410"/>
    </row>
    <row r="24" spans="1:8" ht="18.75" x14ac:dyDescent="0.3">
      <c r="A24" s="413"/>
      <c r="B24" s="420"/>
      <c r="C24" s="410"/>
      <c r="D24" s="410"/>
      <c r="E24" s="410"/>
      <c r="F24" s="410"/>
      <c r="G24" s="410"/>
      <c r="H24" s="410"/>
    </row>
    <row r="25" spans="1:8" ht="18.75" x14ac:dyDescent="0.3">
      <c r="A25" s="421" t="s">
        <v>1</v>
      </c>
      <c r="B25" s="420"/>
      <c r="C25" s="410"/>
      <c r="D25" s="410"/>
      <c r="E25" s="410"/>
      <c r="F25" s="410"/>
      <c r="G25" s="410"/>
      <c r="H25" s="410"/>
    </row>
    <row r="26" spans="1:8" ht="26.25" x14ac:dyDescent="0.4">
      <c r="A26" s="422" t="s">
        <v>4</v>
      </c>
      <c r="B26" s="617" t="s">
        <v>141</v>
      </c>
      <c r="C26" s="617"/>
      <c r="D26" s="410"/>
      <c r="E26" s="410"/>
      <c r="F26" s="410"/>
      <c r="G26" s="410"/>
      <c r="H26" s="410"/>
    </row>
    <row r="27" spans="1:8" ht="26.25" x14ac:dyDescent="0.4">
      <c r="A27" s="423" t="s">
        <v>51</v>
      </c>
      <c r="B27" s="618" t="s">
        <v>140</v>
      </c>
      <c r="C27" s="618"/>
      <c r="D27" s="410"/>
      <c r="E27" s="410"/>
      <c r="F27" s="410"/>
      <c r="G27" s="410"/>
      <c r="H27" s="410"/>
    </row>
    <row r="28" spans="1:8" ht="27" thickBot="1" x14ac:dyDescent="0.45">
      <c r="A28" s="423" t="s">
        <v>6</v>
      </c>
      <c r="B28" s="424">
        <v>99.7</v>
      </c>
      <c r="C28" s="410"/>
      <c r="D28" s="410"/>
      <c r="E28" s="410"/>
      <c r="F28" s="410"/>
      <c r="G28" s="410"/>
      <c r="H28" s="410"/>
    </row>
    <row r="29" spans="1:8" ht="27" thickBot="1" x14ac:dyDescent="0.45">
      <c r="A29" s="423" t="s">
        <v>52</v>
      </c>
      <c r="B29" s="425">
        <v>0</v>
      </c>
      <c r="C29" s="619" t="s">
        <v>53</v>
      </c>
      <c r="D29" s="620"/>
      <c r="E29" s="620"/>
      <c r="F29" s="620"/>
      <c r="G29" s="621"/>
      <c r="H29" s="426"/>
    </row>
    <row r="30" spans="1:8" ht="19.5" thickBot="1" x14ac:dyDescent="0.35">
      <c r="A30" s="423" t="s">
        <v>54</v>
      </c>
      <c r="B30" s="427">
        <f>B28-B29</f>
        <v>99.7</v>
      </c>
      <c r="C30" s="428"/>
      <c r="D30" s="428"/>
      <c r="E30" s="428"/>
      <c r="F30" s="428"/>
      <c r="G30" s="428"/>
      <c r="H30" s="426"/>
    </row>
    <row r="31" spans="1:8" ht="27" thickBot="1" x14ac:dyDescent="0.45">
      <c r="A31" s="423" t="s">
        <v>55</v>
      </c>
      <c r="B31" s="429">
        <v>1</v>
      </c>
      <c r="C31" s="619" t="s">
        <v>56</v>
      </c>
      <c r="D31" s="620"/>
      <c r="E31" s="620"/>
      <c r="F31" s="620"/>
      <c r="G31" s="621"/>
      <c r="H31" s="430"/>
    </row>
    <row r="32" spans="1:8" ht="27" thickBot="1" x14ac:dyDescent="0.45">
      <c r="A32" s="423" t="s">
        <v>57</v>
      </c>
      <c r="B32" s="429">
        <v>1</v>
      </c>
      <c r="C32" s="619" t="s">
        <v>58</v>
      </c>
      <c r="D32" s="620"/>
      <c r="E32" s="620"/>
      <c r="F32" s="620"/>
      <c r="G32" s="621"/>
      <c r="H32" s="430"/>
    </row>
    <row r="33" spans="1:8" ht="18.75" x14ac:dyDescent="0.3">
      <c r="A33" s="423"/>
      <c r="B33" s="431"/>
      <c r="C33" s="432"/>
      <c r="D33" s="432"/>
      <c r="E33" s="432"/>
      <c r="F33" s="432"/>
      <c r="G33" s="432"/>
      <c r="H33" s="432"/>
    </row>
    <row r="34" spans="1:8" ht="18.75" x14ac:dyDescent="0.3">
      <c r="A34" s="423" t="s">
        <v>59</v>
      </c>
      <c r="B34" s="433">
        <f>B31/B32</f>
        <v>1</v>
      </c>
      <c r="C34" s="410" t="s">
        <v>60</v>
      </c>
      <c r="D34" s="410"/>
      <c r="E34" s="410"/>
      <c r="F34" s="410"/>
      <c r="G34" s="410"/>
      <c r="H34" s="426"/>
    </row>
    <row r="35" spans="1:8" ht="19.5" thickBot="1" x14ac:dyDescent="0.35">
      <c r="A35" s="423"/>
      <c r="B35" s="427"/>
      <c r="C35" s="426"/>
      <c r="D35" s="426"/>
      <c r="E35" s="426"/>
      <c r="F35" s="426"/>
      <c r="G35" s="410"/>
      <c r="H35" s="426"/>
    </row>
    <row r="36" spans="1:8" ht="27" thickBot="1" x14ac:dyDescent="0.45">
      <c r="A36" s="434" t="s">
        <v>61</v>
      </c>
      <c r="B36" s="435">
        <v>5</v>
      </c>
      <c r="C36" s="410"/>
      <c r="D36" s="622" t="s">
        <v>62</v>
      </c>
      <c r="E36" s="623"/>
      <c r="F36" s="622" t="s">
        <v>63</v>
      </c>
      <c r="G36" s="624"/>
      <c r="H36" s="426"/>
    </row>
    <row r="37" spans="1:8" ht="26.25" x14ac:dyDescent="0.4">
      <c r="A37" s="436" t="s">
        <v>142</v>
      </c>
      <c r="B37" s="437">
        <v>1</v>
      </c>
      <c r="C37" s="438" t="s">
        <v>64</v>
      </c>
      <c r="D37" s="439" t="s">
        <v>65</v>
      </c>
      <c r="E37" s="440" t="s">
        <v>66</v>
      </c>
      <c r="F37" s="439" t="s">
        <v>65</v>
      </c>
      <c r="G37" s="441" t="s">
        <v>66</v>
      </c>
      <c r="H37" s="426"/>
    </row>
    <row r="38" spans="1:8" ht="26.25" x14ac:dyDescent="0.4">
      <c r="A38" s="436" t="s">
        <v>143</v>
      </c>
      <c r="B38" s="437">
        <v>1</v>
      </c>
      <c r="C38" s="442">
        <v>1</v>
      </c>
      <c r="D38" s="119">
        <v>23444196</v>
      </c>
      <c r="E38" s="444">
        <f>IF(ISBLANK(D38),"-",$D$48/$D$45*D38)</f>
        <v>20271327.776432749</v>
      </c>
      <c r="F38" s="119">
        <v>21397682</v>
      </c>
      <c r="G38" s="445">
        <f>IF(ISBLANK(F38),"-",$D$48/$F$45*F38)</f>
        <v>20152176.717947271</v>
      </c>
      <c r="H38" s="426"/>
    </row>
    <row r="39" spans="1:8" ht="26.25" x14ac:dyDescent="0.4">
      <c r="A39" s="436" t="s">
        <v>144</v>
      </c>
      <c r="B39" s="437">
        <v>1</v>
      </c>
      <c r="C39" s="446">
        <v>2</v>
      </c>
      <c r="D39" s="120">
        <v>23437322</v>
      </c>
      <c r="E39" s="448">
        <f>IF(ISBLANK(D39),"-",$D$48/$D$45*D39)</f>
        <v>20265384.083284337</v>
      </c>
      <c r="F39" s="120">
        <v>21448377</v>
      </c>
      <c r="G39" s="449">
        <f>IF(ISBLANK(F39),"-",$D$48/$F$45*F39)</f>
        <v>20199920.88942885</v>
      </c>
      <c r="H39" s="426"/>
    </row>
    <row r="40" spans="1:8" ht="26.25" x14ac:dyDescent="0.4">
      <c r="A40" s="436" t="s">
        <v>145</v>
      </c>
      <c r="B40" s="437">
        <v>1</v>
      </c>
      <c r="C40" s="446">
        <v>3</v>
      </c>
      <c r="D40" s="120">
        <v>23461070</v>
      </c>
      <c r="E40" s="448">
        <f>IF(ISBLANK(D40),"-",$D$48/$D$45*D40)</f>
        <v>20285918.099124964</v>
      </c>
      <c r="F40" s="120">
        <v>21447750</v>
      </c>
      <c r="G40" s="449">
        <f>IF(ISBLANK(F40),"-",$D$48/$F$45*F40)</f>
        <v>20199330.385522764</v>
      </c>
      <c r="H40" s="410"/>
    </row>
    <row r="41" spans="1:8" ht="26.25" x14ac:dyDescent="0.4">
      <c r="A41" s="436" t="s">
        <v>146</v>
      </c>
      <c r="B41" s="437">
        <v>1</v>
      </c>
      <c r="C41" s="450">
        <v>4</v>
      </c>
      <c r="D41" s="121"/>
      <c r="E41" s="452" t="str">
        <f>IF(ISBLANK(D41),"-",$D$48/$D$45*D41)</f>
        <v>-</v>
      </c>
      <c r="F41" s="121"/>
      <c r="G41" s="453" t="str">
        <f>IF(ISBLANK(F41),"-",$D$48/$F$45*F41)</f>
        <v>-</v>
      </c>
      <c r="H41" s="410"/>
    </row>
    <row r="42" spans="1:8" ht="27" thickBot="1" x14ac:dyDescent="0.45">
      <c r="A42" s="436" t="s">
        <v>147</v>
      </c>
      <c r="B42" s="437">
        <v>1</v>
      </c>
      <c r="C42" s="454" t="s">
        <v>67</v>
      </c>
      <c r="D42" s="455">
        <f>AVERAGE(D38:D41)</f>
        <v>23447529.333333332</v>
      </c>
      <c r="E42" s="456">
        <f>AVERAGE(E38:E41)</f>
        <v>20274209.986280683</v>
      </c>
      <c r="F42" s="455">
        <f>AVERAGE(F38:F41)</f>
        <v>21431269.666666668</v>
      </c>
      <c r="G42" s="457">
        <f>AVERAGE(G38:G41)</f>
        <v>20183809.330966294</v>
      </c>
      <c r="H42" s="458"/>
    </row>
    <row r="43" spans="1:8" ht="26.25" x14ac:dyDescent="0.4">
      <c r="A43" s="436" t="s">
        <v>148</v>
      </c>
      <c r="B43" s="437">
        <v>1</v>
      </c>
      <c r="C43" s="459" t="s">
        <v>68</v>
      </c>
      <c r="D43" s="460">
        <v>23.2</v>
      </c>
      <c r="E43" s="461"/>
      <c r="F43" s="460">
        <v>21.3</v>
      </c>
      <c r="G43" s="410"/>
      <c r="H43" s="458"/>
    </row>
    <row r="44" spans="1:8" ht="26.25" x14ac:dyDescent="0.4">
      <c r="A44" s="436" t="s">
        <v>149</v>
      </c>
      <c r="B44" s="437">
        <v>1</v>
      </c>
      <c r="C44" s="462" t="s">
        <v>69</v>
      </c>
      <c r="D44" s="463">
        <f>D43*$B$34</f>
        <v>23.2</v>
      </c>
      <c r="E44" s="464"/>
      <c r="F44" s="463">
        <f>F43*$B$34</f>
        <v>21.3</v>
      </c>
      <c r="G44" s="410"/>
      <c r="H44" s="458"/>
    </row>
    <row r="45" spans="1:8" ht="19.5" thickBot="1" x14ac:dyDescent="0.35">
      <c r="A45" s="436" t="s">
        <v>70</v>
      </c>
      <c r="B45" s="465">
        <f>(B44/B43)*(B42/B41)*(B40/B39)*(B38/B37)*B36</f>
        <v>5</v>
      </c>
      <c r="C45" s="462" t="s">
        <v>71</v>
      </c>
      <c r="D45" s="466">
        <f>D44*$B$30/100</f>
        <v>23.130399999999998</v>
      </c>
      <c r="E45" s="467"/>
      <c r="F45" s="466">
        <f>F44*$B$30/100</f>
        <v>21.2361</v>
      </c>
      <c r="G45" s="410"/>
      <c r="H45" s="458"/>
    </row>
    <row r="46" spans="1:8" ht="19.5" thickBot="1" x14ac:dyDescent="0.35">
      <c r="A46" s="610" t="s">
        <v>72</v>
      </c>
      <c r="B46" s="625"/>
      <c r="C46" s="462" t="s">
        <v>73</v>
      </c>
      <c r="D46" s="463">
        <f>D45/$B$45</f>
        <v>4.62608</v>
      </c>
      <c r="E46" s="467"/>
      <c r="F46" s="468">
        <f>F45/$B$45</f>
        <v>4.2472200000000004</v>
      </c>
      <c r="G46" s="410"/>
      <c r="H46" s="458"/>
    </row>
    <row r="47" spans="1:8" ht="27" thickBot="1" x14ac:dyDescent="0.45">
      <c r="A47" s="612"/>
      <c r="B47" s="626"/>
      <c r="C47" s="469" t="s">
        <v>74</v>
      </c>
      <c r="D47" s="470">
        <v>4</v>
      </c>
      <c r="E47" s="410"/>
      <c r="F47" s="471"/>
      <c r="G47" s="410"/>
      <c r="H47" s="458"/>
    </row>
    <row r="48" spans="1:8" ht="18.75" x14ac:dyDescent="0.3">
      <c r="A48" s="410"/>
      <c r="B48" s="410"/>
      <c r="C48" s="472" t="s">
        <v>75</v>
      </c>
      <c r="D48" s="466">
        <f>D47*$B$45</f>
        <v>20</v>
      </c>
      <c r="E48" s="410"/>
      <c r="F48" s="471"/>
      <c r="G48" s="410"/>
      <c r="H48" s="458"/>
    </row>
    <row r="49" spans="1:8" ht="19.5" thickBot="1" x14ac:dyDescent="0.35">
      <c r="A49" s="410"/>
      <c r="B49" s="410"/>
      <c r="C49" s="473" t="s">
        <v>76</v>
      </c>
      <c r="D49" s="474">
        <f>D48/B34</f>
        <v>20</v>
      </c>
      <c r="E49" s="410"/>
      <c r="F49" s="471"/>
      <c r="G49" s="410"/>
      <c r="H49" s="458"/>
    </row>
    <row r="50" spans="1:8" ht="18.75" x14ac:dyDescent="0.3">
      <c r="A50" s="410"/>
      <c r="B50" s="410"/>
      <c r="C50" s="434" t="s">
        <v>77</v>
      </c>
      <c r="D50" s="475">
        <f>AVERAGE(E38:E41,G38:G41)</f>
        <v>20229009.65862349</v>
      </c>
      <c r="E50" s="410"/>
      <c r="F50" s="476"/>
      <c r="G50" s="410"/>
      <c r="H50" s="458"/>
    </row>
    <row r="51" spans="1:8" ht="18.75" x14ac:dyDescent="0.3">
      <c r="A51" s="410"/>
      <c r="B51" s="410"/>
      <c r="C51" s="436" t="s">
        <v>78</v>
      </c>
      <c r="D51" s="477">
        <f>STDEV(E38:E41,G38:G41)/D50</f>
        <v>2.6141926453772217E-3</v>
      </c>
      <c r="E51" s="410"/>
      <c r="F51" s="476"/>
      <c r="G51" s="410"/>
      <c r="H51" s="458"/>
    </row>
    <row r="52" spans="1:8" ht="19.5" thickBot="1" x14ac:dyDescent="0.35">
      <c r="A52" s="410"/>
      <c r="B52" s="410"/>
      <c r="C52" s="478" t="s">
        <v>20</v>
      </c>
      <c r="D52" s="479">
        <f>COUNT(E38:E41,G38:G41)</f>
        <v>6</v>
      </c>
      <c r="E52" s="410"/>
      <c r="F52" s="476"/>
      <c r="G52" s="410"/>
      <c r="H52" s="410"/>
    </row>
    <row r="53" spans="1:8" ht="18.75" x14ac:dyDescent="0.3">
      <c r="A53" s="410"/>
      <c r="B53" s="410"/>
      <c r="C53" s="410"/>
      <c r="D53" s="410"/>
      <c r="E53" s="410"/>
      <c r="F53" s="410"/>
      <c r="G53" s="410"/>
      <c r="H53" s="410"/>
    </row>
    <row r="54" spans="1:8" ht="18.75" x14ac:dyDescent="0.3">
      <c r="A54" s="412" t="s">
        <v>1</v>
      </c>
      <c r="B54" s="480" t="s">
        <v>79</v>
      </c>
      <c r="C54" s="410"/>
      <c r="D54" s="410"/>
      <c r="E54" s="410"/>
      <c r="F54" s="410"/>
      <c r="G54" s="410"/>
      <c r="H54" s="410"/>
    </row>
    <row r="55" spans="1:8" ht="18.75" x14ac:dyDescent="0.3">
      <c r="A55" s="410" t="s">
        <v>80</v>
      </c>
      <c r="B55" s="481" t="str">
        <f>B21</f>
        <v>Artesunate 60mg</v>
      </c>
      <c r="C55" s="410"/>
      <c r="D55" s="410"/>
      <c r="E55" s="410"/>
      <c r="F55" s="410"/>
      <c r="G55" s="410"/>
      <c r="H55" s="410"/>
    </row>
    <row r="56" spans="1:8" ht="26.25" x14ac:dyDescent="0.4">
      <c r="A56" s="482" t="s">
        <v>81</v>
      </c>
      <c r="B56" s="483">
        <v>60</v>
      </c>
      <c r="C56" s="410" t="str">
        <f>B20</f>
        <v>Artesunate</v>
      </c>
      <c r="D56" s="410"/>
      <c r="E56" s="410"/>
      <c r="F56" s="410"/>
      <c r="G56" s="410"/>
      <c r="H56" s="484"/>
    </row>
    <row r="57" spans="1:8" ht="17.25" thickBot="1" x14ac:dyDescent="0.35">
      <c r="A57" s="485"/>
      <c r="B57" s="485"/>
      <c r="C57" s="485"/>
      <c r="D57" s="486"/>
      <c r="E57" s="486"/>
      <c r="F57" s="486"/>
      <c r="G57" s="486"/>
      <c r="H57" s="486"/>
    </row>
    <row r="58" spans="1:8" ht="57.75" x14ac:dyDescent="0.4">
      <c r="A58" s="434" t="s">
        <v>82</v>
      </c>
      <c r="B58" s="435">
        <v>10</v>
      </c>
      <c r="C58" s="487" t="s">
        <v>83</v>
      </c>
      <c r="D58" s="488" t="s">
        <v>84</v>
      </c>
      <c r="E58" s="489" t="s">
        <v>85</v>
      </c>
      <c r="F58" s="490" t="s">
        <v>86</v>
      </c>
      <c r="G58" s="491" t="s">
        <v>87</v>
      </c>
      <c r="H58" s="492"/>
    </row>
    <row r="59" spans="1:8" ht="26.25" x14ac:dyDescent="0.4">
      <c r="A59" s="436" t="s">
        <v>142</v>
      </c>
      <c r="B59" s="437">
        <v>4</v>
      </c>
      <c r="C59" s="493">
        <v>1</v>
      </c>
      <c r="D59" s="494">
        <v>24370051</v>
      </c>
      <c r="E59" s="495">
        <f>IF(ISBLANK(D59),"-",D59/$D$50*$D$47*$B$67)</f>
        <v>60.23540304557423</v>
      </c>
      <c r="F59" s="496">
        <f>E59/$E$70*100</f>
        <v>100.75304474743633</v>
      </c>
      <c r="G59" s="497">
        <f t="shared" ref="G59:G68" si="0">IF(ISBLANK(D59),"-",E59/$B$56*100)</f>
        <v>100.39233840929039</v>
      </c>
      <c r="H59" s="492"/>
    </row>
    <row r="60" spans="1:8" ht="26.25" x14ac:dyDescent="0.4">
      <c r="A60" s="436" t="s">
        <v>143</v>
      </c>
      <c r="B60" s="437">
        <v>5</v>
      </c>
      <c r="C60" s="498">
        <v>2</v>
      </c>
      <c r="D60" s="499">
        <v>24167652</v>
      </c>
      <c r="E60" s="500">
        <f t="shared" ref="E60:E68" si="1">IF(ISBLANK(D60),"-",D60/$D$50*$D$47*$B$67)</f>
        <v>59.735133869238851</v>
      </c>
      <c r="F60" s="501">
        <f t="shared" ref="F60:F68" si="2">E60/$E$70*100</f>
        <v>99.916267035980724</v>
      </c>
      <c r="G60" s="502">
        <f t="shared" si="0"/>
        <v>99.558556448731423</v>
      </c>
      <c r="H60" s="492"/>
    </row>
    <row r="61" spans="1:8" ht="26.25" x14ac:dyDescent="0.4">
      <c r="A61" s="436" t="s">
        <v>144</v>
      </c>
      <c r="B61" s="437">
        <v>1</v>
      </c>
      <c r="C61" s="498">
        <v>3</v>
      </c>
      <c r="D61" s="499">
        <v>24091068</v>
      </c>
      <c r="E61" s="500">
        <f t="shared" si="1"/>
        <v>59.545841359886197</v>
      </c>
      <c r="F61" s="501">
        <f t="shared" si="2"/>
        <v>99.599645984225944</v>
      </c>
      <c r="G61" s="502">
        <f t="shared" si="0"/>
        <v>99.243068933143661</v>
      </c>
      <c r="H61" s="492"/>
    </row>
    <row r="62" spans="1:8" ht="26.25" x14ac:dyDescent="0.4">
      <c r="A62" s="436" t="s">
        <v>145</v>
      </c>
      <c r="B62" s="437">
        <v>1</v>
      </c>
      <c r="C62" s="498">
        <v>4</v>
      </c>
      <c r="D62" s="499">
        <v>24122850</v>
      </c>
      <c r="E62" s="500">
        <f t="shared" si="1"/>
        <v>59.624396861456319</v>
      </c>
      <c r="F62" s="501">
        <f t="shared" si="2"/>
        <v>99.731042232357026</v>
      </c>
      <c r="G62" s="502">
        <f t="shared" si="0"/>
        <v>99.373994769093869</v>
      </c>
      <c r="H62" s="492"/>
    </row>
    <row r="63" spans="1:8" ht="26.25" x14ac:dyDescent="0.4">
      <c r="A63" s="436" t="s">
        <v>146</v>
      </c>
      <c r="B63" s="437">
        <v>1</v>
      </c>
      <c r="C63" s="498">
        <v>5</v>
      </c>
      <c r="D63" s="499"/>
      <c r="E63" s="500" t="str">
        <f t="shared" si="1"/>
        <v>-</v>
      </c>
      <c r="F63" s="501" t="e">
        <f t="shared" si="2"/>
        <v>#VALUE!</v>
      </c>
      <c r="G63" s="502" t="str">
        <f t="shared" si="0"/>
        <v>-</v>
      </c>
      <c r="H63" s="492"/>
    </row>
    <row r="64" spans="1:8" ht="26.25" x14ac:dyDescent="0.4">
      <c r="A64" s="436" t="s">
        <v>147</v>
      </c>
      <c r="B64" s="437">
        <v>1</v>
      </c>
      <c r="C64" s="498">
        <v>6</v>
      </c>
      <c r="D64" s="499"/>
      <c r="E64" s="500" t="str">
        <f t="shared" si="1"/>
        <v>-</v>
      </c>
      <c r="F64" s="501" t="e">
        <f t="shared" si="2"/>
        <v>#VALUE!</v>
      </c>
      <c r="G64" s="502" t="str">
        <f t="shared" si="0"/>
        <v>-</v>
      </c>
      <c r="H64" s="492"/>
    </row>
    <row r="65" spans="1:8" ht="26.25" x14ac:dyDescent="0.4">
      <c r="A65" s="436" t="s">
        <v>148</v>
      </c>
      <c r="B65" s="437">
        <v>1</v>
      </c>
      <c r="C65" s="498">
        <v>7</v>
      </c>
      <c r="D65" s="499"/>
      <c r="E65" s="500" t="str">
        <f t="shared" si="1"/>
        <v>-</v>
      </c>
      <c r="F65" s="501" t="e">
        <f t="shared" si="2"/>
        <v>#VALUE!</v>
      </c>
      <c r="G65" s="502" t="str">
        <f t="shared" si="0"/>
        <v>-</v>
      </c>
      <c r="H65" s="492"/>
    </row>
    <row r="66" spans="1:8" ht="26.25" x14ac:dyDescent="0.4">
      <c r="A66" s="436" t="s">
        <v>149</v>
      </c>
      <c r="B66" s="437">
        <v>1</v>
      </c>
      <c r="C66" s="498">
        <v>8</v>
      </c>
      <c r="D66" s="499"/>
      <c r="E66" s="500" t="str">
        <f t="shared" si="1"/>
        <v>-</v>
      </c>
      <c r="F66" s="501" t="e">
        <f t="shared" si="2"/>
        <v>#VALUE!</v>
      </c>
      <c r="G66" s="502" t="str">
        <f t="shared" si="0"/>
        <v>-</v>
      </c>
      <c r="H66" s="492"/>
    </row>
    <row r="67" spans="1:8" ht="27" thickBot="1" x14ac:dyDescent="0.45">
      <c r="A67" s="436" t="s">
        <v>70</v>
      </c>
      <c r="B67" s="465">
        <f>(B66/B65)*(B64/B63)*(B62/B61)*(B60/B59)*B58</f>
        <v>12.5</v>
      </c>
      <c r="C67" s="498">
        <v>9</v>
      </c>
      <c r="D67" s="499"/>
      <c r="E67" s="500" t="str">
        <f t="shared" si="1"/>
        <v>-</v>
      </c>
      <c r="F67" s="501" t="e">
        <f t="shared" si="2"/>
        <v>#VALUE!</v>
      </c>
      <c r="G67" s="502" t="str">
        <f t="shared" si="0"/>
        <v>-</v>
      </c>
      <c r="H67" s="492"/>
    </row>
    <row r="68" spans="1:8" ht="27" thickBot="1" x14ac:dyDescent="0.45">
      <c r="A68" s="610" t="s">
        <v>72</v>
      </c>
      <c r="B68" s="611"/>
      <c r="C68" s="503">
        <v>10</v>
      </c>
      <c r="D68" s="504"/>
      <c r="E68" s="505" t="str">
        <f t="shared" si="1"/>
        <v>-</v>
      </c>
      <c r="F68" s="506" t="e">
        <f t="shared" si="2"/>
        <v>#VALUE!</v>
      </c>
      <c r="G68" s="507" t="str">
        <f t="shared" si="0"/>
        <v>-</v>
      </c>
      <c r="H68" s="492"/>
    </row>
    <row r="69" spans="1:8" ht="19.5" thickBot="1" x14ac:dyDescent="0.35">
      <c r="A69" s="612"/>
      <c r="B69" s="613"/>
      <c r="C69" s="498"/>
      <c r="D69" s="467"/>
      <c r="E69" s="508"/>
      <c r="F69" s="486"/>
      <c r="G69" s="509"/>
      <c r="H69" s="510"/>
    </row>
    <row r="70" spans="1:8" ht="26.25" x14ac:dyDescent="0.4">
      <c r="A70" s="486"/>
      <c r="B70" s="486"/>
      <c r="C70" s="511" t="s">
        <v>88</v>
      </c>
      <c r="D70" s="512"/>
      <c r="E70" s="513">
        <f>AVERAGE(E59:E68)</f>
        <v>59.785193784038896</v>
      </c>
      <c r="F70" s="513" t="e">
        <f>AVERAGE(F59:F68)</f>
        <v>#VALUE!</v>
      </c>
      <c r="G70" s="514">
        <f>AVERAGE(G59:G68)</f>
        <v>99.641989640064835</v>
      </c>
      <c r="H70" s="515"/>
    </row>
    <row r="71" spans="1:8" ht="26.25" x14ac:dyDescent="0.4">
      <c r="A71" s="486"/>
      <c r="B71" s="486"/>
      <c r="C71" s="511"/>
      <c r="D71" s="512"/>
      <c r="E71" s="516">
        <f>STDEV(E59:E68)/E70</f>
        <v>5.1855864972916305E-3</v>
      </c>
      <c r="F71" s="516" t="e">
        <f>STDEV(F59:F68)/F70</f>
        <v>#VALUE!</v>
      </c>
      <c r="G71" s="517">
        <f>STDEV(G59:G68)/G70</f>
        <v>5.1855864972916426E-3</v>
      </c>
      <c r="H71" s="515"/>
    </row>
    <row r="72" spans="1:8" ht="27" thickBot="1" x14ac:dyDescent="0.45">
      <c r="A72" s="486"/>
      <c r="B72" s="486"/>
      <c r="C72" s="518"/>
      <c r="D72" s="519"/>
      <c r="E72" s="520">
        <f>COUNT(E59:E68)</f>
        <v>4</v>
      </c>
      <c r="F72" s="520">
        <f>COUNT(F59:F68)</f>
        <v>4</v>
      </c>
      <c r="G72" s="521">
        <f>COUNT(G59:G68)</f>
        <v>4</v>
      </c>
      <c r="H72" s="515"/>
    </row>
    <row r="73" spans="1:8" ht="18.75" x14ac:dyDescent="0.3">
      <c r="A73" s="486"/>
      <c r="B73" s="522"/>
      <c r="C73" s="522"/>
      <c r="D73" s="464"/>
      <c r="E73" s="512"/>
      <c r="F73" s="461"/>
      <c r="G73" s="523"/>
      <c r="H73" s="515"/>
    </row>
    <row r="74" spans="1:8" ht="18.75" x14ac:dyDescent="0.3">
      <c r="A74" s="422" t="s">
        <v>89</v>
      </c>
      <c r="B74" s="524" t="s">
        <v>90</v>
      </c>
      <c r="C74" s="628" t="str">
        <f>B20</f>
        <v>Artesunate</v>
      </c>
      <c r="D74" s="628"/>
      <c r="E74" s="525" t="s">
        <v>91</v>
      </c>
      <c r="F74" s="525"/>
      <c r="G74" s="526">
        <f>G70</f>
        <v>99.641989640064835</v>
      </c>
      <c r="H74" s="527"/>
    </row>
    <row r="75" spans="1:8" ht="18.75" x14ac:dyDescent="0.3">
      <c r="A75" s="422"/>
      <c r="B75" s="524"/>
      <c r="C75" s="528"/>
      <c r="D75" s="528"/>
      <c r="E75" s="525"/>
      <c r="F75" s="525"/>
      <c r="G75" s="529"/>
      <c r="H75" s="527"/>
    </row>
    <row r="76" spans="1:8" ht="18.75" x14ac:dyDescent="0.3">
      <c r="A76" s="412" t="s">
        <v>1</v>
      </c>
      <c r="B76" s="530" t="s">
        <v>92</v>
      </c>
      <c r="C76" s="410"/>
      <c r="D76" s="410"/>
      <c r="E76" s="410"/>
      <c r="F76" s="410"/>
      <c r="G76" s="486"/>
      <c r="H76" s="486"/>
    </row>
    <row r="77" spans="1:8" ht="18.75" x14ac:dyDescent="0.3">
      <c r="A77" s="412"/>
      <c r="B77" s="480"/>
      <c r="C77" s="410"/>
      <c r="D77" s="410"/>
      <c r="E77" s="410"/>
      <c r="F77" s="410"/>
      <c r="G77" s="486"/>
      <c r="H77" s="486"/>
    </row>
    <row r="78" spans="1:8" ht="18.75" x14ac:dyDescent="0.3">
      <c r="A78" s="486"/>
      <c r="B78" s="629" t="s">
        <v>93</v>
      </c>
      <c r="C78" s="630"/>
      <c r="D78" s="410"/>
      <c r="E78" s="486"/>
      <c r="F78" s="486"/>
      <c r="G78" s="486"/>
      <c r="H78" s="486"/>
    </row>
    <row r="79" spans="1:8" ht="18.75" x14ac:dyDescent="0.3">
      <c r="A79" s="486"/>
      <c r="B79" s="531" t="s">
        <v>47</v>
      </c>
      <c r="C79" s="532">
        <f>G70</f>
        <v>99.641989640064835</v>
      </c>
      <c r="D79" s="410"/>
      <c r="E79" s="486"/>
      <c r="F79" s="486"/>
      <c r="G79" s="486"/>
      <c r="H79" s="486"/>
    </row>
    <row r="80" spans="1:8" ht="26.25" x14ac:dyDescent="0.4">
      <c r="A80" s="486"/>
      <c r="B80" s="531" t="s">
        <v>94</v>
      </c>
      <c r="C80" s="533">
        <v>2.4</v>
      </c>
      <c r="D80" s="410"/>
      <c r="E80" s="486"/>
      <c r="F80" s="486"/>
      <c r="G80" s="486"/>
      <c r="H80" s="486"/>
    </row>
    <row r="81" spans="1:8" ht="18.75" x14ac:dyDescent="0.3">
      <c r="A81" s="486"/>
      <c r="B81" s="531" t="s">
        <v>95</v>
      </c>
      <c r="C81" s="532">
        <f>STDEV(G59:G68)</f>
        <v>0.51670215604079395</v>
      </c>
      <c r="D81" s="410"/>
      <c r="E81" s="486"/>
      <c r="F81" s="486"/>
      <c r="G81" s="486"/>
      <c r="H81" s="486"/>
    </row>
    <row r="82" spans="1:8" ht="18.75" x14ac:dyDescent="0.3">
      <c r="A82" s="486"/>
      <c r="B82" s="531" t="s">
        <v>96</v>
      </c>
      <c r="C82" s="532">
        <f>IF(OR(G70&lt;98.5,G70&gt;101.5),(IF(98.5&gt;G70,98.5,101.5)),C79)</f>
        <v>99.641989640064835</v>
      </c>
      <c r="D82" s="410"/>
      <c r="E82" s="486"/>
      <c r="F82" s="486"/>
      <c r="G82" s="486"/>
      <c r="H82" s="486"/>
    </row>
    <row r="83" spans="1:8" ht="18.75" x14ac:dyDescent="0.3">
      <c r="A83" s="486"/>
      <c r="B83" s="531" t="s">
        <v>150</v>
      </c>
      <c r="C83" s="534">
        <f>ABS(C82-C79)+(C80*C81)</f>
        <v>1.2400851744979053</v>
      </c>
      <c r="D83" s="410"/>
      <c r="E83" s="486"/>
      <c r="F83" s="486"/>
      <c r="G83" s="486"/>
      <c r="H83" s="486"/>
    </row>
    <row r="84" spans="1:8" ht="18.75" x14ac:dyDescent="0.3">
      <c r="A84" s="482"/>
      <c r="B84" s="535"/>
      <c r="C84" s="410"/>
      <c r="D84" s="410"/>
      <c r="E84" s="410"/>
      <c r="F84" s="410"/>
      <c r="G84" s="410"/>
      <c r="H84" s="484"/>
    </row>
    <row r="85" spans="1:8" ht="18.75" x14ac:dyDescent="0.3">
      <c r="A85" s="421" t="s">
        <v>97</v>
      </c>
      <c r="B85" s="421" t="s">
        <v>98</v>
      </c>
      <c r="C85" s="410"/>
      <c r="D85" s="410"/>
      <c r="E85" s="410"/>
      <c r="F85" s="410"/>
      <c r="G85" s="410"/>
      <c r="H85" s="410"/>
    </row>
    <row r="86" spans="1:8" ht="18.75" x14ac:dyDescent="0.3">
      <c r="A86" s="421"/>
      <c r="B86" s="421"/>
      <c r="C86" s="410"/>
      <c r="D86" s="410"/>
      <c r="E86" s="410"/>
      <c r="F86" s="410"/>
      <c r="G86" s="410"/>
      <c r="H86" s="410"/>
    </row>
    <row r="87" spans="1:8" ht="26.25" x14ac:dyDescent="0.4">
      <c r="A87" s="422" t="s">
        <v>4</v>
      </c>
      <c r="B87" s="617"/>
      <c r="C87" s="617"/>
      <c r="D87" s="410"/>
      <c r="E87" s="410"/>
      <c r="F87" s="410"/>
      <c r="G87" s="410"/>
      <c r="H87" s="410"/>
    </row>
    <row r="88" spans="1:8" ht="26.25" x14ac:dyDescent="0.4">
      <c r="A88" s="423" t="s">
        <v>51</v>
      </c>
      <c r="B88" s="618"/>
      <c r="C88" s="618"/>
      <c r="D88" s="410"/>
      <c r="E88" s="410"/>
      <c r="F88" s="410"/>
      <c r="G88" s="410"/>
      <c r="H88" s="410"/>
    </row>
    <row r="89" spans="1:8" ht="27" thickBot="1" x14ac:dyDescent="0.45">
      <c r="A89" s="423" t="s">
        <v>6</v>
      </c>
      <c r="B89" s="424">
        <f>B32</f>
        <v>1</v>
      </c>
      <c r="C89" s="410"/>
      <c r="D89" s="410"/>
      <c r="E89" s="410"/>
      <c r="F89" s="410"/>
      <c r="G89" s="410"/>
      <c r="H89" s="410"/>
    </row>
    <row r="90" spans="1:8" ht="27" thickBot="1" x14ac:dyDescent="0.45">
      <c r="A90" s="423" t="s">
        <v>52</v>
      </c>
      <c r="B90" s="424">
        <f>B33</f>
        <v>0</v>
      </c>
      <c r="C90" s="631" t="s">
        <v>99</v>
      </c>
      <c r="D90" s="632"/>
      <c r="E90" s="632"/>
      <c r="F90" s="632"/>
      <c r="G90" s="633"/>
      <c r="H90" s="426"/>
    </row>
    <row r="91" spans="1:8" ht="18.75" x14ac:dyDescent="0.3">
      <c r="A91" s="423" t="s">
        <v>54</v>
      </c>
      <c r="B91" s="427">
        <f>B89-B90</f>
        <v>1</v>
      </c>
      <c r="C91" s="536"/>
      <c r="D91" s="536"/>
      <c r="E91" s="536"/>
      <c r="F91" s="536"/>
      <c r="G91" s="537"/>
      <c r="H91" s="426"/>
    </row>
    <row r="92" spans="1:8" ht="19.5" thickBot="1" x14ac:dyDescent="0.35">
      <c r="A92" s="423"/>
      <c r="B92" s="427"/>
      <c r="C92" s="536"/>
      <c r="D92" s="536"/>
      <c r="E92" s="536"/>
      <c r="F92" s="536"/>
      <c r="G92" s="537"/>
      <c r="H92" s="426"/>
    </row>
    <row r="93" spans="1:8" ht="27" thickBot="1" x14ac:dyDescent="0.45">
      <c r="A93" s="423" t="s">
        <v>55</v>
      </c>
      <c r="B93" s="429">
        <v>1</v>
      </c>
      <c r="C93" s="619" t="s">
        <v>100</v>
      </c>
      <c r="D93" s="620"/>
      <c r="E93" s="620"/>
      <c r="F93" s="620"/>
      <c r="G93" s="620"/>
      <c r="H93" s="621"/>
    </row>
    <row r="94" spans="1:8" ht="27" thickBot="1" x14ac:dyDescent="0.45">
      <c r="A94" s="423" t="s">
        <v>57</v>
      </c>
      <c r="B94" s="429">
        <v>1</v>
      </c>
      <c r="C94" s="619" t="s">
        <v>101</v>
      </c>
      <c r="D94" s="620"/>
      <c r="E94" s="620"/>
      <c r="F94" s="620"/>
      <c r="G94" s="620"/>
      <c r="H94" s="621"/>
    </row>
    <row r="95" spans="1:8" ht="18.75" x14ac:dyDescent="0.3">
      <c r="A95" s="423"/>
      <c r="B95" s="431"/>
      <c r="C95" s="432"/>
      <c r="D95" s="432"/>
      <c r="E95" s="432"/>
      <c r="F95" s="432"/>
      <c r="G95" s="432"/>
      <c r="H95" s="432"/>
    </row>
    <row r="96" spans="1:8" ht="18.75" x14ac:dyDescent="0.3">
      <c r="A96" s="423" t="s">
        <v>59</v>
      </c>
      <c r="B96" s="433">
        <f>B93/B94</f>
        <v>1</v>
      </c>
      <c r="C96" s="410" t="s">
        <v>60</v>
      </c>
      <c r="D96" s="410"/>
      <c r="E96" s="410"/>
      <c r="F96" s="410"/>
      <c r="G96" s="410"/>
      <c r="H96" s="426"/>
    </row>
    <row r="97" spans="1:8" ht="19.5" thickBot="1" x14ac:dyDescent="0.35">
      <c r="A97" s="421"/>
      <c r="B97" s="421"/>
      <c r="C97" s="410"/>
      <c r="D97" s="410"/>
      <c r="E97" s="410"/>
      <c r="F97" s="410"/>
      <c r="G97" s="410"/>
      <c r="H97" s="410"/>
    </row>
    <row r="98" spans="1:8" ht="27" thickBot="1" x14ac:dyDescent="0.45">
      <c r="A98" s="434" t="s">
        <v>61</v>
      </c>
      <c r="B98" s="538">
        <v>1</v>
      </c>
      <c r="C98" s="410"/>
      <c r="D98" s="539" t="s">
        <v>62</v>
      </c>
      <c r="E98" s="540"/>
      <c r="F98" s="622" t="s">
        <v>63</v>
      </c>
      <c r="G98" s="624"/>
      <c r="H98" s="410"/>
    </row>
    <row r="99" spans="1:8" ht="26.25" x14ac:dyDescent="0.4">
      <c r="A99" s="436" t="s">
        <v>142</v>
      </c>
      <c r="B99" s="541">
        <v>1</v>
      </c>
      <c r="C99" s="438" t="s">
        <v>64</v>
      </c>
      <c r="D99" s="439" t="s">
        <v>65</v>
      </c>
      <c r="E99" s="440" t="s">
        <v>66</v>
      </c>
      <c r="F99" s="439" t="s">
        <v>65</v>
      </c>
      <c r="G99" s="441" t="s">
        <v>66</v>
      </c>
      <c r="H99" s="410"/>
    </row>
    <row r="100" spans="1:8" ht="26.25" x14ac:dyDescent="0.4">
      <c r="A100" s="436" t="s">
        <v>143</v>
      </c>
      <c r="B100" s="541">
        <v>1</v>
      </c>
      <c r="C100" s="442">
        <v>1</v>
      </c>
      <c r="D100" s="443"/>
      <c r="E100" s="542" t="str">
        <f>IF(ISBLANK(D100),"-",$D$110/$D$107*D100)</f>
        <v>-</v>
      </c>
      <c r="F100" s="543"/>
      <c r="G100" s="445" t="str">
        <f>IF(ISBLANK(F100),"-",$D$110/$F$107*F100)</f>
        <v>-</v>
      </c>
      <c r="H100" s="410"/>
    </row>
    <row r="101" spans="1:8" ht="26.25" x14ac:dyDescent="0.4">
      <c r="A101" s="436" t="s">
        <v>144</v>
      </c>
      <c r="B101" s="541">
        <v>1</v>
      </c>
      <c r="C101" s="446">
        <v>2</v>
      </c>
      <c r="D101" s="447"/>
      <c r="E101" s="544" t="str">
        <f t="shared" ref="E101:E102" si="3">IF(ISBLANK(D101),"-",$D$110/$D$107*D101)</f>
        <v>-</v>
      </c>
      <c r="F101" s="424"/>
      <c r="G101" s="449" t="str">
        <f t="shared" ref="G101:G103" si="4">IF(ISBLANK(F101),"-",$D$110/$F$107*F101)</f>
        <v>-</v>
      </c>
      <c r="H101" s="410"/>
    </row>
    <row r="102" spans="1:8" ht="26.25" x14ac:dyDescent="0.4">
      <c r="A102" s="436" t="s">
        <v>145</v>
      </c>
      <c r="B102" s="541">
        <v>1</v>
      </c>
      <c r="C102" s="446">
        <v>3</v>
      </c>
      <c r="D102" s="447"/>
      <c r="E102" s="544" t="str">
        <f t="shared" si="3"/>
        <v>-</v>
      </c>
      <c r="F102" s="545"/>
      <c r="G102" s="449" t="str">
        <f t="shared" si="4"/>
        <v>-</v>
      </c>
      <c r="H102" s="410"/>
    </row>
    <row r="103" spans="1:8" ht="26.25" x14ac:dyDescent="0.4">
      <c r="A103" s="436" t="s">
        <v>146</v>
      </c>
      <c r="B103" s="541">
        <v>1</v>
      </c>
      <c r="C103" s="450">
        <v>4</v>
      </c>
      <c r="D103" s="451"/>
      <c r="E103" s="546" t="str">
        <f>IF(ISBLANK(D103),"-",$D$110/$D$107*D103)</f>
        <v>-</v>
      </c>
      <c r="F103" s="547"/>
      <c r="G103" s="453" t="str">
        <f t="shared" si="4"/>
        <v>-</v>
      </c>
      <c r="H103" s="410"/>
    </row>
    <row r="104" spans="1:8" ht="27" thickBot="1" x14ac:dyDescent="0.45">
      <c r="A104" s="436" t="s">
        <v>147</v>
      </c>
      <c r="B104" s="541">
        <v>1</v>
      </c>
      <c r="C104" s="454" t="s">
        <v>67</v>
      </c>
      <c r="D104" s="548" t="e">
        <f>AVERAGE(D100:D103)</f>
        <v>#DIV/0!</v>
      </c>
      <c r="E104" s="456" t="e">
        <f>AVERAGE(E100:E103)</f>
        <v>#DIV/0!</v>
      </c>
      <c r="F104" s="548" t="e">
        <f>AVERAGE(F100:F103)</f>
        <v>#DIV/0!</v>
      </c>
      <c r="G104" s="549" t="e">
        <f>AVERAGE(G100:G103)</f>
        <v>#DIV/0!</v>
      </c>
      <c r="H104" s="410"/>
    </row>
    <row r="105" spans="1:8" ht="26.25" x14ac:dyDescent="0.4">
      <c r="A105" s="436" t="s">
        <v>148</v>
      </c>
      <c r="B105" s="424">
        <v>1</v>
      </c>
      <c r="C105" s="459" t="s">
        <v>68</v>
      </c>
      <c r="D105" s="550"/>
      <c r="E105" s="461"/>
      <c r="F105" s="460"/>
      <c r="G105" s="410"/>
      <c r="H105" s="410"/>
    </row>
    <row r="106" spans="1:8" ht="26.25" x14ac:dyDescent="0.4">
      <c r="A106" s="436" t="s">
        <v>149</v>
      </c>
      <c r="B106" s="424">
        <v>1</v>
      </c>
      <c r="C106" s="462" t="s">
        <v>69</v>
      </c>
      <c r="D106" s="551">
        <f>D105*$B$96</f>
        <v>0</v>
      </c>
      <c r="E106" s="464"/>
      <c r="F106" s="463">
        <f>F105*$B$96</f>
        <v>0</v>
      </c>
      <c r="G106" s="410"/>
      <c r="H106" s="410"/>
    </row>
    <row r="107" spans="1:8" ht="19.5" thickBot="1" x14ac:dyDescent="0.35">
      <c r="A107" s="436" t="s">
        <v>70</v>
      </c>
      <c r="B107" s="552">
        <f>(B106/B105)*(B104/B103)*(B102/B101)*(B100/B99)*B98</f>
        <v>1</v>
      </c>
      <c r="C107" s="462" t="s">
        <v>71</v>
      </c>
      <c r="D107" s="553">
        <f>D106*$B$91/100</f>
        <v>0</v>
      </c>
      <c r="E107" s="467"/>
      <c r="F107" s="466">
        <f>F106*$B$91/100</f>
        <v>0</v>
      </c>
      <c r="G107" s="410"/>
      <c r="H107" s="410"/>
    </row>
    <row r="108" spans="1:8" ht="19.5" thickBot="1" x14ac:dyDescent="0.35">
      <c r="A108" s="610" t="s">
        <v>72</v>
      </c>
      <c r="B108" s="611"/>
      <c r="C108" s="462" t="s">
        <v>73</v>
      </c>
      <c r="D108" s="551">
        <f>D107/$B$107</f>
        <v>0</v>
      </c>
      <c r="E108" s="467"/>
      <c r="F108" s="468">
        <f>F107/$B$107</f>
        <v>0</v>
      </c>
      <c r="G108" s="554"/>
      <c r="H108" s="458"/>
    </row>
    <row r="109" spans="1:8" ht="19.5" thickBot="1" x14ac:dyDescent="0.35">
      <c r="A109" s="612"/>
      <c r="B109" s="613"/>
      <c r="C109" s="555" t="s">
        <v>74</v>
      </c>
      <c r="D109" s="556">
        <f>$B$56/$B$125</f>
        <v>60</v>
      </c>
      <c r="E109" s="410"/>
      <c r="F109" s="471"/>
      <c r="G109" s="557"/>
      <c r="H109" s="458"/>
    </row>
    <row r="110" spans="1:8" ht="18.75" x14ac:dyDescent="0.3">
      <c r="A110" s="410"/>
      <c r="B110" s="410"/>
      <c r="C110" s="555" t="s">
        <v>75</v>
      </c>
      <c r="D110" s="551">
        <f>D109*$B$107</f>
        <v>60</v>
      </c>
      <c r="E110" s="410"/>
      <c r="F110" s="471"/>
      <c r="G110" s="554"/>
      <c r="H110" s="458"/>
    </row>
    <row r="111" spans="1:8" ht="19.5" thickBot="1" x14ac:dyDescent="0.35">
      <c r="A111" s="410"/>
      <c r="B111" s="410"/>
      <c r="C111" s="558" t="s">
        <v>76</v>
      </c>
      <c r="D111" s="559">
        <f>D110/B96</f>
        <v>60</v>
      </c>
      <c r="E111" s="410"/>
      <c r="F111" s="476"/>
      <c r="G111" s="554"/>
      <c r="H111" s="458"/>
    </row>
    <row r="112" spans="1:8" ht="18.75" x14ac:dyDescent="0.3">
      <c r="A112" s="410"/>
      <c r="B112" s="410"/>
      <c r="C112" s="560" t="s">
        <v>77</v>
      </c>
      <c r="D112" s="561" t="e">
        <f>AVERAGE(E100:E103,G100:G103)</f>
        <v>#DIV/0!</v>
      </c>
      <c r="E112" s="410"/>
      <c r="F112" s="476"/>
      <c r="G112" s="562"/>
      <c r="H112" s="458"/>
    </row>
    <row r="113" spans="1:8" ht="18.75" x14ac:dyDescent="0.3">
      <c r="A113" s="410"/>
      <c r="B113" s="410"/>
      <c r="C113" s="563" t="s">
        <v>78</v>
      </c>
      <c r="D113" s="564" t="e">
        <f>STDEV(E100:E103,G100:G103)/D112</f>
        <v>#DIV/0!</v>
      </c>
      <c r="E113" s="410"/>
      <c r="F113" s="476"/>
      <c r="G113" s="554"/>
      <c r="H113" s="458"/>
    </row>
    <row r="114" spans="1:8" ht="19.5" thickBot="1" x14ac:dyDescent="0.35">
      <c r="A114" s="410"/>
      <c r="B114" s="410"/>
      <c r="C114" s="565" t="s">
        <v>20</v>
      </c>
      <c r="D114" s="566">
        <f>COUNT(E100:E103,G100:G103)</f>
        <v>0</v>
      </c>
      <c r="E114" s="410"/>
      <c r="F114" s="476"/>
      <c r="G114" s="554"/>
      <c r="H114" s="458"/>
    </row>
    <row r="115" spans="1:8" ht="19.5" thickBot="1" x14ac:dyDescent="0.35">
      <c r="A115" s="412"/>
      <c r="B115" s="412"/>
      <c r="C115" s="412"/>
      <c r="D115" s="412"/>
      <c r="E115" s="412"/>
      <c r="F115" s="410"/>
      <c r="G115" s="410"/>
      <c r="H115" s="410"/>
    </row>
    <row r="116" spans="1:8" ht="39" x14ac:dyDescent="0.4">
      <c r="A116" s="434" t="s">
        <v>102</v>
      </c>
      <c r="B116" s="538">
        <v>1</v>
      </c>
      <c r="C116" s="567" t="s">
        <v>103</v>
      </c>
      <c r="D116" s="568" t="s">
        <v>65</v>
      </c>
      <c r="E116" s="569" t="s">
        <v>104</v>
      </c>
      <c r="F116" s="570" t="s">
        <v>105</v>
      </c>
      <c r="G116" s="410"/>
      <c r="H116" s="410"/>
    </row>
    <row r="117" spans="1:8" ht="26.25" x14ac:dyDescent="0.4">
      <c r="A117" s="436" t="s">
        <v>151</v>
      </c>
      <c r="B117" s="541">
        <v>1</v>
      </c>
      <c r="C117" s="498">
        <v>1</v>
      </c>
      <c r="D117" s="571"/>
      <c r="E117" s="572" t="str">
        <f>IF(ISBLANK(D117),"-",D117/$D$112*$D$109*$B$125)</f>
        <v>-</v>
      </c>
      <c r="F117" s="573" t="str">
        <f>IF(ISBLANK(D117), "-", E117/$B$56)</f>
        <v>-</v>
      </c>
      <c r="G117" s="410"/>
      <c r="H117" s="410"/>
    </row>
    <row r="118" spans="1:8" ht="26.25" x14ac:dyDescent="0.4">
      <c r="A118" s="436" t="s">
        <v>152</v>
      </c>
      <c r="B118" s="541">
        <v>1</v>
      </c>
      <c r="C118" s="498">
        <v>2</v>
      </c>
      <c r="D118" s="571"/>
      <c r="E118" s="574" t="str">
        <f t="shared" ref="E118:E122" si="5">IF(ISBLANK(D118),"-",D118/$D$112*$D$109*$B$125)</f>
        <v>-</v>
      </c>
      <c r="F118" s="575" t="str">
        <f t="shared" ref="F118:F121" si="6">IF(ISBLANK(D118), "-", E118/$B$56)</f>
        <v>-</v>
      </c>
      <c r="G118" s="410"/>
      <c r="H118" s="410"/>
    </row>
    <row r="119" spans="1:8" ht="26.25" x14ac:dyDescent="0.4">
      <c r="A119" s="436" t="s">
        <v>153</v>
      </c>
      <c r="B119" s="541">
        <v>1</v>
      </c>
      <c r="C119" s="498">
        <v>3</v>
      </c>
      <c r="D119" s="571"/>
      <c r="E119" s="574" t="str">
        <f t="shared" si="5"/>
        <v>-</v>
      </c>
      <c r="F119" s="575" t="str">
        <f t="shared" si="6"/>
        <v>-</v>
      </c>
      <c r="G119" s="410"/>
      <c r="H119" s="410"/>
    </row>
    <row r="120" spans="1:8" ht="26.25" x14ac:dyDescent="0.4">
      <c r="A120" s="436" t="s">
        <v>154</v>
      </c>
      <c r="B120" s="541">
        <v>1</v>
      </c>
      <c r="C120" s="498">
        <v>4</v>
      </c>
      <c r="D120" s="571"/>
      <c r="E120" s="574" t="str">
        <f t="shared" si="5"/>
        <v>-</v>
      </c>
      <c r="F120" s="575" t="str">
        <f t="shared" si="6"/>
        <v>-</v>
      </c>
      <c r="G120" s="410"/>
      <c r="H120" s="410"/>
    </row>
    <row r="121" spans="1:8" ht="26.25" x14ac:dyDescent="0.4">
      <c r="A121" s="436" t="s">
        <v>155</v>
      </c>
      <c r="B121" s="541">
        <v>1</v>
      </c>
      <c r="C121" s="498">
        <v>5</v>
      </c>
      <c r="D121" s="571"/>
      <c r="E121" s="574" t="str">
        <f t="shared" si="5"/>
        <v>-</v>
      </c>
      <c r="F121" s="575" t="str">
        <f t="shared" si="6"/>
        <v>-</v>
      </c>
      <c r="G121" s="410"/>
      <c r="H121" s="410"/>
    </row>
    <row r="122" spans="1:8" ht="26.25" x14ac:dyDescent="0.4">
      <c r="A122" s="436" t="s">
        <v>156</v>
      </c>
      <c r="B122" s="541">
        <v>1</v>
      </c>
      <c r="C122" s="576">
        <v>6</v>
      </c>
      <c r="D122" s="577"/>
      <c r="E122" s="578" t="str">
        <f t="shared" si="5"/>
        <v>-</v>
      </c>
      <c r="F122" s="579" t="str">
        <f>IF(ISBLANK(D122), "-", E122/$B$56)</f>
        <v>-</v>
      </c>
      <c r="G122" s="410"/>
      <c r="H122" s="410"/>
    </row>
    <row r="123" spans="1:8" ht="26.25" x14ac:dyDescent="0.4">
      <c r="A123" s="436" t="s">
        <v>157</v>
      </c>
      <c r="B123" s="541">
        <v>1</v>
      </c>
      <c r="C123" s="498"/>
      <c r="D123" s="580"/>
      <c r="E123" s="522"/>
      <c r="F123" s="502"/>
      <c r="G123" s="410"/>
      <c r="H123" s="410"/>
    </row>
    <row r="124" spans="1:8" ht="26.25" x14ac:dyDescent="0.4">
      <c r="A124" s="436" t="s">
        <v>158</v>
      </c>
      <c r="B124" s="541">
        <v>1</v>
      </c>
      <c r="C124" s="498"/>
      <c r="D124" s="581"/>
      <c r="E124" s="582" t="s">
        <v>67</v>
      </c>
      <c r="F124" s="583" t="e">
        <f>AVERAGE(F117:F122)</f>
        <v>#DIV/0!</v>
      </c>
      <c r="G124" s="410"/>
      <c r="H124" s="410"/>
    </row>
    <row r="125" spans="1:8" ht="27" thickBot="1" x14ac:dyDescent="0.45">
      <c r="A125" s="436" t="s">
        <v>106</v>
      </c>
      <c r="B125" s="584">
        <f>(B124/B123)*(B122/B121)*(B120/B119)*(B118/B117)*B116</f>
        <v>1</v>
      </c>
      <c r="C125" s="585"/>
      <c r="D125" s="586"/>
      <c r="E125" s="473" t="s">
        <v>78</v>
      </c>
      <c r="F125" s="517" t="e">
        <f>STDEV(F117:F122)/F124</f>
        <v>#DIV/0!</v>
      </c>
      <c r="G125" s="410"/>
      <c r="H125" s="410"/>
    </row>
    <row r="126" spans="1:8" ht="27" thickBot="1" x14ac:dyDescent="0.45">
      <c r="A126" s="610" t="s">
        <v>72</v>
      </c>
      <c r="B126" s="625"/>
      <c r="C126" s="587"/>
      <c r="D126" s="588"/>
      <c r="E126" s="589" t="s">
        <v>20</v>
      </c>
      <c r="F126" s="590">
        <f>COUNT(F117:F122)</f>
        <v>0</v>
      </c>
      <c r="G126" s="410"/>
      <c r="H126" s="410"/>
    </row>
    <row r="127" spans="1:8" ht="19.5" thickBot="1" x14ac:dyDescent="0.35">
      <c r="A127" s="612"/>
      <c r="B127" s="626"/>
      <c r="C127" s="522"/>
      <c r="D127" s="522"/>
      <c r="E127" s="522"/>
      <c r="F127" s="580"/>
      <c r="G127" s="522"/>
      <c r="H127" s="522"/>
    </row>
    <row r="128" spans="1:8" ht="18.75" x14ac:dyDescent="0.3">
      <c r="A128" s="432"/>
      <c r="B128" s="432"/>
      <c r="C128" s="522"/>
      <c r="D128" s="522"/>
      <c r="E128" s="522"/>
      <c r="F128" s="580"/>
      <c r="G128" s="522"/>
      <c r="H128" s="522"/>
    </row>
    <row r="129" spans="1:8" ht="18.75" x14ac:dyDescent="0.3">
      <c r="A129" s="422" t="s">
        <v>89</v>
      </c>
      <c r="B129" s="524" t="s">
        <v>107</v>
      </c>
      <c r="C129" s="628" t="str">
        <f>B20</f>
        <v>Artesunate</v>
      </c>
      <c r="D129" s="628"/>
      <c r="E129" s="525" t="s">
        <v>108</v>
      </c>
      <c r="F129" s="525"/>
      <c r="G129" s="529" t="e">
        <f>F124</f>
        <v>#DIV/0!</v>
      </c>
      <c r="H129" s="522"/>
    </row>
    <row r="130" spans="1:8" ht="19.5" thickBot="1" x14ac:dyDescent="0.35">
      <c r="A130" s="591"/>
      <c r="B130" s="591"/>
      <c r="C130" s="592"/>
      <c r="D130" s="592"/>
      <c r="E130" s="592"/>
      <c r="F130" s="592"/>
      <c r="G130" s="592"/>
      <c r="H130" s="592"/>
    </row>
    <row r="131" spans="1:8" ht="18.75" x14ac:dyDescent="0.3">
      <c r="A131" s="410"/>
      <c r="B131" s="627" t="s">
        <v>26</v>
      </c>
      <c r="C131" s="627"/>
      <c r="D131" s="410"/>
      <c r="E131" s="593" t="s">
        <v>27</v>
      </c>
      <c r="F131" s="594"/>
      <c r="G131" s="627" t="s">
        <v>28</v>
      </c>
      <c r="H131" s="627"/>
    </row>
    <row r="132" spans="1:8" ht="18.75" x14ac:dyDescent="0.3">
      <c r="A132" s="595" t="s">
        <v>29</v>
      </c>
      <c r="B132" s="596" t="s">
        <v>166</v>
      </c>
      <c r="C132" s="596"/>
      <c r="D132" s="410"/>
      <c r="E132" s="596"/>
      <c r="F132" s="522"/>
      <c r="G132" s="597"/>
      <c r="H132" s="597"/>
    </row>
    <row r="133" spans="1:8" ht="18.75" x14ac:dyDescent="0.3">
      <c r="A133" s="595" t="s">
        <v>30</v>
      </c>
      <c r="B133" s="598"/>
      <c r="C133" s="598"/>
      <c r="D133" s="410"/>
      <c r="E133" s="598"/>
      <c r="F133" s="522"/>
      <c r="G133" s="599"/>
      <c r="H133" s="599"/>
    </row>
  </sheetData>
  <mergeCells count="25">
    <mergeCell ref="B131:C131"/>
    <mergeCell ref="G131:H131"/>
    <mergeCell ref="C74:D74"/>
    <mergeCell ref="B78:C78"/>
    <mergeCell ref="B87:C87"/>
    <mergeCell ref="B88:C88"/>
    <mergeCell ref="C90:G90"/>
    <mergeCell ref="C93:H93"/>
    <mergeCell ref="C94:H94"/>
    <mergeCell ref="F98:G98"/>
    <mergeCell ref="A108:B109"/>
    <mergeCell ref="A126:B127"/>
    <mergeCell ref="C129:D129"/>
    <mergeCell ref="A68:B69"/>
    <mergeCell ref="A16:H16"/>
    <mergeCell ref="B18:C18"/>
    <mergeCell ref="B20:C20"/>
    <mergeCell ref="B26:C26"/>
    <mergeCell ref="B27:C27"/>
    <mergeCell ref="C29:G29"/>
    <mergeCell ref="C31:G31"/>
    <mergeCell ref="C32:G32"/>
    <mergeCell ref="D36:E36"/>
    <mergeCell ref="F36:G36"/>
    <mergeCell ref="A46:B47"/>
  </mergeCells>
  <conditionalFormatting sqref="D51">
    <cfRule type="cellIs" dxfId="16" priority="3" operator="greaterThan">
      <formula>0.02</formula>
    </cfRule>
  </conditionalFormatting>
  <conditionalFormatting sqref="C83">
    <cfRule type="cellIs" dxfId="15" priority="2" operator="greaterThan">
      <formula>15</formula>
    </cfRule>
  </conditionalFormatting>
  <conditionalFormatting sqref="D113">
    <cfRule type="cellIs" dxfId="14" priority="1" operator="greaterThan">
      <formula>0.02</formula>
    </cfRule>
  </conditionalFormatting>
  <pageMargins left="0.7" right="0.7" top="0.75" bottom="0.75" header="0.3" footer="0.3"/>
  <pageSetup scale="35" orientation="portrait" r:id="rId1"/>
  <rowBreaks count="1" manualBreakCount="1">
    <brk id="8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0" zoomScale="70" zoomScaleNormal="75" zoomScalePageLayoutView="70" workbookViewId="0">
      <selection activeCell="E25" sqref="E25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635" t="s">
        <v>109</v>
      </c>
      <c r="B1" s="635"/>
      <c r="C1" s="635"/>
      <c r="D1" s="635"/>
      <c r="E1" s="635"/>
      <c r="F1" s="635"/>
      <c r="G1" s="635"/>
      <c r="H1" s="635"/>
      <c r="I1" s="635"/>
    </row>
    <row r="2" spans="1:9" ht="15" x14ac:dyDescent="0.3">
      <c r="A2" s="635"/>
      <c r="B2" s="635"/>
      <c r="C2" s="635"/>
      <c r="D2" s="635"/>
      <c r="E2" s="635"/>
      <c r="F2" s="635"/>
      <c r="G2" s="635"/>
      <c r="H2" s="635"/>
      <c r="I2" s="635"/>
    </row>
    <row r="3" spans="1:9" ht="15" x14ac:dyDescent="0.3">
      <c r="A3" s="635"/>
      <c r="B3" s="635"/>
      <c r="C3" s="635"/>
      <c r="D3" s="635"/>
      <c r="E3" s="635"/>
      <c r="F3" s="635"/>
      <c r="G3" s="635"/>
      <c r="H3" s="635"/>
      <c r="I3" s="635"/>
    </row>
    <row r="4" spans="1:9" ht="15" x14ac:dyDescent="0.3">
      <c r="A4" s="635"/>
      <c r="B4" s="635"/>
      <c r="C4" s="635"/>
      <c r="D4" s="635"/>
      <c r="E4" s="635"/>
      <c r="F4" s="635"/>
      <c r="G4" s="635"/>
      <c r="H4" s="635"/>
      <c r="I4" s="635"/>
    </row>
    <row r="5" spans="1:9" ht="15" x14ac:dyDescent="0.3">
      <c r="A5" s="635"/>
      <c r="B5" s="635"/>
      <c r="C5" s="635"/>
      <c r="D5" s="635"/>
      <c r="E5" s="635"/>
      <c r="F5" s="635"/>
      <c r="G5" s="635"/>
      <c r="H5" s="635"/>
      <c r="I5" s="635"/>
    </row>
    <row r="6" spans="1:9" ht="15" x14ac:dyDescent="0.3">
      <c r="A6" s="635"/>
      <c r="B6" s="635"/>
      <c r="C6" s="635"/>
      <c r="D6" s="635"/>
      <c r="E6" s="635"/>
      <c r="F6" s="635"/>
      <c r="G6" s="635"/>
      <c r="H6" s="635"/>
      <c r="I6" s="635"/>
    </row>
    <row r="7" spans="1:9" ht="15" x14ac:dyDescent="0.3">
      <c r="A7" s="635"/>
      <c r="B7" s="635"/>
      <c r="C7" s="635"/>
      <c r="D7" s="635"/>
      <c r="E7" s="635"/>
      <c r="F7" s="635"/>
      <c r="G7" s="635"/>
      <c r="H7" s="635"/>
      <c r="I7" s="635"/>
    </row>
    <row r="8" spans="1:9" ht="15" x14ac:dyDescent="0.3">
      <c r="A8" s="634" t="s">
        <v>49</v>
      </c>
      <c r="B8" s="634"/>
      <c r="C8" s="634"/>
      <c r="D8" s="634"/>
      <c r="E8" s="634"/>
      <c r="F8" s="634"/>
      <c r="G8" s="634"/>
      <c r="H8" s="634"/>
      <c r="I8" s="634"/>
    </row>
    <row r="9" spans="1:9" ht="15" x14ac:dyDescent="0.3">
      <c r="A9" s="634"/>
      <c r="B9" s="634"/>
      <c r="C9" s="634"/>
      <c r="D9" s="634"/>
      <c r="E9" s="634"/>
      <c r="F9" s="634"/>
      <c r="G9" s="634"/>
      <c r="H9" s="634"/>
      <c r="I9" s="634"/>
    </row>
    <row r="10" spans="1:9" ht="15" x14ac:dyDescent="0.3">
      <c r="A10" s="634"/>
      <c r="B10" s="634"/>
      <c r="C10" s="634"/>
      <c r="D10" s="634"/>
      <c r="E10" s="634"/>
      <c r="F10" s="634"/>
      <c r="G10" s="634"/>
      <c r="H10" s="634"/>
      <c r="I10" s="634"/>
    </row>
    <row r="11" spans="1:9" ht="15" x14ac:dyDescent="0.3">
      <c r="A11" s="634"/>
      <c r="B11" s="634"/>
      <c r="C11" s="634"/>
      <c r="D11" s="634"/>
      <c r="E11" s="634"/>
      <c r="F11" s="634"/>
      <c r="G11" s="634"/>
      <c r="H11" s="634"/>
      <c r="I11" s="634"/>
    </row>
    <row r="12" spans="1:9" ht="15" x14ac:dyDescent="0.3">
      <c r="A12" s="634"/>
      <c r="B12" s="634"/>
      <c r="C12" s="634"/>
      <c r="D12" s="634"/>
      <c r="E12" s="634"/>
      <c r="F12" s="634"/>
      <c r="G12" s="634"/>
      <c r="H12" s="634"/>
      <c r="I12" s="634"/>
    </row>
    <row r="13" spans="1:9" ht="15" x14ac:dyDescent="0.3">
      <c r="A13" s="634"/>
      <c r="B13" s="634"/>
      <c r="C13" s="634"/>
      <c r="D13" s="634"/>
      <c r="E13" s="634"/>
      <c r="F13" s="634"/>
      <c r="G13" s="634"/>
      <c r="H13" s="634"/>
      <c r="I13" s="634"/>
    </row>
    <row r="14" spans="1:9" ht="15" x14ac:dyDescent="0.3">
      <c r="A14" s="634"/>
      <c r="B14" s="634"/>
      <c r="C14" s="634"/>
      <c r="D14" s="634"/>
      <c r="E14" s="634"/>
      <c r="F14" s="634"/>
      <c r="G14" s="634"/>
      <c r="H14" s="634"/>
      <c r="I14" s="634"/>
    </row>
    <row r="15" spans="1:9" ht="19.5" customHeight="1" x14ac:dyDescent="0.3"/>
    <row r="16" spans="1:9" ht="19.5" customHeight="1" x14ac:dyDescent="0.3">
      <c r="A16" s="639" t="s">
        <v>31</v>
      </c>
      <c r="B16" s="640"/>
      <c r="C16" s="640"/>
      <c r="D16" s="640"/>
      <c r="E16" s="640"/>
      <c r="F16" s="640"/>
      <c r="G16" s="640"/>
      <c r="H16" s="641"/>
    </row>
    <row r="17" spans="1:14" ht="18.75" x14ac:dyDescent="0.3">
      <c r="A17" s="642" t="s">
        <v>50</v>
      </c>
      <c r="B17" s="642"/>
      <c r="C17" s="642"/>
      <c r="D17" s="642"/>
      <c r="E17" s="642"/>
      <c r="F17" s="642"/>
      <c r="G17" s="642"/>
      <c r="H17" s="642"/>
    </row>
    <row r="18" spans="1:14" ht="18.75" x14ac:dyDescent="0.3">
      <c r="A18" s="129" t="s">
        <v>33</v>
      </c>
      <c r="B18" s="159" t="s">
        <v>5</v>
      </c>
      <c r="C18" s="159"/>
      <c r="D18" s="159"/>
      <c r="E18" s="159"/>
    </row>
    <row r="19" spans="1:14" ht="18.75" x14ac:dyDescent="0.3">
      <c r="A19" s="129" t="s">
        <v>34</v>
      </c>
      <c r="B19" s="160" t="s">
        <v>167</v>
      </c>
      <c r="C19" s="249">
        <v>22</v>
      </c>
    </row>
    <row r="20" spans="1:14" ht="18.75" x14ac:dyDescent="0.3">
      <c r="A20" s="129" t="s">
        <v>35</v>
      </c>
      <c r="B20" s="160" t="s">
        <v>165</v>
      </c>
    </row>
    <row r="21" spans="1:14" ht="18.75" x14ac:dyDescent="0.3">
      <c r="A21" s="129" t="s">
        <v>36</v>
      </c>
      <c r="B21" s="130" t="s">
        <v>164</v>
      </c>
      <c r="C21" s="130"/>
      <c r="D21" s="130"/>
      <c r="E21" s="130"/>
      <c r="F21" s="130"/>
      <c r="G21" s="130"/>
      <c r="H21" s="130"/>
      <c r="I21" s="126"/>
    </row>
    <row r="22" spans="1:14" ht="18.75" x14ac:dyDescent="0.3">
      <c r="A22" s="129" t="s">
        <v>37</v>
      </c>
      <c r="B22" s="161">
        <v>42478</v>
      </c>
    </row>
    <row r="23" spans="1:14" ht="18.75" x14ac:dyDescent="0.3">
      <c r="A23" s="129" t="s">
        <v>38</v>
      </c>
      <c r="B23" s="161">
        <v>42542</v>
      </c>
    </row>
    <row r="24" spans="1:14" ht="18.75" x14ac:dyDescent="0.3">
      <c r="A24" s="129"/>
      <c r="B24" s="131"/>
    </row>
    <row r="25" spans="1:14" ht="18.75" x14ac:dyDescent="0.3">
      <c r="A25" s="132" t="s">
        <v>1</v>
      </c>
      <c r="B25" s="138" t="s">
        <v>110</v>
      </c>
    </row>
    <row r="26" spans="1:14" s="37" customFormat="1" ht="18.75" x14ac:dyDescent="0.3">
      <c r="A26" s="133"/>
      <c r="B26" s="134"/>
      <c r="C26" s="156"/>
      <c r="D26" s="156"/>
      <c r="E26" s="156"/>
      <c r="F26" s="156"/>
      <c r="G26" s="128"/>
      <c r="H26" s="156"/>
      <c r="I26" s="157"/>
      <c r="J26" s="157"/>
      <c r="K26" s="157"/>
      <c r="L26" s="123"/>
      <c r="M26" s="123"/>
      <c r="N26" s="158"/>
    </row>
    <row r="27" spans="1:14" s="37" customFormat="1" ht="26.25" customHeight="1" x14ac:dyDescent="0.4">
      <c r="A27" s="168" t="s">
        <v>4</v>
      </c>
      <c r="B27" s="193" t="s">
        <v>163</v>
      </c>
      <c r="C27" s="191"/>
      <c r="D27" s="176"/>
      <c r="E27" s="169"/>
      <c r="F27" s="169"/>
      <c r="G27" s="169"/>
      <c r="H27" s="156"/>
      <c r="I27" s="157"/>
      <c r="J27" s="157"/>
      <c r="K27" s="157"/>
      <c r="L27" s="123"/>
      <c r="M27" s="123"/>
      <c r="N27" s="158"/>
    </row>
    <row r="28" spans="1:14" s="37" customFormat="1" ht="26.25" customHeight="1" x14ac:dyDescent="0.4">
      <c r="A28" s="135" t="s">
        <v>111</v>
      </c>
      <c r="B28" s="191">
        <v>105.98</v>
      </c>
      <c r="C28" s="192"/>
      <c r="D28" s="167"/>
      <c r="E28" s="167"/>
      <c r="F28" s="167"/>
      <c r="G28" s="167"/>
      <c r="H28" s="165"/>
      <c r="I28" s="157"/>
      <c r="J28" s="157"/>
      <c r="K28" s="157"/>
      <c r="L28" s="123"/>
      <c r="M28" s="123"/>
      <c r="N28" s="158"/>
    </row>
    <row r="29" spans="1:14" s="37" customFormat="1" ht="26.25" customHeight="1" x14ac:dyDescent="0.4">
      <c r="A29" s="217" t="s">
        <v>112</v>
      </c>
      <c r="B29" s="218">
        <v>0.5</v>
      </c>
      <c r="C29" s="192"/>
      <c r="D29" s="167"/>
      <c r="E29" s="167"/>
      <c r="F29" s="167"/>
      <c r="G29" s="167"/>
      <c r="H29" s="165"/>
      <c r="I29" s="157"/>
      <c r="J29" s="157"/>
      <c r="K29" s="157"/>
      <c r="L29" s="123"/>
      <c r="M29" s="123"/>
      <c r="N29" s="158"/>
    </row>
    <row r="30" spans="1:14" s="37" customFormat="1" ht="18.75" x14ac:dyDescent="0.3">
      <c r="A30" s="182" t="s">
        <v>113</v>
      </c>
      <c r="B30" s="177">
        <v>2</v>
      </c>
      <c r="C30" s="178" t="s">
        <v>114</v>
      </c>
      <c r="D30" s="177">
        <v>1</v>
      </c>
      <c r="F30" s="156"/>
      <c r="G30" s="128"/>
      <c r="H30" s="156"/>
      <c r="I30" s="157"/>
      <c r="J30" s="157"/>
      <c r="K30" s="157"/>
      <c r="L30" s="123"/>
      <c r="M30" s="123"/>
      <c r="N30" s="158"/>
    </row>
    <row r="31" spans="1:14" s="37" customFormat="1" ht="18.75" x14ac:dyDescent="0.3">
      <c r="A31" s="133"/>
      <c r="B31" s="134"/>
      <c r="C31" s="156"/>
      <c r="D31" s="156"/>
      <c r="E31" s="156"/>
      <c r="F31" s="156"/>
      <c r="G31" s="128"/>
      <c r="H31" s="156"/>
      <c r="I31" s="157"/>
      <c r="J31" s="157"/>
      <c r="K31" s="157"/>
      <c r="L31" s="123"/>
      <c r="M31" s="123"/>
      <c r="N31" s="158"/>
    </row>
    <row r="32" spans="1:14" s="37" customFormat="1" ht="19.5" customHeight="1" x14ac:dyDescent="0.3">
      <c r="A32" s="133"/>
      <c r="B32" s="134"/>
      <c r="C32" s="156"/>
      <c r="D32" s="156"/>
      <c r="E32" s="156"/>
      <c r="F32" s="156"/>
      <c r="G32" s="128"/>
      <c r="H32" s="156"/>
      <c r="I32" s="157"/>
      <c r="J32" s="157"/>
      <c r="K32" s="157"/>
      <c r="L32" s="123"/>
      <c r="M32" s="123"/>
      <c r="N32" s="158"/>
    </row>
    <row r="33" spans="1:14" s="37" customFormat="1" ht="19.5" customHeight="1" x14ac:dyDescent="0.3">
      <c r="A33" s="142" t="s">
        <v>115</v>
      </c>
      <c r="B33" s="142" t="s">
        <v>116</v>
      </c>
      <c r="C33" s="186" t="s">
        <v>117</v>
      </c>
      <c r="D33" s="142" t="s">
        <v>118</v>
      </c>
      <c r="E33" s="190" t="s">
        <v>119</v>
      </c>
      <c r="F33" s="194" t="s">
        <v>120</v>
      </c>
      <c r="G33" s="142" t="s">
        <v>121</v>
      </c>
      <c r="J33" s="157"/>
      <c r="K33" s="157"/>
      <c r="L33" s="123"/>
      <c r="M33" s="123"/>
      <c r="N33" s="158"/>
    </row>
    <row r="34" spans="1:14" s="37" customFormat="1" ht="26.25" customHeight="1" x14ac:dyDescent="0.4">
      <c r="A34" s="179" t="s">
        <v>122</v>
      </c>
      <c r="B34" s="183">
        <v>98.45</v>
      </c>
      <c r="C34" s="187">
        <f>IF(ISBLANK(B34), "-",B34/$B$28*($B$30/$D$30))</f>
        <v>1.8578977165502926</v>
      </c>
      <c r="D34" s="251">
        <v>3.7</v>
      </c>
      <c r="E34" s="219">
        <f>IF(ISBLANK(B34), "-",C34/D34)</f>
        <v>0.5021345179865655</v>
      </c>
      <c r="F34" s="228">
        <f>IF(ISBLANK(B34), "-",(E34-$B$29)/$B$29)</f>
        <v>4.2690359731309968E-3</v>
      </c>
      <c r="G34" s="222">
        <f>IF(ISBLANK(B34),"-",E34/$B$29)</f>
        <v>1.004269035973131</v>
      </c>
      <c r="J34" s="157"/>
      <c r="K34" s="157"/>
      <c r="L34" s="123"/>
      <c r="M34" s="123"/>
      <c r="N34" s="158"/>
    </row>
    <row r="35" spans="1:14" s="37" customFormat="1" ht="26.25" customHeight="1" x14ac:dyDescent="0.4">
      <c r="A35" s="180" t="s">
        <v>123</v>
      </c>
      <c r="B35" s="184">
        <v>100.89</v>
      </c>
      <c r="C35" s="188">
        <f>IF(ISBLANK(B35), "-",B35/$B$28*($B$30/$D$30))</f>
        <v>1.9039441404038497</v>
      </c>
      <c r="D35" s="252">
        <v>3.8</v>
      </c>
      <c r="E35" s="220">
        <f>IF(ISBLANK(B35), "-",C35/D35)</f>
        <v>0.50103793168522359</v>
      </c>
      <c r="F35" s="229">
        <f>IF(ISBLANK(B35), "-",(E35-$B$29)/$B$29)</f>
        <v>2.0758633704471841E-3</v>
      </c>
      <c r="G35" s="223">
        <f>IF(ISBLANK(B35),"-",E35/$B$29)</f>
        <v>1.0020758633704472</v>
      </c>
      <c r="J35" s="157"/>
      <c r="K35" s="157"/>
      <c r="L35" s="123"/>
      <c r="M35" s="123"/>
      <c r="N35" s="158"/>
    </row>
    <row r="36" spans="1:14" s="37" customFormat="1" ht="26.25" customHeight="1" x14ac:dyDescent="0.4">
      <c r="A36" s="180" t="s">
        <v>124</v>
      </c>
      <c r="B36" s="184">
        <v>101</v>
      </c>
      <c r="C36" s="188">
        <f>IF(ISBLANK(B36), "-",B36/$B$28*($B$30/$D$30))</f>
        <v>1.9060200037742969</v>
      </c>
      <c r="D36" s="252">
        <v>3.8</v>
      </c>
      <c r="E36" s="220">
        <f>IF(ISBLANK(B36), "-",C36/D36)</f>
        <v>0.50158421151955179</v>
      </c>
      <c r="F36" s="229">
        <f>IF(ISBLANK(B36), "-",(E36-$B$29)/$B$29)</f>
        <v>3.168423039103585E-3</v>
      </c>
      <c r="G36" s="223">
        <f>IF(ISBLANK(B36),"-",E36/$B$29)</f>
        <v>1.0031684230391036</v>
      </c>
      <c r="J36" s="157"/>
      <c r="K36" s="157"/>
      <c r="L36" s="123"/>
      <c r="M36" s="123"/>
      <c r="N36" s="158"/>
    </row>
    <row r="37" spans="1:14" s="37" customFormat="1" ht="27" customHeight="1" x14ac:dyDescent="0.4">
      <c r="A37" s="181" t="s">
        <v>125</v>
      </c>
      <c r="B37" s="185"/>
      <c r="C37" s="189" t="str">
        <f>IF(ISBLANK(B37), "-",B37/$B$28*($B$30/$D$30))</f>
        <v>-</v>
      </c>
      <c r="D37" s="253"/>
      <c r="E37" s="221" t="str">
        <f>IF(ISBLANK(B37), "-",C37/D37)</f>
        <v>-</v>
      </c>
      <c r="F37" s="230" t="str">
        <f>IF(ISBLANK(B37), "-",(E37-$B$29)/$B$29)</f>
        <v>-</v>
      </c>
      <c r="G37" s="224" t="str">
        <f>IF(ISBLANK(B37),"-",E37/$B$29)</f>
        <v>-</v>
      </c>
      <c r="J37" s="157"/>
      <c r="K37" s="157"/>
      <c r="L37" s="123"/>
      <c r="M37" s="123"/>
      <c r="N37" s="158"/>
    </row>
    <row r="38" spans="1:14" ht="19.5" customHeight="1" x14ac:dyDescent="0.3">
      <c r="A38" s="122"/>
      <c r="B38" s="122"/>
      <c r="C38" s="122"/>
      <c r="D38" s="207" t="s">
        <v>126</v>
      </c>
      <c r="E38" s="175">
        <f>AVERAGE(E34:E37)</f>
        <v>0.50158555373044689</v>
      </c>
      <c r="F38" s="247">
        <f>AVERAGE(F34:F37)</f>
        <v>3.1711074608939218E-3</v>
      </c>
      <c r="G38" s="246">
        <f>AVERAGE(G34:G37)</f>
        <v>1.0031711074608938</v>
      </c>
      <c r="H38" s="122"/>
      <c r="L38" s="123"/>
      <c r="M38" s="123"/>
      <c r="N38" s="124"/>
    </row>
    <row r="39" spans="1:14" ht="18.75" x14ac:dyDescent="0.3">
      <c r="A39" s="122"/>
      <c r="B39" s="162"/>
      <c r="C39" s="164"/>
      <c r="D39" s="171" t="s">
        <v>78</v>
      </c>
      <c r="E39" s="172">
        <f>STDEV(E34:E37)/E38</f>
        <v>1.093122357156179E-3</v>
      </c>
      <c r="F39" s="226"/>
      <c r="G39" s="122"/>
      <c r="H39" s="122"/>
    </row>
    <row r="40" spans="1:14" ht="19.5" customHeight="1" x14ac:dyDescent="0.3">
      <c r="A40" s="122"/>
      <c r="B40" s="162"/>
      <c r="C40" s="164"/>
      <c r="D40" s="173" t="s">
        <v>20</v>
      </c>
      <c r="E40" s="174">
        <f>COUNT(E34:E37)</f>
        <v>3</v>
      </c>
      <c r="F40" s="227"/>
      <c r="G40" s="122"/>
      <c r="H40" s="122"/>
    </row>
    <row r="41" spans="1:14" ht="18.75" x14ac:dyDescent="0.3">
      <c r="A41" s="166"/>
      <c r="B41" s="163"/>
      <c r="C41" s="162"/>
      <c r="D41" s="162"/>
      <c r="E41" s="162"/>
      <c r="F41" s="225"/>
      <c r="G41" s="122"/>
      <c r="H41" s="122"/>
    </row>
    <row r="43" spans="1:14" ht="18.75" x14ac:dyDescent="0.3">
      <c r="A43" s="137" t="s">
        <v>1</v>
      </c>
      <c r="B43" s="138" t="s">
        <v>79</v>
      </c>
    </row>
    <row r="44" spans="1:14" ht="18.75" x14ac:dyDescent="0.3">
      <c r="A44" s="133" t="s">
        <v>80</v>
      </c>
      <c r="B44" s="139" t="str">
        <f>B21</f>
        <v>Each Pack contains: Sodium BiCarbonate 50mg/mL</v>
      </c>
    </row>
    <row r="45" spans="1:14" ht="18.75" x14ac:dyDescent="0.3">
      <c r="A45" s="140"/>
      <c r="B45" s="250"/>
      <c r="H45" s="141"/>
    </row>
    <row r="46" spans="1:14" ht="26.25" customHeight="1" x14ac:dyDescent="0.4">
      <c r="A46" s="139" t="s">
        <v>127</v>
      </c>
      <c r="B46" s="263">
        <v>1</v>
      </c>
      <c r="C46" s="128" t="s">
        <v>128</v>
      </c>
      <c r="D46" s="264">
        <v>50</v>
      </c>
      <c r="E46" s="128" t="str">
        <f>B20</f>
        <v>Sodium Bicarbonate</v>
      </c>
      <c r="H46" s="141"/>
    </row>
    <row r="47" spans="1:14" ht="18.75" x14ac:dyDescent="0.3">
      <c r="A47" s="139"/>
      <c r="B47" s="248"/>
      <c r="H47" s="141"/>
    </row>
    <row r="48" spans="1:14" ht="26.25" customHeight="1" x14ac:dyDescent="0.4">
      <c r="A48" s="133" t="s">
        <v>129</v>
      </c>
      <c r="B48" s="265">
        <v>42</v>
      </c>
      <c r="C48" s="122" t="str">
        <f>B20</f>
        <v>Sodium Bicarbonate</v>
      </c>
      <c r="H48" s="141"/>
    </row>
    <row r="49" spans="1:10" ht="19.5" customHeight="1" x14ac:dyDescent="0.3">
      <c r="A49" s="122"/>
      <c r="B49" s="122"/>
      <c r="C49" s="122"/>
      <c r="D49" s="122"/>
      <c r="H49" s="141"/>
    </row>
    <row r="50" spans="1:10" ht="19.5" customHeight="1" x14ac:dyDescent="0.3">
      <c r="C50" s="122"/>
      <c r="D50" s="122"/>
      <c r="E50" s="122"/>
      <c r="F50" s="122"/>
      <c r="G50" s="637" t="s">
        <v>130</v>
      </c>
      <c r="H50" s="638"/>
      <c r="J50" s="236"/>
    </row>
    <row r="51" spans="1:10" ht="19.5" customHeight="1" x14ac:dyDescent="0.3">
      <c r="A51" s="195" t="s">
        <v>131</v>
      </c>
      <c r="B51" s="142" t="s">
        <v>132</v>
      </c>
      <c r="C51" s="142" t="s">
        <v>133</v>
      </c>
      <c r="D51" s="142" t="s">
        <v>134</v>
      </c>
      <c r="E51" s="142" t="s">
        <v>135</v>
      </c>
      <c r="F51" s="210" t="s">
        <v>136</v>
      </c>
      <c r="G51" s="142" t="s">
        <v>137</v>
      </c>
      <c r="H51" s="142" t="s">
        <v>138</v>
      </c>
      <c r="I51" s="262" t="s">
        <v>139</v>
      </c>
      <c r="J51" s="196"/>
    </row>
    <row r="52" spans="1:10" ht="26.25" customHeight="1" x14ac:dyDescent="0.4">
      <c r="A52" s="197" t="s">
        <v>122</v>
      </c>
      <c r="B52" s="200">
        <v>2</v>
      </c>
      <c r="C52" s="254">
        <v>2.4</v>
      </c>
      <c r="D52" s="204">
        <v>0</v>
      </c>
      <c r="E52" s="257">
        <f>IF(ISBLANK(B52),"-",C52-$D$56)</f>
        <v>2.4</v>
      </c>
      <c r="F52" s="213">
        <f>IF(ISBLANK(B52), "-",E52*$G$38)</f>
        <v>2.4076106579061451</v>
      </c>
      <c r="G52" s="231">
        <f>IF(ISBLANK(B52),"-",F52*$B$48)</f>
        <v>101.11964763205809</v>
      </c>
      <c r="H52" s="212">
        <f>IF(ISBLANK(B52),"-",G52*$B$46/B52)</f>
        <v>50.559823816029045</v>
      </c>
      <c r="I52" s="242">
        <f>IF(ISBLANK(B52),"-",H52/$D$46)</f>
        <v>1.011196476320581</v>
      </c>
      <c r="J52" s="237"/>
    </row>
    <row r="53" spans="1:10" ht="26.25" customHeight="1" x14ac:dyDescent="0.4">
      <c r="A53" s="198" t="s">
        <v>123</v>
      </c>
      <c r="B53" s="201">
        <v>2</v>
      </c>
      <c r="C53" s="255">
        <v>2.4</v>
      </c>
      <c r="D53" s="205">
        <v>0</v>
      </c>
      <c r="E53" s="258">
        <f>IF(ISBLANK(B53),"-",C53-$D$56)</f>
        <v>2.4</v>
      </c>
      <c r="F53" s="214">
        <f>IF(ISBLANK(B53), "-",E53*$G$38)</f>
        <v>2.4076106579061451</v>
      </c>
      <c r="G53" s="232">
        <f>IF(ISBLANK(B53),"-",F53*$B$48)</f>
        <v>101.11964763205809</v>
      </c>
      <c r="H53" s="235">
        <f>IF(ISBLANK(B53),"-",G53*$B$46/B53)</f>
        <v>50.559823816029045</v>
      </c>
      <c r="I53" s="243">
        <f>IF(ISBLANK(B53),"-",H53/$D$46)</f>
        <v>1.011196476320581</v>
      </c>
      <c r="J53" s="237"/>
    </row>
    <row r="54" spans="1:10" ht="26.25" customHeight="1" x14ac:dyDescent="0.4">
      <c r="A54" s="198" t="s">
        <v>124</v>
      </c>
      <c r="B54" s="201">
        <v>2</v>
      </c>
      <c r="C54" s="255">
        <v>2.4</v>
      </c>
      <c r="D54" s="205">
        <v>0</v>
      </c>
      <c r="E54" s="258">
        <f>IF(ISBLANK(B54),"-",C54-$D$56)</f>
        <v>2.4</v>
      </c>
      <c r="F54" s="214">
        <f>IF(ISBLANK(B54), "-",E54*$G$38)</f>
        <v>2.4076106579061451</v>
      </c>
      <c r="G54" s="232">
        <f>IF(ISBLANK(B54),"-",F54*$B$48)</f>
        <v>101.11964763205809</v>
      </c>
      <c r="H54" s="235">
        <f>IF(ISBLANK(B54),"-",G54*$B$46/B54)</f>
        <v>50.559823816029045</v>
      </c>
      <c r="I54" s="243">
        <f>IF(ISBLANK(B54),"-",H54/$D$46)</f>
        <v>1.011196476320581</v>
      </c>
      <c r="J54" s="237"/>
    </row>
    <row r="55" spans="1:10" ht="27" customHeight="1" x14ac:dyDescent="0.4">
      <c r="A55" s="199" t="s">
        <v>125</v>
      </c>
      <c r="B55" s="202"/>
      <c r="C55" s="256"/>
      <c r="D55" s="206"/>
      <c r="E55" s="216" t="str">
        <f>IF(ISBLANK(B55),"-",C55-$D$56)</f>
        <v>-</v>
      </c>
      <c r="F55" s="215" t="str">
        <f>IF(ISBLANK(B55), "-",E55*$G$38)</f>
        <v>-</v>
      </c>
      <c r="G55" s="233" t="str">
        <f>IF(ISBLANK(B55),"-",F55*$B$48)</f>
        <v>-</v>
      </c>
      <c r="H55" s="245" t="str">
        <f>IF(ISBLANK(B55),"-",G55*$B$46/B55)</f>
        <v>-</v>
      </c>
      <c r="I55" s="243" t="str">
        <f>IF(ISBLANK(B55),"-",H55/$D$46)</f>
        <v>-</v>
      </c>
      <c r="J55" s="238"/>
    </row>
    <row r="56" spans="1:10" ht="26.25" customHeight="1" x14ac:dyDescent="0.4">
      <c r="C56" s="170" t="s">
        <v>126</v>
      </c>
      <c r="D56" s="203">
        <f>AVERAGE(D52:D55)</f>
        <v>0</v>
      </c>
      <c r="F56" s="170" t="s">
        <v>126</v>
      </c>
      <c r="G56" s="211">
        <f>AVERAGE(G52:G55)</f>
        <v>101.11964763205809</v>
      </c>
      <c r="H56" s="259">
        <f>AVERAGE(H52:H55)</f>
        <v>50.559823816029045</v>
      </c>
      <c r="I56" s="244">
        <f>AVERAGE(I52:I55)</f>
        <v>1.011196476320581</v>
      </c>
      <c r="J56" s="239"/>
    </row>
    <row r="57" spans="1:10" ht="26.25" customHeight="1" x14ac:dyDescent="0.4">
      <c r="B57" s="6" t="str">
        <f>Uniformity!C46</f>
        <v>% Deviation from mean</v>
      </c>
      <c r="C57" s="171" t="s">
        <v>78</v>
      </c>
      <c r="D57" s="172" t="str">
        <f>IF(D56=0,"-",STDEV(D52:D55)/D56)</f>
        <v>-</v>
      </c>
      <c r="F57" s="171" t="s">
        <v>78</v>
      </c>
      <c r="G57" s="234"/>
      <c r="H57" s="260">
        <f>STDEV(H52:H55)/H56</f>
        <v>0</v>
      </c>
      <c r="I57" s="208">
        <f>STDEV(I52:I55)/I56</f>
        <v>0</v>
      </c>
      <c r="J57" s="240"/>
    </row>
    <row r="58" spans="1:10" ht="27" customHeight="1" x14ac:dyDescent="0.4">
      <c r="C58" s="173" t="s">
        <v>20</v>
      </c>
      <c r="D58" s="174">
        <f>COUNT(D52:D55)</f>
        <v>3</v>
      </c>
      <c r="F58" s="173" t="s">
        <v>20</v>
      </c>
      <c r="G58" s="209">
        <f>COUNT(G52:G55)</f>
        <v>3</v>
      </c>
      <c r="H58" s="261">
        <f>COUNT(H52:H55)</f>
        <v>3</v>
      </c>
      <c r="I58" s="209">
        <f>COUNT(I52:I55)</f>
        <v>3</v>
      </c>
      <c r="J58" s="241"/>
    </row>
    <row r="59" spans="1:10" ht="18.75" x14ac:dyDescent="0.3">
      <c r="H59" s="141"/>
      <c r="J59" s="124"/>
    </row>
    <row r="60" spans="1:10" ht="18.75" x14ac:dyDescent="0.3">
      <c r="H60" s="141"/>
    </row>
    <row r="61" spans="1:10" ht="19.5" customHeight="1" x14ac:dyDescent="0.3">
      <c r="A61" s="127"/>
      <c r="B61" s="127"/>
      <c r="C61" s="146"/>
      <c r="D61" s="146"/>
      <c r="E61" s="146"/>
      <c r="F61" s="146"/>
      <c r="G61" s="146"/>
      <c r="H61" s="146"/>
    </row>
    <row r="62" spans="1:10" ht="18.75" x14ac:dyDescent="0.3">
      <c r="B62" s="636" t="s">
        <v>26</v>
      </c>
      <c r="C62" s="636"/>
      <c r="E62" s="155" t="s">
        <v>27</v>
      </c>
      <c r="F62" s="147"/>
      <c r="G62" s="636" t="s">
        <v>28</v>
      </c>
      <c r="H62" s="636"/>
    </row>
    <row r="63" spans="1:10" ht="83.25" customHeight="1" x14ac:dyDescent="0.3">
      <c r="A63" s="148" t="s">
        <v>29</v>
      </c>
      <c r="B63" s="149" t="s">
        <v>166</v>
      </c>
      <c r="C63" s="149"/>
      <c r="E63" s="150"/>
      <c r="F63" s="145"/>
      <c r="G63" s="151"/>
      <c r="H63" s="151"/>
    </row>
    <row r="64" spans="1:10" ht="84" customHeight="1" x14ac:dyDescent="0.3">
      <c r="A64" s="148" t="s">
        <v>30</v>
      </c>
      <c r="B64" s="152"/>
      <c r="C64" s="152"/>
      <c r="E64" s="153"/>
      <c r="F64" s="145"/>
      <c r="G64" s="154"/>
      <c r="H64" s="154"/>
    </row>
    <row r="65" spans="1:9" ht="18.75" x14ac:dyDescent="0.3">
      <c r="A65" s="143"/>
      <c r="B65" s="143"/>
      <c r="C65" s="136"/>
      <c r="D65" s="136"/>
      <c r="E65" s="136"/>
      <c r="F65" s="144"/>
      <c r="G65" s="136"/>
      <c r="H65" s="136"/>
      <c r="I65" s="125"/>
    </row>
    <row r="66" spans="1:9" ht="18.75" x14ac:dyDescent="0.3">
      <c r="A66" s="143"/>
      <c r="B66" s="143"/>
      <c r="C66" s="136"/>
      <c r="D66" s="136"/>
      <c r="E66" s="136"/>
      <c r="F66" s="144"/>
      <c r="G66" s="136"/>
      <c r="H66" s="136"/>
      <c r="I66" s="125"/>
    </row>
    <row r="67" spans="1:9" ht="18.75" x14ac:dyDescent="0.3">
      <c r="A67" s="143"/>
      <c r="B67" s="143"/>
      <c r="C67" s="136"/>
      <c r="D67" s="136"/>
      <c r="E67" s="136"/>
      <c r="F67" s="144"/>
      <c r="G67" s="136"/>
      <c r="H67" s="136"/>
      <c r="I67" s="125"/>
    </row>
    <row r="68" spans="1:9" ht="18.75" x14ac:dyDescent="0.3">
      <c r="A68" s="143"/>
      <c r="B68" s="143"/>
      <c r="C68" s="136"/>
      <c r="D68" s="136"/>
      <c r="E68" s="136"/>
      <c r="F68" s="144"/>
      <c r="G68" s="136"/>
      <c r="H68" s="136"/>
      <c r="I68" s="125"/>
    </row>
    <row r="69" spans="1:9" ht="18.75" x14ac:dyDescent="0.3">
      <c r="A69" s="143"/>
      <c r="B69" s="143"/>
      <c r="C69" s="136"/>
      <c r="D69" s="136"/>
      <c r="E69" s="136"/>
      <c r="F69" s="144"/>
      <c r="G69" s="136"/>
      <c r="H69" s="136"/>
      <c r="I69" s="125"/>
    </row>
    <row r="70" spans="1:9" ht="18.75" x14ac:dyDescent="0.3">
      <c r="A70" s="143"/>
      <c r="B70" s="143"/>
      <c r="C70" s="136"/>
      <c r="D70" s="136"/>
      <c r="E70" s="136"/>
      <c r="F70" s="144"/>
      <c r="G70" s="136"/>
      <c r="H70" s="136"/>
      <c r="I70" s="125"/>
    </row>
    <row r="71" spans="1:9" ht="18.75" x14ac:dyDescent="0.3">
      <c r="A71" s="143"/>
      <c r="B71" s="143"/>
      <c r="C71" s="136"/>
      <c r="D71" s="136"/>
      <c r="E71" s="136"/>
      <c r="F71" s="144"/>
      <c r="G71" s="136"/>
      <c r="H71" s="136"/>
      <c r="I71" s="125"/>
    </row>
    <row r="72" spans="1:9" ht="18.75" x14ac:dyDescent="0.3">
      <c r="A72" s="143"/>
      <c r="B72" s="143"/>
      <c r="C72" s="136"/>
      <c r="D72" s="136"/>
      <c r="E72" s="136"/>
      <c r="F72" s="144"/>
      <c r="G72" s="136"/>
      <c r="H72" s="136"/>
      <c r="I72" s="125"/>
    </row>
    <row r="73" spans="1:9" ht="18.75" x14ac:dyDescent="0.3">
      <c r="A73" s="143"/>
      <c r="B73" s="143"/>
      <c r="C73" s="136"/>
      <c r="D73" s="136"/>
      <c r="E73" s="136"/>
      <c r="F73" s="144"/>
      <c r="G73" s="136"/>
      <c r="H73" s="136"/>
      <c r="I73" s="125"/>
    </row>
    <row r="250" spans="1:1" x14ac:dyDescent="0.3">
      <c r="A250" s="6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0" zoomScale="55" zoomScaleNormal="75" zoomScalePageLayoutView="55" workbookViewId="0">
      <selection activeCell="C55" sqref="C55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635" t="s">
        <v>109</v>
      </c>
      <c r="B1" s="635"/>
      <c r="C1" s="635"/>
      <c r="D1" s="635"/>
      <c r="E1" s="635"/>
      <c r="F1" s="635"/>
      <c r="G1" s="635"/>
      <c r="H1" s="635"/>
      <c r="I1" s="635"/>
    </row>
    <row r="2" spans="1:9" ht="15" x14ac:dyDescent="0.3">
      <c r="A2" s="635"/>
      <c r="B2" s="635"/>
      <c r="C2" s="635"/>
      <c r="D2" s="635"/>
      <c r="E2" s="635"/>
      <c r="F2" s="635"/>
      <c r="G2" s="635"/>
      <c r="H2" s="635"/>
      <c r="I2" s="635"/>
    </row>
    <row r="3" spans="1:9" ht="15" x14ac:dyDescent="0.3">
      <c r="A3" s="635"/>
      <c r="B3" s="635"/>
      <c r="C3" s="635"/>
      <c r="D3" s="635"/>
      <c r="E3" s="635"/>
      <c r="F3" s="635"/>
      <c r="G3" s="635"/>
      <c r="H3" s="635"/>
      <c r="I3" s="635"/>
    </row>
    <row r="4" spans="1:9" ht="15" x14ac:dyDescent="0.3">
      <c r="A4" s="635"/>
      <c r="B4" s="635"/>
      <c r="C4" s="635"/>
      <c r="D4" s="635"/>
      <c r="E4" s="635"/>
      <c r="F4" s="635"/>
      <c r="G4" s="635"/>
      <c r="H4" s="635"/>
      <c r="I4" s="635"/>
    </row>
    <row r="5" spans="1:9" ht="15" x14ac:dyDescent="0.3">
      <c r="A5" s="635"/>
      <c r="B5" s="635"/>
      <c r="C5" s="635"/>
      <c r="D5" s="635"/>
      <c r="E5" s="635"/>
      <c r="F5" s="635"/>
      <c r="G5" s="635"/>
      <c r="H5" s="635"/>
      <c r="I5" s="635"/>
    </row>
    <row r="6" spans="1:9" ht="15" x14ac:dyDescent="0.3">
      <c r="A6" s="635"/>
      <c r="B6" s="635"/>
      <c r="C6" s="635"/>
      <c r="D6" s="635"/>
      <c r="E6" s="635"/>
      <c r="F6" s="635"/>
      <c r="G6" s="635"/>
      <c r="H6" s="635"/>
      <c r="I6" s="635"/>
    </row>
    <row r="7" spans="1:9" ht="15" x14ac:dyDescent="0.3">
      <c r="A7" s="635"/>
      <c r="B7" s="635"/>
      <c r="C7" s="635"/>
      <c r="D7" s="635"/>
      <c r="E7" s="635"/>
      <c r="F7" s="635"/>
      <c r="G7" s="635"/>
      <c r="H7" s="635"/>
      <c r="I7" s="635"/>
    </row>
    <row r="8" spans="1:9" ht="15" x14ac:dyDescent="0.3">
      <c r="A8" s="634" t="s">
        <v>49</v>
      </c>
      <c r="B8" s="634"/>
      <c r="C8" s="634"/>
      <c r="D8" s="634"/>
      <c r="E8" s="634"/>
      <c r="F8" s="634"/>
      <c r="G8" s="634"/>
      <c r="H8" s="634"/>
      <c r="I8" s="634"/>
    </row>
    <row r="9" spans="1:9" ht="15" x14ac:dyDescent="0.3">
      <c r="A9" s="634"/>
      <c r="B9" s="634"/>
      <c r="C9" s="634"/>
      <c r="D9" s="634"/>
      <c r="E9" s="634"/>
      <c r="F9" s="634"/>
      <c r="G9" s="634"/>
      <c r="H9" s="634"/>
      <c r="I9" s="634"/>
    </row>
    <row r="10" spans="1:9" ht="15" x14ac:dyDescent="0.3">
      <c r="A10" s="634"/>
      <c r="B10" s="634"/>
      <c r="C10" s="634"/>
      <c r="D10" s="634"/>
      <c r="E10" s="634"/>
      <c r="F10" s="634"/>
      <c r="G10" s="634"/>
      <c r="H10" s="634"/>
      <c r="I10" s="634"/>
    </row>
    <row r="11" spans="1:9" ht="15" x14ac:dyDescent="0.3">
      <c r="A11" s="634"/>
      <c r="B11" s="634"/>
      <c r="C11" s="634"/>
      <c r="D11" s="634"/>
      <c r="E11" s="634"/>
      <c r="F11" s="634"/>
      <c r="G11" s="634"/>
      <c r="H11" s="634"/>
      <c r="I11" s="634"/>
    </row>
    <row r="12" spans="1:9" ht="15" x14ac:dyDescent="0.3">
      <c r="A12" s="634"/>
      <c r="B12" s="634"/>
      <c r="C12" s="634"/>
      <c r="D12" s="634"/>
      <c r="E12" s="634"/>
      <c r="F12" s="634"/>
      <c r="G12" s="634"/>
      <c r="H12" s="634"/>
      <c r="I12" s="634"/>
    </row>
    <row r="13" spans="1:9" ht="15" x14ac:dyDescent="0.3">
      <c r="A13" s="634"/>
      <c r="B13" s="634"/>
      <c r="C13" s="634"/>
      <c r="D13" s="634"/>
      <c r="E13" s="634"/>
      <c r="F13" s="634"/>
      <c r="G13" s="634"/>
      <c r="H13" s="634"/>
      <c r="I13" s="634"/>
    </row>
    <row r="14" spans="1:9" ht="15" x14ac:dyDescent="0.3">
      <c r="A14" s="634"/>
      <c r="B14" s="634"/>
      <c r="C14" s="634"/>
      <c r="D14" s="634"/>
      <c r="E14" s="634"/>
      <c r="F14" s="634"/>
      <c r="G14" s="634"/>
      <c r="H14" s="634"/>
      <c r="I14" s="634"/>
    </row>
    <row r="15" spans="1:9" ht="19.5" customHeight="1" x14ac:dyDescent="0.3"/>
    <row r="16" spans="1:9" ht="19.5" customHeight="1" x14ac:dyDescent="0.3">
      <c r="A16" s="639" t="s">
        <v>31</v>
      </c>
      <c r="B16" s="640"/>
      <c r="C16" s="640"/>
      <c r="D16" s="640"/>
      <c r="E16" s="640"/>
      <c r="F16" s="640"/>
      <c r="G16" s="640"/>
      <c r="H16" s="641"/>
    </row>
    <row r="17" spans="1:14" ht="18.75" x14ac:dyDescent="0.3">
      <c r="A17" s="642" t="s">
        <v>50</v>
      </c>
      <c r="B17" s="642"/>
      <c r="C17" s="642"/>
      <c r="D17" s="642"/>
      <c r="E17" s="642"/>
      <c r="F17" s="642"/>
      <c r="G17" s="642"/>
      <c r="H17" s="642"/>
    </row>
    <row r="18" spans="1:14" ht="18.75" x14ac:dyDescent="0.3">
      <c r="A18" s="273" t="s">
        <v>33</v>
      </c>
      <c r="B18" s="303" t="s">
        <v>5</v>
      </c>
      <c r="C18" s="303"/>
      <c r="D18" s="303"/>
      <c r="E18" s="303"/>
    </row>
    <row r="19" spans="1:14" ht="18.75" x14ac:dyDescent="0.3">
      <c r="A19" s="273" t="s">
        <v>34</v>
      </c>
      <c r="B19" s="304" t="s">
        <v>7</v>
      </c>
      <c r="C19" s="393">
        <v>22</v>
      </c>
    </row>
    <row r="20" spans="1:14" ht="18.75" x14ac:dyDescent="0.3">
      <c r="A20" s="273" t="s">
        <v>35</v>
      </c>
      <c r="B20" s="304" t="s">
        <v>9</v>
      </c>
    </row>
    <row r="21" spans="1:14" ht="18.75" x14ac:dyDescent="0.3">
      <c r="A21" s="273" t="s">
        <v>36</v>
      </c>
      <c r="B21" s="274" t="s">
        <v>11</v>
      </c>
      <c r="C21" s="274"/>
      <c r="D21" s="274"/>
      <c r="E21" s="274"/>
      <c r="F21" s="274"/>
      <c r="G21" s="274"/>
      <c r="H21" s="274"/>
      <c r="I21" s="270"/>
    </row>
    <row r="22" spans="1:14" ht="18.75" x14ac:dyDescent="0.3">
      <c r="A22" s="273" t="s">
        <v>37</v>
      </c>
      <c r="B22" s="305" t="s">
        <v>12</v>
      </c>
    </row>
    <row r="23" spans="1:14" ht="18.75" x14ac:dyDescent="0.3">
      <c r="A23" s="273" t="s">
        <v>38</v>
      </c>
      <c r="B23" s="305">
        <v>42251</v>
      </c>
    </row>
    <row r="24" spans="1:14" ht="18.75" x14ac:dyDescent="0.3">
      <c r="A24" s="273"/>
      <c r="B24" s="275"/>
    </row>
    <row r="25" spans="1:14" ht="18.75" x14ac:dyDescent="0.3">
      <c r="A25" s="276" t="s">
        <v>1</v>
      </c>
      <c r="B25" s="282" t="s">
        <v>110</v>
      </c>
    </row>
    <row r="26" spans="1:14" s="37" customFormat="1" ht="18.75" x14ac:dyDescent="0.3">
      <c r="A26" s="277"/>
      <c r="B26" s="278"/>
      <c r="C26" s="300"/>
      <c r="D26" s="300"/>
      <c r="E26" s="300"/>
      <c r="F26" s="300"/>
      <c r="G26" s="272"/>
      <c r="H26" s="300"/>
      <c r="I26" s="301"/>
      <c r="J26" s="301"/>
      <c r="K26" s="301"/>
      <c r="L26" s="267"/>
      <c r="M26" s="267"/>
      <c r="N26" s="302"/>
    </row>
    <row r="27" spans="1:14" s="37" customFormat="1" ht="26.25" customHeight="1" x14ac:dyDescent="0.4">
      <c r="A27" s="312" t="s">
        <v>4</v>
      </c>
      <c r="B27" s="337" t="s">
        <v>162</v>
      </c>
      <c r="C27" s="335"/>
      <c r="D27" s="320"/>
      <c r="E27" s="313"/>
      <c r="F27" s="313"/>
      <c r="G27" s="313"/>
      <c r="H27" s="300"/>
      <c r="I27" s="301"/>
      <c r="J27" s="301"/>
      <c r="K27" s="301"/>
      <c r="L27" s="267"/>
      <c r="M27" s="267"/>
      <c r="N27" s="302"/>
    </row>
    <row r="28" spans="1:14" s="37" customFormat="1" ht="26.25" customHeight="1" x14ac:dyDescent="0.4">
      <c r="A28" s="279" t="s">
        <v>111</v>
      </c>
      <c r="B28" s="335">
        <v>58.44</v>
      </c>
      <c r="C28" s="336"/>
      <c r="D28" s="311"/>
      <c r="E28" s="311"/>
      <c r="F28" s="311"/>
      <c r="G28" s="311"/>
      <c r="H28" s="309"/>
      <c r="I28" s="301"/>
      <c r="J28" s="301"/>
      <c r="K28" s="301"/>
      <c r="L28" s="267"/>
      <c r="M28" s="267"/>
      <c r="N28" s="302"/>
    </row>
    <row r="29" spans="1:14" s="37" customFormat="1" ht="26.25" customHeight="1" x14ac:dyDescent="0.4">
      <c r="A29" s="361" t="s">
        <v>112</v>
      </c>
      <c r="B29" s="362">
        <v>0.1</v>
      </c>
      <c r="C29" s="336"/>
      <c r="D29" s="311"/>
      <c r="E29" s="311"/>
      <c r="F29" s="311"/>
      <c r="G29" s="311"/>
      <c r="H29" s="309"/>
      <c r="I29" s="301"/>
      <c r="J29" s="301"/>
      <c r="K29" s="301"/>
      <c r="L29" s="267"/>
      <c r="M29" s="267"/>
      <c r="N29" s="302"/>
    </row>
    <row r="30" spans="1:14" s="37" customFormat="1" ht="18.75" x14ac:dyDescent="0.3">
      <c r="A30" s="326" t="s">
        <v>113</v>
      </c>
      <c r="B30" s="321">
        <v>1</v>
      </c>
      <c r="C30" s="322" t="s">
        <v>114</v>
      </c>
      <c r="D30" s="321">
        <v>1</v>
      </c>
      <c r="F30" s="300"/>
      <c r="G30" s="272"/>
      <c r="H30" s="300"/>
      <c r="I30" s="301"/>
      <c r="J30" s="301"/>
      <c r="K30" s="301"/>
      <c r="L30" s="267"/>
      <c r="M30" s="267"/>
      <c r="N30" s="302"/>
    </row>
    <row r="31" spans="1:14" s="37" customFormat="1" ht="18.75" x14ac:dyDescent="0.3">
      <c r="A31" s="277"/>
      <c r="B31" s="278"/>
      <c r="C31" s="300"/>
      <c r="D31" s="300"/>
      <c r="E31" s="300"/>
      <c r="F31" s="300"/>
      <c r="G31" s="272"/>
      <c r="H31" s="300"/>
      <c r="I31" s="301"/>
      <c r="J31" s="301"/>
      <c r="K31" s="301"/>
      <c r="L31" s="267"/>
      <c r="M31" s="267"/>
      <c r="N31" s="302"/>
    </row>
    <row r="32" spans="1:14" s="37" customFormat="1" ht="19.5" customHeight="1" x14ac:dyDescent="0.3">
      <c r="A32" s="277"/>
      <c r="B32" s="278"/>
      <c r="C32" s="300"/>
      <c r="D32" s="300"/>
      <c r="E32" s="300"/>
      <c r="F32" s="300"/>
      <c r="G32" s="272"/>
      <c r="H32" s="300"/>
      <c r="I32" s="301"/>
      <c r="J32" s="301"/>
      <c r="K32" s="301"/>
      <c r="L32" s="267"/>
      <c r="M32" s="267"/>
      <c r="N32" s="302"/>
    </row>
    <row r="33" spans="1:14" s="37" customFormat="1" ht="19.5" customHeight="1" x14ac:dyDescent="0.3">
      <c r="A33" s="286" t="s">
        <v>115</v>
      </c>
      <c r="B33" s="286" t="s">
        <v>116</v>
      </c>
      <c r="C33" s="330" t="s">
        <v>117</v>
      </c>
      <c r="D33" s="286" t="s">
        <v>118</v>
      </c>
      <c r="E33" s="334" t="s">
        <v>119</v>
      </c>
      <c r="F33" s="338" t="s">
        <v>120</v>
      </c>
      <c r="G33" s="286" t="s">
        <v>121</v>
      </c>
      <c r="J33" s="301"/>
      <c r="K33" s="301"/>
      <c r="L33" s="267"/>
      <c r="M33" s="267"/>
      <c r="N33" s="302"/>
    </row>
    <row r="34" spans="1:14" s="37" customFormat="1" ht="26.25" customHeight="1" x14ac:dyDescent="0.4">
      <c r="A34" s="323" t="s">
        <v>122</v>
      </c>
      <c r="B34" s="327">
        <v>50.01</v>
      </c>
      <c r="C34" s="331">
        <f>IF(ISBLANK(B34), "-",B34/$B$28*($B$30/$D$30))</f>
        <v>0.85574948665297745</v>
      </c>
      <c r="D34" s="395">
        <v>8.5</v>
      </c>
      <c r="E34" s="363">
        <f>IF(ISBLANK(B34), "-",C34/D34)</f>
        <v>0.10067641019446794</v>
      </c>
      <c r="F34" s="372">
        <f>IF(ISBLANK(B34), "-",(E34-$B$29)/$B$29)</f>
        <v>6.7641019446793016E-3</v>
      </c>
      <c r="G34" s="366">
        <f>IF(ISBLANK(B34),"-",E34/$B$29)</f>
        <v>1.0067641019446794</v>
      </c>
      <c r="J34" s="301"/>
      <c r="K34" s="301"/>
      <c r="L34" s="267"/>
      <c r="M34" s="267"/>
      <c r="N34" s="302"/>
    </row>
    <row r="35" spans="1:14" s="37" customFormat="1" ht="26.25" customHeight="1" x14ac:dyDescent="0.4">
      <c r="A35" s="324" t="s">
        <v>123</v>
      </c>
      <c r="B35" s="328">
        <v>50.15</v>
      </c>
      <c r="C35" s="332">
        <f>IF(ISBLANK(B35), "-",B35/$B$28*($B$30/$D$30))</f>
        <v>0.85814510609171801</v>
      </c>
      <c r="D35" s="396">
        <v>8.5</v>
      </c>
      <c r="E35" s="364">
        <f>IF(ISBLANK(B35), "-",C35/D35)</f>
        <v>0.10095824777549624</v>
      </c>
      <c r="F35" s="373">
        <f>IF(ISBLANK(B35), "-",(E35-$B$29)/$B$29)</f>
        <v>9.5824777549623208E-3</v>
      </c>
      <c r="G35" s="367">
        <f>IF(ISBLANK(B35),"-",E35/$B$29)</f>
        <v>1.0095824777549622</v>
      </c>
      <c r="J35" s="301"/>
      <c r="K35" s="301"/>
      <c r="L35" s="267"/>
      <c r="M35" s="267"/>
      <c r="N35" s="302"/>
    </row>
    <row r="36" spans="1:14" s="37" customFormat="1" ht="26.25" customHeight="1" x14ac:dyDescent="0.4">
      <c r="A36" s="324" t="s">
        <v>124</v>
      </c>
      <c r="B36" s="328">
        <v>50.08</v>
      </c>
      <c r="C36" s="332">
        <f>IF(ISBLANK(B36), "-",B36/$B$28*($B$30/$D$30))</f>
        <v>0.85694729637234768</v>
      </c>
      <c r="D36" s="396">
        <v>8.5</v>
      </c>
      <c r="E36" s="364">
        <f>IF(ISBLANK(B36), "-",C36/D36)</f>
        <v>0.10081732898498208</v>
      </c>
      <c r="F36" s="373">
        <f>IF(ISBLANK(B36), "-",(E36-$B$29)/$B$29)</f>
        <v>8.1732898498207418E-3</v>
      </c>
      <c r="G36" s="367">
        <f>IF(ISBLANK(B36),"-",E36/$B$29)</f>
        <v>1.0081732898498208</v>
      </c>
      <c r="J36" s="301"/>
      <c r="K36" s="301"/>
      <c r="L36" s="267"/>
      <c r="M36" s="267"/>
      <c r="N36" s="302"/>
    </row>
    <row r="37" spans="1:14" s="37" customFormat="1" ht="27" customHeight="1" x14ac:dyDescent="0.4">
      <c r="A37" s="325" t="s">
        <v>125</v>
      </c>
      <c r="B37" s="329"/>
      <c r="C37" s="333" t="str">
        <f>IF(ISBLANK(B37), "-",B37/$B$28*($B$30/$D$30))</f>
        <v>-</v>
      </c>
      <c r="D37" s="397"/>
      <c r="E37" s="365" t="str">
        <f>IF(ISBLANK(B37), "-",C37/D37)</f>
        <v>-</v>
      </c>
      <c r="F37" s="374" t="str">
        <f>IF(ISBLANK(B37), "-",(E37-$B$29)/$B$29)</f>
        <v>-</v>
      </c>
      <c r="G37" s="368" t="str">
        <f>IF(ISBLANK(B37),"-",E37/$B$29)</f>
        <v>-</v>
      </c>
      <c r="J37" s="301"/>
      <c r="K37" s="301"/>
      <c r="L37" s="267"/>
      <c r="M37" s="267"/>
      <c r="N37" s="302"/>
    </row>
    <row r="38" spans="1:14" ht="19.5" customHeight="1" x14ac:dyDescent="0.3">
      <c r="A38" s="266"/>
      <c r="B38" s="266"/>
      <c r="C38" s="266"/>
      <c r="D38" s="351" t="s">
        <v>126</v>
      </c>
      <c r="E38" s="319">
        <f>AVERAGE(E34:E37)</f>
        <v>0.10081732898498208</v>
      </c>
      <c r="F38" s="391">
        <f>AVERAGE(F34:F37)</f>
        <v>8.1732898498207886E-3</v>
      </c>
      <c r="G38" s="390">
        <f>AVERAGE(G34:G37)</f>
        <v>1.0081732898498208</v>
      </c>
      <c r="H38" s="266"/>
      <c r="L38" s="267"/>
      <c r="M38" s="267"/>
      <c r="N38" s="268"/>
    </row>
    <row r="39" spans="1:14" ht="18.75" x14ac:dyDescent="0.3">
      <c r="A39" s="266"/>
      <c r="B39" s="306"/>
      <c r="C39" s="308"/>
      <c r="D39" s="315" t="s">
        <v>78</v>
      </c>
      <c r="E39" s="316">
        <f>STDEV(E34:E37)/E38</f>
        <v>1.3977635782747473E-3</v>
      </c>
      <c r="F39" s="370"/>
      <c r="G39" s="266"/>
      <c r="H39" s="266"/>
    </row>
    <row r="40" spans="1:14" ht="19.5" customHeight="1" x14ac:dyDescent="0.3">
      <c r="A40" s="266"/>
      <c r="B40" s="306"/>
      <c r="C40" s="308"/>
      <c r="D40" s="317" t="s">
        <v>20</v>
      </c>
      <c r="E40" s="318">
        <f>COUNT(E34:E37)</f>
        <v>3</v>
      </c>
      <c r="F40" s="371"/>
      <c r="G40" s="266"/>
      <c r="H40" s="266"/>
    </row>
    <row r="41" spans="1:14" ht="18.75" x14ac:dyDescent="0.3">
      <c r="A41" s="310"/>
      <c r="B41" s="307"/>
      <c r="C41" s="306"/>
      <c r="D41" s="306"/>
      <c r="E41" s="306"/>
      <c r="F41" s="369"/>
      <c r="G41" s="266"/>
      <c r="H41" s="266"/>
    </row>
    <row r="43" spans="1:14" ht="18.75" x14ac:dyDescent="0.3">
      <c r="A43" s="281" t="s">
        <v>1</v>
      </c>
      <c r="B43" s="282" t="s">
        <v>79</v>
      </c>
    </row>
    <row r="44" spans="1:14" ht="18.75" x14ac:dyDescent="0.3">
      <c r="A44" s="277" t="s">
        <v>80</v>
      </c>
      <c r="B44" s="283" t="str">
        <f>B21</f>
        <v>Each Pack contains: Artesunate 60 Mg</v>
      </c>
    </row>
    <row r="45" spans="1:14" ht="18.75" x14ac:dyDescent="0.3">
      <c r="A45" s="284"/>
      <c r="B45" s="394"/>
      <c r="H45" s="285"/>
    </row>
    <row r="46" spans="1:14" ht="26.25" customHeight="1" x14ac:dyDescent="0.4">
      <c r="A46" s="283" t="s">
        <v>127</v>
      </c>
      <c r="B46" s="407">
        <v>100</v>
      </c>
      <c r="C46" s="272" t="s">
        <v>128</v>
      </c>
      <c r="D46" s="408">
        <v>900</v>
      </c>
      <c r="E46" s="272" t="str">
        <f>B20</f>
        <v xml:space="preserve">ARTESUNATE </v>
      </c>
      <c r="H46" s="285"/>
    </row>
    <row r="47" spans="1:14" ht="18.75" x14ac:dyDescent="0.3">
      <c r="A47" s="283"/>
      <c r="B47" s="392"/>
      <c r="H47" s="285"/>
    </row>
    <row r="48" spans="1:14" ht="26.25" customHeight="1" x14ac:dyDescent="0.4">
      <c r="A48" s="277" t="s">
        <v>129</v>
      </c>
      <c r="B48" s="409">
        <v>5.8440000000000003</v>
      </c>
      <c r="C48" s="266" t="str">
        <f>B20</f>
        <v xml:space="preserve">ARTESUNATE </v>
      </c>
      <c r="H48" s="285"/>
    </row>
    <row r="49" spans="1:10" ht="19.5" customHeight="1" x14ac:dyDescent="0.3">
      <c r="A49" s="266"/>
      <c r="B49" s="266"/>
      <c r="C49" s="266"/>
      <c r="D49" s="266"/>
      <c r="H49" s="285"/>
    </row>
    <row r="50" spans="1:10" ht="19.5" customHeight="1" x14ac:dyDescent="0.3">
      <c r="C50" s="266"/>
      <c r="D50" s="266"/>
      <c r="E50" s="266"/>
      <c r="F50" s="266"/>
      <c r="G50" s="637" t="s">
        <v>130</v>
      </c>
      <c r="H50" s="638"/>
      <c r="J50" s="380"/>
    </row>
    <row r="51" spans="1:10" ht="19.5" customHeight="1" x14ac:dyDescent="0.3">
      <c r="A51" s="339" t="s">
        <v>131</v>
      </c>
      <c r="B51" s="286" t="s">
        <v>132</v>
      </c>
      <c r="C51" s="286" t="s">
        <v>133</v>
      </c>
      <c r="D51" s="286" t="s">
        <v>134</v>
      </c>
      <c r="E51" s="286" t="s">
        <v>135</v>
      </c>
      <c r="F51" s="354" t="s">
        <v>136</v>
      </c>
      <c r="G51" s="286" t="s">
        <v>137</v>
      </c>
      <c r="H51" s="286" t="s">
        <v>138</v>
      </c>
      <c r="I51" s="406" t="s">
        <v>139</v>
      </c>
      <c r="J51" s="340"/>
    </row>
    <row r="52" spans="1:10" ht="26.25" customHeight="1" x14ac:dyDescent="0.4">
      <c r="A52" s="341" t="s">
        <v>122</v>
      </c>
      <c r="B52" s="344">
        <v>4</v>
      </c>
      <c r="C52" s="398">
        <v>6</v>
      </c>
      <c r="D52" s="348">
        <v>0</v>
      </c>
      <c r="E52" s="401">
        <f>IF(ISBLANK(B52),"-",C52-$D$56)</f>
        <v>6</v>
      </c>
      <c r="F52" s="357">
        <f>IF(ISBLANK(B52), "-",E52*$G$38)</f>
        <v>6.0490397390989248</v>
      </c>
      <c r="G52" s="375">
        <f>IF(ISBLANK(B52),"-",F52*$B$48)</f>
        <v>35.350588235294119</v>
      </c>
      <c r="H52" s="356">
        <f>IF(ISBLANK(B52),"-",G52*$B$46/B52)</f>
        <v>883.76470588235293</v>
      </c>
      <c r="I52" s="386">
        <f>IF(ISBLANK(B52),"-",H52/$D$46)</f>
        <v>0.98196078431372547</v>
      </c>
      <c r="J52" s="381"/>
    </row>
    <row r="53" spans="1:10" ht="26.25" customHeight="1" x14ac:dyDescent="0.4">
      <c r="A53" s="342" t="s">
        <v>123</v>
      </c>
      <c r="B53" s="345">
        <v>4</v>
      </c>
      <c r="C53" s="399">
        <v>6</v>
      </c>
      <c r="D53" s="349">
        <v>0</v>
      </c>
      <c r="E53" s="402">
        <f>IF(ISBLANK(B53),"-",C53-$D$56)</f>
        <v>6</v>
      </c>
      <c r="F53" s="358">
        <f>IF(ISBLANK(B53), "-",E53*$G$38)</f>
        <v>6.0490397390989248</v>
      </c>
      <c r="G53" s="376">
        <f>IF(ISBLANK(B53),"-",F53*$B$48)</f>
        <v>35.350588235294119</v>
      </c>
      <c r="H53" s="379">
        <f>IF(ISBLANK(B53),"-",G53*$B$46/B53)</f>
        <v>883.76470588235293</v>
      </c>
      <c r="I53" s="387">
        <f>IF(ISBLANK(B53),"-",H53/$D$46)</f>
        <v>0.98196078431372547</v>
      </c>
      <c r="J53" s="381"/>
    </row>
    <row r="54" spans="1:10" ht="26.25" customHeight="1" x14ac:dyDescent="0.4">
      <c r="A54" s="342" t="s">
        <v>124</v>
      </c>
      <c r="B54" s="345">
        <v>4</v>
      </c>
      <c r="C54" s="399">
        <v>6</v>
      </c>
      <c r="D54" s="349">
        <v>0</v>
      </c>
      <c r="E54" s="402">
        <f>IF(ISBLANK(B54),"-",C54-$D$56)</f>
        <v>6</v>
      </c>
      <c r="F54" s="358">
        <f>IF(ISBLANK(B54), "-",E54*$G$38)</f>
        <v>6.0490397390989248</v>
      </c>
      <c r="G54" s="376">
        <f>IF(ISBLANK(B54),"-",F54*$B$48)</f>
        <v>35.350588235294119</v>
      </c>
      <c r="H54" s="379">
        <f>IF(ISBLANK(B54),"-",G54*$B$46/B54)</f>
        <v>883.76470588235293</v>
      </c>
      <c r="I54" s="387">
        <f>IF(ISBLANK(B54),"-",H54/$D$46)</f>
        <v>0.98196078431372547</v>
      </c>
      <c r="J54" s="381"/>
    </row>
    <row r="55" spans="1:10" ht="27" customHeight="1" x14ac:dyDescent="0.4">
      <c r="A55" s="343" t="s">
        <v>125</v>
      </c>
      <c r="B55" s="346"/>
      <c r="C55" s="400"/>
      <c r="D55" s="350"/>
      <c r="E55" s="360" t="str">
        <f>IF(ISBLANK(B55),"-",C55-$D$56)</f>
        <v>-</v>
      </c>
      <c r="F55" s="359" t="str">
        <f>IF(ISBLANK(B55), "-",E55*$G$38)</f>
        <v>-</v>
      </c>
      <c r="G55" s="377" t="str">
        <f>IF(ISBLANK(B55),"-",F55*$B$48)</f>
        <v>-</v>
      </c>
      <c r="H55" s="389" t="str">
        <f>IF(ISBLANK(B55),"-",G55*$B$46/B55)</f>
        <v>-</v>
      </c>
      <c r="I55" s="387" t="str">
        <f>IF(ISBLANK(B55),"-",H55/$D$46)</f>
        <v>-</v>
      </c>
      <c r="J55" s="382"/>
    </row>
    <row r="56" spans="1:10" ht="26.25" customHeight="1" x14ac:dyDescent="0.4">
      <c r="C56" s="314" t="s">
        <v>126</v>
      </c>
      <c r="D56" s="347">
        <f>AVERAGE(D52:D55)</f>
        <v>0</v>
      </c>
      <c r="F56" s="314" t="s">
        <v>126</v>
      </c>
      <c r="G56" s="355">
        <f>AVERAGE(G52:G55)</f>
        <v>35.350588235294119</v>
      </c>
      <c r="H56" s="403">
        <f>AVERAGE(H52:H55)</f>
        <v>883.76470588235281</v>
      </c>
      <c r="I56" s="388">
        <f>AVERAGE(I52:I55)</f>
        <v>0.98196078431372547</v>
      </c>
      <c r="J56" s="383"/>
    </row>
    <row r="57" spans="1:10" ht="26.25" customHeight="1" x14ac:dyDescent="0.4">
      <c r="B57" s="6" t="str">
        <f>Uniformity!C46</f>
        <v>% Deviation from mean</v>
      </c>
      <c r="C57" s="315" t="s">
        <v>78</v>
      </c>
      <c r="D57" s="316" t="str">
        <f>IF(D56=0,"-",STDEV(D52:D55)/D56)</f>
        <v>-</v>
      </c>
      <c r="F57" s="315" t="s">
        <v>78</v>
      </c>
      <c r="G57" s="378"/>
      <c r="H57" s="404">
        <f>STDEV(H52:H55)/H56</f>
        <v>1.5755027386532951E-16</v>
      </c>
      <c r="I57" s="352">
        <f>STDEV(I52:I55)/I56</f>
        <v>0</v>
      </c>
      <c r="J57" s="384"/>
    </row>
    <row r="58" spans="1:10" ht="27" customHeight="1" x14ac:dyDescent="0.4">
      <c r="C58" s="317" t="s">
        <v>20</v>
      </c>
      <c r="D58" s="318">
        <f>COUNT(D52:D55)</f>
        <v>3</v>
      </c>
      <c r="F58" s="317" t="s">
        <v>20</v>
      </c>
      <c r="G58" s="353">
        <f>COUNT(G52:G55)</f>
        <v>3</v>
      </c>
      <c r="H58" s="405">
        <f>COUNT(H52:H55)</f>
        <v>3</v>
      </c>
      <c r="I58" s="353">
        <f>COUNT(I52:I55)</f>
        <v>3</v>
      </c>
      <c r="J58" s="385"/>
    </row>
    <row r="59" spans="1:10" ht="18.75" x14ac:dyDescent="0.3">
      <c r="H59" s="285"/>
      <c r="J59" s="268"/>
    </row>
    <row r="60" spans="1:10" ht="18.75" x14ac:dyDescent="0.3">
      <c r="H60" s="285"/>
    </row>
    <row r="61" spans="1:10" ht="19.5" customHeight="1" x14ac:dyDescent="0.3">
      <c r="A61" s="271"/>
      <c r="B61" s="271"/>
      <c r="C61" s="290"/>
      <c r="D61" s="290"/>
      <c r="E61" s="290"/>
      <c r="F61" s="290"/>
      <c r="G61" s="290"/>
      <c r="H61" s="290"/>
    </row>
    <row r="62" spans="1:10" ht="18.75" x14ac:dyDescent="0.3">
      <c r="B62" s="636" t="s">
        <v>26</v>
      </c>
      <c r="C62" s="636"/>
      <c r="E62" s="299" t="s">
        <v>27</v>
      </c>
      <c r="F62" s="291"/>
      <c r="G62" s="636" t="s">
        <v>28</v>
      </c>
      <c r="H62" s="636"/>
    </row>
    <row r="63" spans="1:10" ht="83.25" customHeight="1" x14ac:dyDescent="0.3">
      <c r="A63" s="292" t="s">
        <v>29</v>
      </c>
      <c r="B63" s="293" t="s">
        <v>166</v>
      </c>
      <c r="C63" s="293"/>
      <c r="E63" s="294"/>
      <c r="F63" s="289"/>
      <c r="G63" s="295"/>
      <c r="H63" s="295"/>
    </row>
    <row r="64" spans="1:10" ht="84" customHeight="1" x14ac:dyDescent="0.3">
      <c r="A64" s="292" t="s">
        <v>30</v>
      </c>
      <c r="B64" s="296"/>
      <c r="C64" s="296"/>
      <c r="E64" s="297"/>
      <c r="F64" s="289"/>
      <c r="G64" s="298"/>
      <c r="H64" s="298"/>
    </row>
    <row r="65" spans="1:9" ht="18.75" x14ac:dyDescent="0.3">
      <c r="A65" s="287"/>
      <c r="B65" s="287"/>
      <c r="C65" s="280"/>
      <c r="D65" s="280"/>
      <c r="E65" s="280"/>
      <c r="F65" s="288"/>
      <c r="G65" s="280"/>
      <c r="H65" s="280"/>
      <c r="I65" s="269"/>
    </row>
    <row r="66" spans="1:9" ht="18.75" x14ac:dyDescent="0.3">
      <c r="A66" s="287"/>
      <c r="B66" s="287"/>
      <c r="C66" s="280"/>
      <c r="D66" s="280"/>
      <c r="E66" s="280"/>
      <c r="F66" s="288"/>
      <c r="G66" s="280"/>
      <c r="H66" s="280"/>
      <c r="I66" s="269"/>
    </row>
    <row r="67" spans="1:9" ht="18.75" x14ac:dyDescent="0.3">
      <c r="A67" s="287"/>
      <c r="B67" s="287"/>
      <c r="C67" s="280"/>
      <c r="D67" s="280"/>
      <c r="E67" s="280"/>
      <c r="F67" s="288"/>
      <c r="G67" s="280"/>
      <c r="H67" s="280"/>
      <c r="I67" s="269"/>
    </row>
    <row r="68" spans="1:9" ht="18.75" x14ac:dyDescent="0.3">
      <c r="A68" s="287"/>
      <c r="B68" s="287"/>
      <c r="C68" s="280"/>
      <c r="D68" s="280"/>
      <c r="E68" s="280"/>
      <c r="F68" s="288"/>
      <c r="G68" s="280"/>
      <c r="H68" s="280"/>
      <c r="I68" s="269"/>
    </row>
    <row r="69" spans="1:9" ht="18.75" x14ac:dyDescent="0.3">
      <c r="A69" s="287"/>
      <c r="B69" s="287"/>
      <c r="C69" s="280"/>
      <c r="D69" s="280"/>
      <c r="E69" s="280"/>
      <c r="F69" s="288"/>
      <c r="G69" s="280"/>
      <c r="H69" s="280"/>
      <c r="I69" s="269"/>
    </row>
    <row r="70" spans="1:9" ht="18.75" x14ac:dyDescent="0.3">
      <c r="A70" s="287"/>
      <c r="B70" s="287"/>
      <c r="C70" s="280"/>
      <c r="D70" s="280"/>
      <c r="E70" s="280"/>
      <c r="F70" s="288"/>
      <c r="G70" s="280"/>
      <c r="H70" s="280"/>
      <c r="I70" s="269"/>
    </row>
    <row r="71" spans="1:9" ht="18.75" x14ac:dyDescent="0.3">
      <c r="A71" s="287"/>
      <c r="B71" s="287"/>
      <c r="C71" s="280"/>
      <c r="D71" s="280"/>
      <c r="E71" s="280"/>
      <c r="F71" s="288"/>
      <c r="G71" s="280"/>
      <c r="H71" s="280"/>
      <c r="I71" s="269"/>
    </row>
    <row r="72" spans="1:9" ht="18.75" x14ac:dyDescent="0.3">
      <c r="A72" s="287"/>
      <c r="B72" s="287"/>
      <c r="C72" s="280"/>
      <c r="D72" s="280"/>
      <c r="E72" s="280"/>
      <c r="F72" s="288"/>
      <c r="G72" s="280"/>
      <c r="H72" s="280"/>
      <c r="I72" s="269"/>
    </row>
    <row r="73" spans="1:9" ht="18.75" x14ac:dyDescent="0.3">
      <c r="A73" s="287"/>
      <c r="B73" s="287"/>
      <c r="C73" s="280"/>
      <c r="D73" s="280"/>
      <c r="E73" s="280"/>
      <c r="F73" s="288"/>
      <c r="G73" s="280"/>
      <c r="H73" s="280"/>
      <c r="I73" s="269"/>
    </row>
    <row r="250" spans="1:1" x14ac:dyDescent="0.3">
      <c r="A250" s="6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artesunate</vt:lpstr>
      <vt:lpstr>sodium bicarbonate</vt:lpstr>
      <vt:lpstr>sodium chloride</vt:lpstr>
      <vt:lpstr>'sodium bicarbonate'!Print_Area</vt:lpstr>
      <vt:lpstr>'sodium 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2016-06-21T06:12:52Z</cp:lastPrinted>
  <dcterms:created xsi:type="dcterms:W3CDTF">2005-07-05T10:19:27Z</dcterms:created>
  <dcterms:modified xsi:type="dcterms:W3CDTF">2016-07-06T06:09:52Z</dcterms:modified>
</cp:coreProperties>
</file>