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July 2016\"/>
    </mc:Choice>
  </mc:AlternateContent>
  <bookViews>
    <workbookView xWindow="510" yWindow="585" windowWidth="14055" windowHeight="6090" activeTab="1"/>
  </bookViews>
  <sheets>
    <sheet name="ART SST" sheetId="5" r:id="rId1"/>
    <sheet name="AM SST" sheetId="1" r:id="rId2"/>
    <sheet name="Uniformity" sheetId="2" r:id="rId3"/>
    <sheet name="Artesunate" sheetId="3" r:id="rId4"/>
    <sheet name="Amodiaquine" sheetId="4" r:id="rId5"/>
  </sheets>
  <definedNames>
    <definedName name="_xlnm.Print_Area" localSheetId="2">Uniformity!$A$1:$F$54</definedName>
  </definedNames>
  <calcPr calcId="152511"/>
</workbook>
</file>

<file path=xl/calcChain.xml><?xml version="1.0" encoding="utf-8"?>
<calcChain xmlns="http://schemas.openxmlformats.org/spreadsheetml/2006/main">
  <c r="B85" i="4" l="1"/>
  <c r="B84" i="4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20" i="4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C46" i="2"/>
  <c r="D50" i="2" s="1"/>
  <c r="C45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97" i="3" l="1"/>
  <c r="D98" i="3" s="1"/>
  <c r="D49" i="4"/>
  <c r="I39" i="4"/>
  <c r="D101" i="3"/>
  <c r="D102" i="3" s="1"/>
  <c r="I92" i="3"/>
  <c r="D97" i="4"/>
  <c r="D101" i="4"/>
  <c r="D102" i="4" s="1"/>
  <c r="D45" i="4"/>
  <c r="E41" i="4" s="1"/>
  <c r="D49" i="3"/>
  <c r="D45" i="3"/>
  <c r="E39" i="3" s="1"/>
  <c r="D46" i="4"/>
  <c r="D98" i="4"/>
  <c r="E38" i="3"/>
  <c r="F98" i="4"/>
  <c r="F98" i="3"/>
  <c r="D29" i="2"/>
  <c r="D33" i="2"/>
  <c r="D41" i="2"/>
  <c r="C50" i="2"/>
  <c r="D27" i="2"/>
  <c r="D31" i="2"/>
  <c r="D35" i="2"/>
  <c r="D39" i="2"/>
  <c r="D43" i="2"/>
  <c r="C49" i="2"/>
  <c r="F44" i="3"/>
  <c r="F45" i="3" s="1"/>
  <c r="F46" i="3" s="1"/>
  <c r="F44" i="4"/>
  <c r="F45" i="4" s="1"/>
  <c r="G40" i="4" s="1"/>
  <c r="E94" i="4"/>
  <c r="D24" i="2"/>
  <c r="D28" i="2"/>
  <c r="D32" i="2"/>
  <c r="D36" i="2"/>
  <c r="D40" i="2"/>
  <c r="D49" i="2"/>
  <c r="B57" i="3"/>
  <c r="B69" i="3" s="1"/>
  <c r="B57" i="4"/>
  <c r="B69" i="4" s="1"/>
  <c r="G94" i="4"/>
  <c r="D37" i="2"/>
  <c r="D26" i="2"/>
  <c r="D30" i="2"/>
  <c r="D34" i="2"/>
  <c r="D38" i="2"/>
  <c r="D42" i="2"/>
  <c r="B49" i="2"/>
  <c r="E38" i="4" l="1"/>
  <c r="E91" i="3"/>
  <c r="E92" i="4"/>
  <c r="G92" i="4"/>
  <c r="G93" i="4"/>
  <c r="G38" i="4"/>
  <c r="G39" i="4"/>
  <c r="E40" i="4"/>
  <c r="E39" i="4"/>
  <c r="E40" i="3"/>
  <c r="G41" i="3"/>
  <c r="D46" i="3"/>
  <c r="E41" i="3"/>
  <c r="E92" i="3"/>
  <c r="E94" i="3"/>
  <c r="G38" i="3"/>
  <c r="G91" i="3"/>
  <c r="F99" i="3"/>
  <c r="G93" i="3"/>
  <c r="G94" i="3"/>
  <c r="G39" i="3"/>
  <c r="G91" i="4"/>
  <c r="F99" i="4"/>
  <c r="G41" i="4"/>
  <c r="F46" i="4"/>
  <c r="G92" i="3"/>
  <c r="D99" i="3"/>
  <c r="E93" i="3"/>
  <c r="D99" i="4"/>
  <c r="E93" i="4"/>
  <c r="E91" i="4"/>
  <c r="G40" i="3"/>
  <c r="E95" i="3" l="1"/>
  <c r="G95" i="4"/>
  <c r="E42" i="4"/>
  <c r="D52" i="4"/>
  <c r="G42" i="4"/>
  <c r="D50" i="4"/>
  <c r="G68" i="4" s="1"/>
  <c r="H68" i="4" s="1"/>
  <c r="D103" i="3"/>
  <c r="E113" i="3" s="1"/>
  <c r="F113" i="3" s="1"/>
  <c r="E42" i="3"/>
  <c r="D50" i="3"/>
  <c r="G68" i="3" s="1"/>
  <c r="H68" i="3" s="1"/>
  <c r="G42" i="3"/>
  <c r="D105" i="3"/>
  <c r="D52" i="3"/>
  <c r="G95" i="3"/>
  <c r="E95" i="4"/>
  <c r="D105" i="4"/>
  <c r="D103" i="4"/>
  <c r="E112" i="3" l="1"/>
  <c r="F112" i="3" s="1"/>
  <c r="D104" i="3"/>
  <c r="E109" i="3"/>
  <c r="F109" i="3" s="1"/>
  <c r="E110" i="3"/>
  <c r="F110" i="3" s="1"/>
  <c r="E111" i="3"/>
  <c r="F111" i="3" s="1"/>
  <c r="E108" i="3"/>
  <c r="F108" i="3" s="1"/>
  <c r="G69" i="4"/>
  <c r="H69" i="4" s="1"/>
  <c r="G65" i="4"/>
  <c r="H65" i="4" s="1"/>
  <c r="G71" i="4"/>
  <c r="H71" i="4" s="1"/>
  <c r="G67" i="4"/>
  <c r="H67" i="4" s="1"/>
  <c r="G62" i="4"/>
  <c r="H62" i="4" s="1"/>
  <c r="G60" i="4"/>
  <c r="H60" i="4" s="1"/>
  <c r="G61" i="4"/>
  <c r="H61" i="4" s="1"/>
  <c r="G70" i="4"/>
  <c r="H70" i="4" s="1"/>
  <c r="G64" i="4"/>
  <c r="H64" i="4" s="1"/>
  <c r="G63" i="4"/>
  <c r="H63" i="4" s="1"/>
  <c r="D51" i="4"/>
  <c r="G66" i="4"/>
  <c r="H66" i="4" s="1"/>
  <c r="G61" i="3"/>
  <c r="H61" i="3" s="1"/>
  <c r="G62" i="3"/>
  <c r="H62" i="3" s="1"/>
  <c r="G66" i="3"/>
  <c r="H66" i="3" s="1"/>
  <c r="G70" i="3"/>
  <c r="H70" i="3" s="1"/>
  <c r="D51" i="3"/>
  <c r="G63" i="3"/>
  <c r="H63" i="3" s="1"/>
  <c r="G65" i="3"/>
  <c r="H65" i="3" s="1"/>
  <c r="G64" i="3"/>
  <c r="H64" i="3" s="1"/>
  <c r="G67" i="3"/>
  <c r="H67" i="3" s="1"/>
  <c r="G71" i="3"/>
  <c r="H71" i="3" s="1"/>
  <c r="G69" i="3"/>
  <c r="H69" i="3" s="1"/>
  <c r="G60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5" i="3" l="1"/>
  <c r="E116" i="3" s="1"/>
  <c r="E117" i="3"/>
  <c r="G72" i="4"/>
  <c r="G73" i="4" s="1"/>
  <c r="G74" i="4"/>
  <c r="G74" i="3"/>
  <c r="G72" i="3"/>
  <c r="G73" i="3" s="1"/>
  <c r="H60" i="3"/>
  <c r="H74" i="3" s="1"/>
  <c r="H74" i="4"/>
  <c r="H72" i="4"/>
  <c r="E115" i="4"/>
  <c r="E116" i="4" s="1"/>
  <c r="E117" i="4"/>
  <c r="F108" i="4"/>
  <c r="F117" i="3"/>
  <c r="F115" i="3"/>
  <c r="H72" i="3" l="1"/>
  <c r="G76" i="3" s="1"/>
  <c r="G76" i="4"/>
  <c r="H73" i="4"/>
  <c r="G120" i="3"/>
  <c r="F116" i="3"/>
  <c r="F117" i="4"/>
  <c r="F115" i="4"/>
  <c r="H73" i="3" l="1"/>
  <c r="G120" i="4"/>
  <c r="F116" i="4"/>
</calcChain>
</file>

<file path=xl/sharedStrings.xml><?xml version="1.0" encoding="utf-8"?>
<sst xmlns="http://schemas.openxmlformats.org/spreadsheetml/2006/main" count="434" uniqueCount="131">
  <si>
    <t>HPLC System Suitability Report</t>
  </si>
  <si>
    <t>Analysis Data</t>
  </si>
  <si>
    <t>Assay</t>
  </si>
  <si>
    <t>Sample(s)</t>
  </si>
  <si>
    <t>Reference Substance:</t>
  </si>
  <si>
    <t>ARTESUNATE AMODIAQUINE WINTHROP 100MG/270MG TABLETS</t>
  </si>
  <si>
    <t>% age Purity:</t>
  </si>
  <si>
    <t>NDQA201511488</t>
  </si>
  <si>
    <t>Weight (mg):</t>
  </si>
  <si>
    <t>ARTESUNATE &amp; AMODIAQUINE BASE</t>
  </si>
  <si>
    <t>Standard Conc (mg/mL):</t>
  </si>
  <si>
    <t>Artesunate 100 mg
Amodiaquine  270 mg (IN THE FORM OF AMODIAQUINE HYDROCHLORIDE 88.16mg</t>
  </si>
  <si>
    <t>2015-11-05 10:38:21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</si>
  <si>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</si>
  <si>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</si>
  <si>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</si>
  <si>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</si>
  <si>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</si>
  <si>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</si>
  <si>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</si>
  <si>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</si>
  <si>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</si>
  <si>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</si>
  <si>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</si>
  <si>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</si>
  <si>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</si>
  <si>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</si>
  <si>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</si>
  <si>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</si>
  <si>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</si>
  <si>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</si>
  <si>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</si>
  <si>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</si>
  <si>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</si>
  <si>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</si>
  <si>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</si>
  <si>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</si>
  <si>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</si>
  <si>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</si>
  <si>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</si>
  <si>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</si>
  <si>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</si>
  <si>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</si>
  <si>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</si>
  <si>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</si>
  <si>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</si>
  <si>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</si>
  <si>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</si>
  <si>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</si>
  <si>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</si>
  <si>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</si>
  <si>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</si>
  <si>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</si>
  <si>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</si>
  <si>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</si>
  <si>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</si>
  <si>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</si>
  <si>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</si>
  <si>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</si>
  <si>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</si>
  <si>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</si>
  <si>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</si>
  <si>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</si>
  <si>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</si>
  <si>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</si>
  <si>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</si>
  <si>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</si>
  <si>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</si>
  <si>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</si>
  <si>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</si>
  <si>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</si>
  <si>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</si>
  <si>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</si>
  <si>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</si>
  <si>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</si>
  <si>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</si>
  <si>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</si>
  <si>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</si>
  <si>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</si>
  <si>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</si>
  <si>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</si>
  <si>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</si>
  <si>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</si>
  <si>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</si>
  <si>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</si>
  <si>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</si>
  <si>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</si>
  <si>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</si>
  <si>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</si>
  <si>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</si>
  <si>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</si>
  <si>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</si>
  <si>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</si>
  <si>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</si>
  <si>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</si>
  <si>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</si>
  <si>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</si>
  <si>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</si>
  <si>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</si>
  <si>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</si>
  <si>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</si>
  <si>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</si>
  <si>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</si>
  <si>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</si>
  <si>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</si>
  <si>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</si>
  <si>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</si>
  <si>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</si>
  <si>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</si>
  <si>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</si>
  <si>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</si>
  <si>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</si>
  <si>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</si>
  <si>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</si>
  <si>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</si>
  <si>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</si>
  <si>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</si>
  <si>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</si>
  <si>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</si>
  <si>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</si>
  <si>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</si>
  <si>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</si>
  <si>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</si>
  <si>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</si>
  <si>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</si>
  <si>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Artesunate</t>
  </si>
  <si>
    <t>A15 1</t>
  </si>
  <si>
    <t>AMODIAQUINE BASE</t>
  </si>
  <si>
    <t>AMODIAQUINE BASE 270mg</t>
  </si>
  <si>
    <t>Amodiaquine HCl</t>
  </si>
  <si>
    <t xml:space="preserve">A7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</si>
</sst>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G26" sqref="G26"/>
    </sheetView>
  </sheetViews>
  <sheetFormatPr defaultRowHeight="13.5" x14ac:dyDescent="0.25"/>
  <cols>
    <col min="1" max="1" width="27.5703125" style="409" customWidth="1"/>
    <col min="2" max="2" width="20.42578125" style="409" customWidth="1"/>
    <col min="3" max="3" width="31.85546875" style="409" customWidth="1"/>
    <col min="4" max="4" width="25.85546875" style="409" customWidth="1"/>
    <col min="5" max="5" width="25.7109375" style="409" customWidth="1"/>
    <col min="6" max="6" width="23.140625" style="409" customWidth="1"/>
    <col min="7" max="7" width="28.42578125" style="409" customWidth="1"/>
    <col min="8" max="8" width="21.5703125" style="409" customWidth="1"/>
    <col min="9" max="9" width="9.140625" style="40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3" t="s">
        <v>0</v>
      </c>
      <c r="B15" s="463"/>
      <c r="C15" s="463"/>
      <c r="D15" s="463"/>
      <c r="E15" s="463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C18" s="72"/>
      <c r="D18" s="72"/>
      <c r="E18" s="72"/>
    </row>
    <row r="19" spans="1:5" ht="16.5" customHeight="1" x14ac:dyDescent="0.3">
      <c r="A19" s="75" t="s">
        <v>6</v>
      </c>
      <c r="B19" s="12"/>
      <c r="C19" s="72"/>
      <c r="D19" s="72"/>
      <c r="E19" s="72"/>
    </row>
    <row r="20" spans="1:5" ht="16.5" customHeight="1" x14ac:dyDescent="0.3">
      <c r="A20" s="8" t="s">
        <v>8</v>
      </c>
      <c r="B20" s="12"/>
      <c r="C20" s="72"/>
      <c r="D20" s="72"/>
      <c r="E20" s="72"/>
    </row>
    <row r="21" spans="1:5" ht="16.5" customHeight="1" x14ac:dyDescent="0.3">
      <c r="A21" s="8" t="s">
        <v>10</v>
      </c>
      <c r="B21" s="13"/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23390109</v>
      </c>
      <c r="C24" s="18">
        <v>9329.2999999999993</v>
      </c>
      <c r="D24" s="19">
        <v>1.1000000000000001</v>
      </c>
      <c r="E24" s="20">
        <v>13.9</v>
      </c>
    </row>
    <row r="25" spans="1:5" ht="16.5" customHeight="1" x14ac:dyDescent="0.3">
      <c r="A25" s="17">
        <v>2</v>
      </c>
      <c r="B25" s="18">
        <v>23446585</v>
      </c>
      <c r="C25" s="18">
        <v>9332.1</v>
      </c>
      <c r="D25" s="19">
        <v>1.1000000000000001</v>
      </c>
      <c r="E25" s="19">
        <v>13.9</v>
      </c>
    </row>
    <row r="26" spans="1:5" ht="16.5" customHeight="1" x14ac:dyDescent="0.3">
      <c r="A26" s="17">
        <v>3</v>
      </c>
      <c r="B26" s="18">
        <v>23338688</v>
      </c>
      <c r="C26" s="18">
        <v>9377</v>
      </c>
      <c r="D26" s="19">
        <v>1.1000000000000001</v>
      </c>
      <c r="E26" s="19">
        <v>13.9</v>
      </c>
    </row>
    <row r="27" spans="1:5" ht="16.5" customHeight="1" x14ac:dyDescent="0.3">
      <c r="A27" s="17">
        <v>4</v>
      </c>
      <c r="B27" s="18">
        <v>23355142</v>
      </c>
      <c r="C27" s="18">
        <v>9383</v>
      </c>
      <c r="D27" s="19">
        <v>1.1000000000000001</v>
      </c>
      <c r="E27" s="19">
        <v>13.9</v>
      </c>
    </row>
    <row r="28" spans="1:5" ht="16.5" customHeight="1" x14ac:dyDescent="0.3">
      <c r="A28" s="17">
        <v>5</v>
      </c>
      <c r="B28" s="18">
        <v>23415918</v>
      </c>
      <c r="C28" s="18">
        <v>9335.7999999999993</v>
      </c>
      <c r="D28" s="19">
        <v>1.1000000000000001</v>
      </c>
      <c r="E28" s="19">
        <v>13.9</v>
      </c>
    </row>
    <row r="29" spans="1:5" ht="16.5" customHeight="1" x14ac:dyDescent="0.3">
      <c r="A29" s="17">
        <v>6</v>
      </c>
      <c r="B29" s="21">
        <v>23403916</v>
      </c>
      <c r="C29" s="21">
        <v>9327.2999999999993</v>
      </c>
      <c r="D29" s="22">
        <v>1.1000000000000001</v>
      </c>
      <c r="E29" s="22">
        <v>13.9</v>
      </c>
    </row>
    <row r="30" spans="1:5" ht="16.5" customHeight="1" x14ac:dyDescent="0.3">
      <c r="A30" s="23" t="s">
        <v>18</v>
      </c>
      <c r="B30" s="24">
        <f>AVERAGE(B24:B29)</f>
        <v>23391726.333333332</v>
      </c>
      <c r="C30" s="25">
        <f>AVERAGE(C24:C29)</f>
        <v>9347.4166666666661</v>
      </c>
      <c r="D30" s="26">
        <f>AVERAGE(D24:D29)</f>
        <v>1.0999999999999999</v>
      </c>
      <c r="E30" s="26">
        <f>AVERAGE(E24:E29)</f>
        <v>13.9</v>
      </c>
    </row>
    <row r="31" spans="1:5" ht="16.5" customHeight="1" x14ac:dyDescent="0.3">
      <c r="A31" s="27" t="s">
        <v>19</v>
      </c>
      <c r="B31" s="28">
        <f>(STDEV(B24:B29)/B30)</f>
        <v>1.6990046680863192E-3</v>
      </c>
      <c r="C31" s="29"/>
      <c r="D31" s="29"/>
      <c r="E31" s="30"/>
    </row>
    <row r="32" spans="1:5" s="409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9" customFormat="1" ht="15.75" customHeight="1" x14ac:dyDescent="0.25">
      <c r="A33" s="72"/>
      <c r="B33" s="72"/>
      <c r="C33" s="72"/>
      <c r="D33" s="72"/>
      <c r="E33" s="72"/>
    </row>
    <row r="34" spans="1:5" s="409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23390109</v>
      </c>
      <c r="C45" s="18">
        <v>9329.2999999999993</v>
      </c>
      <c r="D45" s="19">
        <v>1.1000000000000001</v>
      </c>
      <c r="E45" s="20">
        <v>13.9</v>
      </c>
    </row>
    <row r="46" spans="1:5" ht="16.5" customHeight="1" x14ac:dyDescent="0.3">
      <c r="A46" s="17">
        <v>2</v>
      </c>
      <c r="B46" s="18">
        <v>23446585</v>
      </c>
      <c r="C46" s="18">
        <v>9332.1</v>
      </c>
      <c r="D46" s="19">
        <v>1.1000000000000001</v>
      </c>
      <c r="E46" s="19">
        <v>13.9</v>
      </c>
    </row>
    <row r="47" spans="1:5" ht="16.5" customHeight="1" x14ac:dyDescent="0.3">
      <c r="A47" s="17">
        <v>3</v>
      </c>
      <c r="B47" s="18">
        <v>23338688</v>
      </c>
      <c r="C47" s="18">
        <v>9377</v>
      </c>
      <c r="D47" s="19">
        <v>1.1000000000000001</v>
      </c>
      <c r="E47" s="19">
        <v>13.9</v>
      </c>
    </row>
    <row r="48" spans="1:5" ht="16.5" customHeight="1" x14ac:dyDescent="0.3">
      <c r="A48" s="17">
        <v>4</v>
      </c>
      <c r="B48" s="18">
        <v>23355142</v>
      </c>
      <c r="C48" s="18">
        <v>9383</v>
      </c>
      <c r="D48" s="19">
        <v>1.1000000000000001</v>
      </c>
      <c r="E48" s="19">
        <v>13.9</v>
      </c>
    </row>
    <row r="49" spans="1:7" ht="16.5" customHeight="1" x14ac:dyDescent="0.3">
      <c r="A49" s="17">
        <v>5</v>
      </c>
      <c r="B49" s="18">
        <v>23415918</v>
      </c>
      <c r="C49" s="18">
        <v>9335.7999999999993</v>
      </c>
      <c r="D49" s="19">
        <v>1.1000000000000001</v>
      </c>
      <c r="E49" s="19">
        <v>13.9</v>
      </c>
    </row>
    <row r="50" spans="1:7" ht="16.5" customHeight="1" x14ac:dyDescent="0.3">
      <c r="A50" s="17">
        <v>6</v>
      </c>
      <c r="B50" s="21">
        <v>23403916</v>
      </c>
      <c r="C50" s="21">
        <v>9327.2999999999993</v>
      </c>
      <c r="D50" s="22">
        <v>1.1000000000000001</v>
      </c>
      <c r="E50" s="22">
        <v>13.9</v>
      </c>
    </row>
    <row r="51" spans="1:7" ht="16.5" customHeight="1" x14ac:dyDescent="0.3">
      <c r="A51" s="23" t="s">
        <v>18</v>
      </c>
      <c r="B51" s="24">
        <f>AVERAGE(B45:B50)</f>
        <v>23391726.333333332</v>
      </c>
      <c r="C51" s="25">
        <f>AVERAGE(C45:C50)</f>
        <v>9347.4166666666661</v>
      </c>
      <c r="D51" s="26">
        <f>AVERAGE(D45:D50)</f>
        <v>1.0999999999999999</v>
      </c>
      <c r="E51" s="26">
        <f>AVERAGE(E45:E50)</f>
        <v>13.9</v>
      </c>
    </row>
    <row r="52" spans="1:7" ht="16.5" customHeight="1" x14ac:dyDescent="0.3">
      <c r="A52" s="27" t="s">
        <v>19</v>
      </c>
      <c r="B52" s="28">
        <f>(STDEV(B45:B50)/B51)</f>
        <v>1.6990046680863192E-3</v>
      </c>
      <c r="C52" s="29"/>
      <c r="D52" s="29"/>
      <c r="E52" s="30"/>
    </row>
    <row r="53" spans="1:7" s="409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9" customFormat="1" ht="15.75" customHeight="1" x14ac:dyDescent="0.25">
      <c r="A54" s="72"/>
      <c r="B54" s="72"/>
      <c r="C54" s="72"/>
      <c r="D54" s="72"/>
      <c r="E54" s="72"/>
    </row>
    <row r="55" spans="1:7" s="409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4" t="s">
        <v>26</v>
      </c>
      <c r="C59" s="46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workbookViewId="0">
      <selection activeCell="G48" sqref="G4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3" t="s">
        <v>0</v>
      </c>
      <c r="B15" s="463"/>
      <c r="C15" s="463"/>
      <c r="D15" s="463"/>
      <c r="E15" s="4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C18" s="10"/>
      <c r="D18" s="10"/>
      <c r="E18" s="10"/>
    </row>
    <row r="19" spans="1:6" ht="16.5" customHeight="1" x14ac:dyDescent="0.3">
      <c r="A19" s="11" t="s">
        <v>6</v>
      </c>
      <c r="B19" s="12"/>
      <c r="C19" s="10"/>
      <c r="D19" s="10"/>
      <c r="E19" s="10"/>
    </row>
    <row r="20" spans="1:6" ht="16.5" customHeight="1" x14ac:dyDescent="0.3">
      <c r="A20" s="7" t="s">
        <v>8</v>
      </c>
      <c r="B20" s="12"/>
      <c r="C20" s="10"/>
      <c r="D20" s="10"/>
      <c r="E20" s="10"/>
    </row>
    <row r="21" spans="1:6" ht="16.5" customHeight="1" x14ac:dyDescent="0.3">
      <c r="A21" s="7" t="s">
        <v>10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31113183</v>
      </c>
      <c r="C24" s="18">
        <v>5311.2</v>
      </c>
      <c r="D24" s="19">
        <v>1.3</v>
      </c>
      <c r="E24" s="20">
        <v>2.1</v>
      </c>
    </row>
    <row r="25" spans="1:6" ht="16.5" customHeight="1" x14ac:dyDescent="0.3">
      <c r="A25" s="17">
        <v>2</v>
      </c>
      <c r="B25" s="18">
        <v>31347195</v>
      </c>
      <c r="C25" s="18">
        <v>5332.1</v>
      </c>
      <c r="D25" s="19">
        <v>1.3</v>
      </c>
      <c r="E25" s="19">
        <v>2.1</v>
      </c>
    </row>
    <row r="26" spans="1:6" ht="16.5" customHeight="1" x14ac:dyDescent="0.3">
      <c r="A26" s="17">
        <v>3</v>
      </c>
      <c r="B26" s="18">
        <v>30489068</v>
      </c>
      <c r="C26" s="18">
        <v>5307.9</v>
      </c>
      <c r="D26" s="19">
        <v>1.3</v>
      </c>
      <c r="E26" s="19">
        <v>2.1</v>
      </c>
    </row>
    <row r="27" spans="1:6" ht="16.5" customHeight="1" x14ac:dyDescent="0.3">
      <c r="A27" s="17">
        <v>4</v>
      </c>
      <c r="B27" s="18">
        <v>30178683</v>
      </c>
      <c r="C27" s="18">
        <v>5320.6</v>
      </c>
      <c r="D27" s="19">
        <v>1.3</v>
      </c>
      <c r="E27" s="19">
        <v>2.1</v>
      </c>
    </row>
    <row r="28" spans="1:6" ht="16.5" customHeight="1" x14ac:dyDescent="0.3">
      <c r="A28" s="17">
        <v>5</v>
      </c>
      <c r="B28" s="18">
        <v>30276304</v>
      </c>
      <c r="C28" s="18">
        <v>5293.8</v>
      </c>
      <c r="D28" s="19">
        <v>1.3</v>
      </c>
      <c r="E28" s="19">
        <v>2.1</v>
      </c>
    </row>
    <row r="29" spans="1:6" ht="16.5" customHeight="1" x14ac:dyDescent="0.3">
      <c r="A29" s="17">
        <v>6</v>
      </c>
      <c r="B29" s="21">
        <v>30657419</v>
      </c>
      <c r="C29" s="21">
        <v>5295.9</v>
      </c>
      <c r="D29" s="22">
        <v>1.3</v>
      </c>
      <c r="E29" s="22">
        <v>2.1</v>
      </c>
    </row>
    <row r="30" spans="1:6" ht="16.5" customHeight="1" x14ac:dyDescent="0.3">
      <c r="A30" s="23" t="s">
        <v>18</v>
      </c>
      <c r="B30" s="24">
        <f>AVERAGE(B24:B29)</f>
        <v>30676975.333333332</v>
      </c>
      <c r="C30" s="25">
        <f>AVERAGE(C24:C29)</f>
        <v>5310.25</v>
      </c>
      <c r="D30" s="26">
        <f>AVERAGE(D24:D29)</f>
        <v>1.3</v>
      </c>
      <c r="E30" s="26">
        <f>AVERAGE(E24:E29)</f>
        <v>2.1</v>
      </c>
    </row>
    <row r="31" spans="1:6" ht="16.5" customHeight="1" x14ac:dyDescent="0.3">
      <c r="A31" s="27" t="s">
        <v>19</v>
      </c>
      <c r="B31" s="28">
        <f>(STDEV(B24:B29)/B30)</f>
        <v>1.5178060621827938E-2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31113183</v>
      </c>
      <c r="C45" s="18">
        <v>5311.2</v>
      </c>
      <c r="D45" s="19">
        <v>1.3</v>
      </c>
      <c r="E45" s="20">
        <v>2.1</v>
      </c>
    </row>
    <row r="46" spans="1:6" ht="16.5" customHeight="1" x14ac:dyDescent="0.3">
      <c r="A46" s="17">
        <v>2</v>
      </c>
      <c r="B46" s="18">
        <v>31347195</v>
      </c>
      <c r="C46" s="18">
        <v>5332.1</v>
      </c>
      <c r="D46" s="19">
        <v>1.3</v>
      </c>
      <c r="E46" s="19">
        <v>2.1</v>
      </c>
    </row>
    <row r="47" spans="1:6" ht="16.5" customHeight="1" x14ac:dyDescent="0.3">
      <c r="A47" s="17">
        <v>3</v>
      </c>
      <c r="B47" s="18">
        <v>30489068</v>
      </c>
      <c r="C47" s="18">
        <v>5307.9</v>
      </c>
      <c r="D47" s="19">
        <v>1.3</v>
      </c>
      <c r="E47" s="19">
        <v>2.1</v>
      </c>
    </row>
    <row r="48" spans="1:6" ht="16.5" customHeight="1" x14ac:dyDescent="0.3">
      <c r="A48" s="17">
        <v>4</v>
      </c>
      <c r="B48" s="18">
        <v>30178683</v>
      </c>
      <c r="C48" s="18">
        <v>5320.6</v>
      </c>
      <c r="D48" s="19">
        <v>1.3</v>
      </c>
      <c r="E48" s="19">
        <v>2.1</v>
      </c>
    </row>
    <row r="49" spans="1:7" ht="16.5" customHeight="1" x14ac:dyDescent="0.3">
      <c r="A49" s="17">
        <v>5</v>
      </c>
      <c r="B49" s="18">
        <v>30276304</v>
      </c>
      <c r="C49" s="18">
        <v>5293.8</v>
      </c>
      <c r="D49" s="19">
        <v>1.3</v>
      </c>
      <c r="E49" s="19">
        <v>2.1</v>
      </c>
    </row>
    <row r="50" spans="1:7" ht="16.5" customHeight="1" x14ac:dyDescent="0.3">
      <c r="A50" s="17">
        <v>6</v>
      </c>
      <c r="B50" s="21">
        <v>30657419</v>
      </c>
      <c r="C50" s="21">
        <v>5295.9</v>
      </c>
      <c r="D50" s="22">
        <v>1.3</v>
      </c>
      <c r="E50" s="22">
        <v>2.1</v>
      </c>
    </row>
    <row r="51" spans="1:7" ht="16.5" customHeight="1" x14ac:dyDescent="0.3">
      <c r="A51" s="23" t="s">
        <v>18</v>
      </c>
      <c r="B51" s="24">
        <f>AVERAGE(B45:B50)</f>
        <v>30676975.333333332</v>
      </c>
      <c r="C51" s="25">
        <f>AVERAGE(C45:C50)</f>
        <v>5310.25</v>
      </c>
      <c r="D51" s="26">
        <f>AVERAGE(D45:D50)</f>
        <v>1.3</v>
      </c>
      <c r="E51" s="26">
        <f>AVERAGE(E45:E50)</f>
        <v>2.1</v>
      </c>
    </row>
    <row r="52" spans="1:7" ht="16.5" customHeight="1" x14ac:dyDescent="0.3">
      <c r="A52" s="27" t="s">
        <v>19</v>
      </c>
      <c r="B52" s="28">
        <f>(STDEV(B45:B50)/B51)</f>
        <v>1.5178060621827938E-2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4" t="s">
        <v>26</v>
      </c>
      <c r="C59" s="46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H53" sqref="H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8" t="s">
        <v>31</v>
      </c>
      <c r="B11" s="469"/>
      <c r="C11" s="469"/>
      <c r="D11" s="469"/>
      <c r="E11" s="469"/>
      <c r="F11" s="470"/>
      <c r="G11" s="91"/>
    </row>
    <row r="12" spans="1:7" ht="16.5" customHeight="1" x14ac:dyDescent="0.3">
      <c r="A12" s="467" t="s">
        <v>32</v>
      </c>
      <c r="B12" s="467"/>
      <c r="C12" s="467"/>
      <c r="D12" s="467"/>
      <c r="E12" s="467"/>
      <c r="F12" s="467"/>
      <c r="G12" s="90"/>
    </row>
    <row r="14" spans="1:7" ht="16.5" customHeight="1" x14ac:dyDescent="0.3">
      <c r="A14" s="472" t="s">
        <v>33</v>
      </c>
      <c r="B14" s="472"/>
      <c r="C14" s="60" t="s">
        <v>5</v>
      </c>
    </row>
    <row r="15" spans="1:7" ht="16.5" customHeight="1" x14ac:dyDescent="0.3">
      <c r="A15" s="472" t="s">
        <v>34</v>
      </c>
      <c r="B15" s="472"/>
      <c r="C15" s="60" t="s">
        <v>7</v>
      </c>
    </row>
    <row r="16" spans="1:7" ht="16.5" customHeight="1" x14ac:dyDescent="0.3">
      <c r="A16" s="472" t="s">
        <v>35</v>
      </c>
      <c r="B16" s="472"/>
      <c r="C16" s="60" t="s">
        <v>9</v>
      </c>
    </row>
    <row r="17" spans="1:5" ht="16.5" customHeight="1" x14ac:dyDescent="0.3">
      <c r="A17" s="472" t="s">
        <v>36</v>
      </c>
      <c r="B17" s="472"/>
      <c r="C17" s="60" t="s">
        <v>11</v>
      </c>
    </row>
    <row r="18" spans="1:5" ht="16.5" customHeight="1" x14ac:dyDescent="0.3">
      <c r="A18" s="472" t="s">
        <v>37</v>
      </c>
      <c r="B18" s="472"/>
      <c r="C18" s="97" t="s">
        <v>12</v>
      </c>
    </row>
    <row r="19" spans="1:5" ht="16.5" customHeight="1" x14ac:dyDescent="0.3">
      <c r="A19" s="472" t="s">
        <v>38</v>
      </c>
      <c r="B19" s="47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7" t="s">
        <v>1</v>
      </c>
      <c r="B21" s="467"/>
      <c r="C21" s="59" t="s">
        <v>39</v>
      </c>
      <c r="D21" s="66"/>
    </row>
    <row r="22" spans="1:5" ht="15.75" customHeight="1" x14ac:dyDescent="0.3">
      <c r="A22" s="471"/>
      <c r="B22" s="471"/>
      <c r="C22" s="57"/>
      <c r="D22" s="471"/>
      <c r="E22" s="47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721.75</v>
      </c>
      <c r="D24" s="87">
        <f t="shared" ref="D24:D43" si="0">(C24-$C$46)/$C$46</f>
        <v>1.850202236329887E-2</v>
      </c>
      <c r="E24" s="53"/>
    </row>
    <row r="25" spans="1:5" ht="15.75" customHeight="1" x14ac:dyDescent="0.3">
      <c r="C25" s="95">
        <v>693.09</v>
      </c>
      <c r="D25" s="88">
        <f t="shared" si="0"/>
        <v>-2.1941715719045587E-2</v>
      </c>
      <c r="E25" s="53"/>
    </row>
    <row r="26" spans="1:5" ht="15.75" customHeight="1" x14ac:dyDescent="0.3">
      <c r="C26" s="95">
        <v>717.93</v>
      </c>
      <c r="D26" s="88">
        <f t="shared" si="0"/>
        <v>1.3111405493984214E-2</v>
      </c>
      <c r="E26" s="53"/>
    </row>
    <row r="27" spans="1:5" ht="15.75" customHeight="1" x14ac:dyDescent="0.3">
      <c r="C27" s="95">
        <v>675.78</v>
      </c>
      <c r="D27" s="88">
        <f t="shared" si="0"/>
        <v>-4.6368830380782704E-2</v>
      </c>
      <c r="E27" s="53"/>
    </row>
    <row r="28" spans="1:5" ht="15.75" customHeight="1" x14ac:dyDescent="0.3">
      <c r="C28" s="95">
        <v>718.43</v>
      </c>
      <c r="D28" s="88">
        <f t="shared" si="0"/>
        <v>1.3816983618240051E-2</v>
      </c>
      <c r="E28" s="53"/>
    </row>
    <row r="29" spans="1:5" ht="15.75" customHeight="1" x14ac:dyDescent="0.3">
      <c r="C29" s="95">
        <v>703.48</v>
      </c>
      <c r="D29" s="88">
        <f t="shared" si="0"/>
        <v>-7.2798022970093409E-3</v>
      </c>
      <c r="E29" s="53"/>
    </row>
    <row r="30" spans="1:5" ht="15.75" customHeight="1" x14ac:dyDescent="0.3">
      <c r="C30" s="95">
        <v>713.19</v>
      </c>
      <c r="D30" s="88">
        <f t="shared" si="0"/>
        <v>6.4225248760390397E-3</v>
      </c>
      <c r="E30" s="53"/>
    </row>
    <row r="31" spans="1:5" ht="15.75" customHeight="1" x14ac:dyDescent="0.3">
      <c r="C31" s="95">
        <v>711.34</v>
      </c>
      <c r="D31" s="88">
        <f t="shared" si="0"/>
        <v>3.8118858162924157E-3</v>
      </c>
      <c r="E31" s="53"/>
    </row>
    <row r="32" spans="1:5" ht="15.75" customHeight="1" x14ac:dyDescent="0.3">
      <c r="C32" s="95">
        <v>707.12</v>
      </c>
      <c r="D32" s="88">
        <f t="shared" si="0"/>
        <v>-2.1431935524268762E-3</v>
      </c>
      <c r="E32" s="53"/>
    </row>
    <row r="33" spans="1:7" ht="15.75" customHeight="1" x14ac:dyDescent="0.3">
      <c r="C33" s="95">
        <v>693.32</v>
      </c>
      <c r="D33" s="88">
        <f t="shared" si="0"/>
        <v>-2.161714978188788E-2</v>
      </c>
      <c r="E33" s="53"/>
    </row>
    <row r="34" spans="1:7" ht="15.75" customHeight="1" x14ac:dyDescent="0.3">
      <c r="C34" s="95">
        <v>718.65</v>
      </c>
      <c r="D34" s="88">
        <f t="shared" si="0"/>
        <v>1.4127437992912656E-2</v>
      </c>
      <c r="E34" s="53"/>
    </row>
    <row r="35" spans="1:7" ht="15.75" customHeight="1" x14ac:dyDescent="0.3">
      <c r="C35" s="95">
        <v>717.83</v>
      </c>
      <c r="D35" s="88">
        <f t="shared" si="0"/>
        <v>1.2970289869133176E-2</v>
      </c>
      <c r="E35" s="53"/>
    </row>
    <row r="36" spans="1:7" ht="15.75" customHeight="1" x14ac:dyDescent="0.3">
      <c r="C36" s="95">
        <v>713.13</v>
      </c>
      <c r="D36" s="88">
        <f t="shared" si="0"/>
        <v>6.337855501128256E-3</v>
      </c>
      <c r="E36" s="53"/>
    </row>
    <row r="37" spans="1:7" ht="15.75" customHeight="1" x14ac:dyDescent="0.3">
      <c r="C37" s="95">
        <v>703.97</v>
      </c>
      <c r="D37" s="88">
        <f t="shared" si="0"/>
        <v>-6.5883357352386094E-3</v>
      </c>
      <c r="E37" s="53"/>
    </row>
    <row r="38" spans="1:7" ht="15.75" customHeight="1" x14ac:dyDescent="0.3">
      <c r="C38" s="95">
        <v>716.24</v>
      </c>
      <c r="D38" s="88">
        <f t="shared" si="0"/>
        <v>1.0726551433999573E-2</v>
      </c>
      <c r="E38" s="53"/>
    </row>
    <row r="39" spans="1:7" ht="15.75" customHeight="1" x14ac:dyDescent="0.3">
      <c r="C39" s="95">
        <v>712.97</v>
      </c>
      <c r="D39" s="88">
        <f t="shared" si="0"/>
        <v>6.1120705013664334E-3</v>
      </c>
      <c r="E39" s="53"/>
    </row>
    <row r="40" spans="1:7" ht="15.75" customHeight="1" x14ac:dyDescent="0.3">
      <c r="C40" s="95"/>
      <c r="D40" s="88">
        <f t="shared" si="0"/>
        <v>-1</v>
      </c>
      <c r="E40" s="53"/>
    </row>
    <row r="41" spans="1:7" ht="15.75" customHeight="1" x14ac:dyDescent="0.3">
      <c r="C41" s="95"/>
      <c r="D41" s="88">
        <f t="shared" si="0"/>
        <v>-1</v>
      </c>
      <c r="E41" s="53"/>
    </row>
    <row r="42" spans="1:7" ht="15.75" customHeight="1" x14ac:dyDescent="0.3">
      <c r="C42" s="95"/>
      <c r="D42" s="88">
        <f t="shared" si="0"/>
        <v>-1</v>
      </c>
      <c r="E42" s="53"/>
    </row>
    <row r="43" spans="1:7" ht="16.5" customHeight="1" x14ac:dyDescent="0.3">
      <c r="C43" s="96"/>
      <c r="D43" s="89">
        <f t="shared" si="0"/>
        <v>-1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11338.219999999998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708.63874999999985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5">
        <f>C46</f>
        <v>708.63874999999985</v>
      </c>
      <c r="C49" s="93">
        <f>-IF(C46&lt;=80,10%,IF(C46&lt;250,7.5%,5%))</f>
        <v>-0.05</v>
      </c>
      <c r="D49" s="81">
        <f>IF(C46&lt;=80,C46*0.9,IF(C46&lt;250,C46*0.925,C46*0.95))</f>
        <v>673.20681249999984</v>
      </c>
    </row>
    <row r="50" spans="1:6" ht="17.25" customHeight="1" x14ac:dyDescent="0.3">
      <c r="B50" s="466"/>
      <c r="C50" s="94">
        <f>IF(C46&lt;=80, 10%, IF(C46&lt;250, 7.5%, 5%))</f>
        <v>0.05</v>
      </c>
      <c r="D50" s="81">
        <f>IF(C46&lt;=80, C46*1.1, IF(C46&lt;250, C46*1.075, C46*1.05))</f>
        <v>744.07068749999985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1" zoomScale="55" zoomScaleNormal="40" zoomScalePageLayoutView="55" workbookViewId="0">
      <selection activeCell="G111" sqref="G11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1" t="s">
        <v>45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46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98"/>
    </row>
    <row r="16" spans="1:9" ht="19.5" customHeight="1" x14ac:dyDescent="0.3">
      <c r="A16" s="474" t="s">
        <v>31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47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100" t="s">
        <v>33</v>
      </c>
      <c r="B18" s="473" t="s">
        <v>5</v>
      </c>
      <c r="C18" s="473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78" t="s">
        <v>9</v>
      </c>
      <c r="C20" s="478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78" t="s">
        <v>11</v>
      </c>
      <c r="C21" s="478"/>
      <c r="D21" s="478"/>
      <c r="E21" s="478"/>
      <c r="F21" s="478"/>
      <c r="G21" s="478"/>
      <c r="H21" s="478"/>
      <c r="I21" s="104"/>
    </row>
    <row r="22" spans="1:14" ht="26.25" customHeight="1" x14ac:dyDescent="0.4">
      <c r="A22" s="100" t="s">
        <v>37</v>
      </c>
      <c r="B22" s="105">
        <v>42478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42513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3" t="s">
        <v>125</v>
      </c>
      <c r="C26" s="473"/>
    </row>
    <row r="27" spans="1:14" ht="26.25" customHeight="1" x14ac:dyDescent="0.4">
      <c r="A27" s="109" t="s">
        <v>48</v>
      </c>
      <c r="B27" s="479" t="s">
        <v>126</v>
      </c>
      <c r="C27" s="479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480" t="s">
        <v>50</v>
      </c>
      <c r="D29" s="481"/>
      <c r="E29" s="481"/>
      <c r="F29" s="481"/>
      <c r="G29" s="482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83" t="s">
        <v>53</v>
      </c>
      <c r="D31" s="484"/>
      <c r="E31" s="484"/>
      <c r="F31" s="484"/>
      <c r="G31" s="484"/>
      <c r="H31" s="485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83" t="s">
        <v>55</v>
      </c>
      <c r="D32" s="484"/>
      <c r="E32" s="484"/>
      <c r="F32" s="484"/>
      <c r="G32" s="484"/>
      <c r="H32" s="48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</v>
      </c>
      <c r="C36" s="99"/>
      <c r="D36" s="486" t="s">
        <v>59</v>
      </c>
      <c r="E36" s="487"/>
      <c r="F36" s="486" t="s">
        <v>60</v>
      </c>
      <c r="G36" s="48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23444196</v>
      </c>
      <c r="E38" s="133">
        <f>IF(ISBLANK(D38),"-",$D$48/$D$45*D38)</f>
        <v>20271327.776432749</v>
      </c>
      <c r="F38" s="132">
        <v>21397682</v>
      </c>
      <c r="G38" s="134">
        <f>IF(ISBLANK(F38),"-",$D$48/$F$45*F38)</f>
        <v>20152176.717947271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23437322</v>
      </c>
      <c r="E39" s="138">
        <f>IF(ISBLANK(D39),"-",$D$48/$D$45*D39)</f>
        <v>20265384.083284337</v>
      </c>
      <c r="F39" s="137">
        <v>21448377</v>
      </c>
      <c r="G39" s="139">
        <f>IF(ISBLANK(F39),"-",$D$48/$F$45*F39)</f>
        <v>20199920.88942885</v>
      </c>
      <c r="I39" s="490">
        <f>ABS((F43/D43*D42)-F42)/D42</f>
        <v>4.0937305782419008E-3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23461070</v>
      </c>
      <c r="E40" s="138">
        <f>IF(ISBLANK(D40),"-",$D$48/$D$45*D40)</f>
        <v>20285918.099124964</v>
      </c>
      <c r="F40" s="137">
        <v>21447750</v>
      </c>
      <c r="G40" s="139">
        <f>IF(ISBLANK(F40),"-",$D$48/$F$45*F40)</f>
        <v>20199330.385522764</v>
      </c>
      <c r="I40" s="49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23447529.333333332</v>
      </c>
      <c r="E42" s="148">
        <f>AVERAGE(E38:E41)</f>
        <v>20274209.986280683</v>
      </c>
      <c r="F42" s="147">
        <f>AVERAGE(F38:F41)</f>
        <v>21431269.666666668</v>
      </c>
      <c r="G42" s="149">
        <f>AVERAGE(G38:G41)</f>
        <v>20183809.330966294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23.2</v>
      </c>
      <c r="E43" s="140"/>
      <c r="F43" s="152">
        <v>21.3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23.2</v>
      </c>
      <c r="E44" s="155"/>
      <c r="F44" s="154">
        <f>F43*$B$34</f>
        <v>21.3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</v>
      </c>
      <c r="C45" s="153" t="s">
        <v>77</v>
      </c>
      <c r="D45" s="157">
        <f>D44*$B$30/100</f>
        <v>23.130399999999998</v>
      </c>
      <c r="E45" s="158"/>
      <c r="F45" s="157">
        <f>F44*$B$30/100</f>
        <v>21.2361</v>
      </c>
      <c r="H45" s="150"/>
    </row>
    <row r="46" spans="1:14" ht="19.5" customHeight="1" x14ac:dyDescent="0.3">
      <c r="A46" s="491" t="s">
        <v>78</v>
      </c>
      <c r="B46" s="492"/>
      <c r="C46" s="153" t="s">
        <v>79</v>
      </c>
      <c r="D46" s="159">
        <f>D45/$B$45</f>
        <v>4.62608</v>
      </c>
      <c r="E46" s="160"/>
      <c r="F46" s="161">
        <f>F45/$B$45</f>
        <v>4.2472200000000004</v>
      </c>
      <c r="H46" s="150"/>
    </row>
    <row r="47" spans="1:14" ht="27" customHeight="1" x14ac:dyDescent="0.4">
      <c r="A47" s="493"/>
      <c r="B47" s="494"/>
      <c r="C47" s="162" t="s">
        <v>80</v>
      </c>
      <c r="D47" s="163">
        <v>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20229009.65862349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2.6141926453772217E-3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Artesunate 100 mg
Amodiaquine  270 mg (IN THE FORM OF AMODIAQUINE HYDROCHLORIDE 88.16mg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>ARTESUNATE &amp; AMODIAQUINE BASE</v>
      </c>
      <c r="H56" s="179"/>
    </row>
    <row r="57" spans="1:12" ht="18.75" x14ac:dyDescent="0.3">
      <c r="A57" s="176" t="s">
        <v>88</v>
      </c>
      <c r="B57" s="268">
        <f>Uniformity!C46</f>
        <v>708.63874999999985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495" t="s">
        <v>94</v>
      </c>
      <c r="D60" s="498">
        <v>717.77</v>
      </c>
      <c r="E60" s="182">
        <v>1</v>
      </c>
      <c r="F60" s="183">
        <v>20399523</v>
      </c>
      <c r="G60" s="269">
        <f>IF(ISBLANK(F60),"-",(F60/$D$50*$D$47*$B$68)*($B$57/$D$60))</f>
        <v>99.560022260686083</v>
      </c>
      <c r="H60" s="184">
        <f t="shared" ref="H60:H71" si="0">IF(ISBLANK(F60),"-",G60/$B$56)</f>
        <v>0.99560022260686087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496"/>
      <c r="D61" s="499"/>
      <c r="E61" s="185">
        <v>2</v>
      </c>
      <c r="F61" s="137">
        <v>20431850</v>
      </c>
      <c r="G61" s="270">
        <f>IF(ISBLANK(F61),"-",(F61/$D$50*$D$47*$B$68)*($B$57/$D$60))</f>
        <v>99.717794422300898</v>
      </c>
      <c r="H61" s="186">
        <f t="shared" si="0"/>
        <v>0.99717794422300898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96"/>
      <c r="D62" s="499"/>
      <c r="E62" s="185">
        <v>3</v>
      </c>
      <c r="F62" s="187">
        <v>20413571</v>
      </c>
      <c r="G62" s="270">
        <f>IF(ISBLANK(F62),"-",(F62/$D$50*$D$47*$B$68)*($B$57/$D$60))</f>
        <v>99.628583628161095</v>
      </c>
      <c r="H62" s="186">
        <f t="shared" si="0"/>
        <v>0.99628583628161094</v>
      </c>
      <c r="L62" s="112"/>
    </row>
    <row r="63" spans="1:12" ht="27" customHeight="1" x14ac:dyDescent="0.4">
      <c r="A63" s="124" t="s">
        <v>97</v>
      </c>
      <c r="B63" s="125">
        <v>1</v>
      </c>
      <c r="C63" s="497"/>
      <c r="D63" s="500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95" t="s">
        <v>99</v>
      </c>
      <c r="D64" s="498">
        <v>718.29</v>
      </c>
      <c r="E64" s="182">
        <v>1</v>
      </c>
      <c r="F64" s="183">
        <v>20278961</v>
      </c>
      <c r="G64" s="271">
        <f>IF(ISBLANK(F64),"-",(F64/$D$50*$D$47*$B$68)*($B$57/$D$64))</f>
        <v>98.899968861408581</v>
      </c>
      <c r="H64" s="190">
        <f t="shared" si="0"/>
        <v>0.98899968861408583</v>
      </c>
    </row>
    <row r="65" spans="1:8" ht="26.25" customHeight="1" x14ac:dyDescent="0.4">
      <c r="A65" s="124" t="s">
        <v>100</v>
      </c>
      <c r="B65" s="125">
        <v>1</v>
      </c>
      <c r="C65" s="496"/>
      <c r="D65" s="499"/>
      <c r="E65" s="185">
        <v>2</v>
      </c>
      <c r="F65" s="137">
        <v>20307181</v>
      </c>
      <c r="G65" s="272">
        <f>IF(ISBLANK(F65),"-",(F65/$D$50*$D$47*$B$68)*($B$57/$D$64))</f>
        <v>99.037597072305047</v>
      </c>
      <c r="H65" s="191">
        <f t="shared" si="0"/>
        <v>0.9903759707230505</v>
      </c>
    </row>
    <row r="66" spans="1:8" ht="26.25" customHeight="1" x14ac:dyDescent="0.4">
      <c r="A66" s="124" t="s">
        <v>101</v>
      </c>
      <c r="B66" s="125">
        <v>1</v>
      </c>
      <c r="C66" s="496"/>
      <c r="D66" s="499"/>
      <c r="E66" s="185">
        <v>3</v>
      </c>
      <c r="F66" s="137">
        <v>20263917</v>
      </c>
      <c r="G66" s="272">
        <f>IF(ISBLANK(F66),"-",(F66/$D$50*$D$47*$B$68)*($B$57/$D$64))</f>
        <v>98.826599662091553</v>
      </c>
      <c r="H66" s="191">
        <f t="shared" si="0"/>
        <v>0.98826599662091552</v>
      </c>
    </row>
    <row r="67" spans="1:8" ht="27" customHeight="1" x14ac:dyDescent="0.4">
      <c r="A67" s="124" t="s">
        <v>102</v>
      </c>
      <c r="B67" s="125">
        <v>1</v>
      </c>
      <c r="C67" s="497"/>
      <c r="D67" s="500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25</v>
      </c>
      <c r="C68" s="495" t="s">
        <v>104</v>
      </c>
      <c r="D68" s="498">
        <v>718.56</v>
      </c>
      <c r="E68" s="182">
        <v>1</v>
      </c>
      <c r="F68" s="183">
        <v>20437332</v>
      </c>
      <c r="G68" s="271">
        <f>IF(ISBLANK(F68),"-",(F68/$D$50*$D$47*$B$68)*($B$57/$D$68))</f>
        <v>99.634888105055708</v>
      </c>
      <c r="H68" s="186">
        <f t="shared" si="0"/>
        <v>0.99634888105055708</v>
      </c>
    </row>
    <row r="69" spans="1:8" ht="27" customHeight="1" x14ac:dyDescent="0.4">
      <c r="A69" s="172" t="s">
        <v>105</v>
      </c>
      <c r="B69" s="194">
        <f>(D47*B68)/B56*B57</f>
        <v>708.63874999999985</v>
      </c>
      <c r="C69" s="496"/>
      <c r="D69" s="499"/>
      <c r="E69" s="185">
        <v>2</v>
      </c>
      <c r="F69" s="137">
        <v>20479394</v>
      </c>
      <c r="G69" s="272">
        <f>IF(ISBLANK(F69),"-",(F69/$D$50*$D$47*$B$68)*($B$57/$D$68))</f>
        <v>99.839946312432033</v>
      </c>
      <c r="H69" s="186">
        <f t="shared" si="0"/>
        <v>0.99839946312432037</v>
      </c>
    </row>
    <row r="70" spans="1:8" ht="26.25" customHeight="1" x14ac:dyDescent="0.4">
      <c r="A70" s="508" t="s">
        <v>78</v>
      </c>
      <c r="B70" s="509"/>
      <c r="C70" s="496"/>
      <c r="D70" s="499"/>
      <c r="E70" s="185">
        <v>3</v>
      </c>
      <c r="F70" s="137">
        <v>20445854</v>
      </c>
      <c r="G70" s="272">
        <f>IF(ISBLANK(F70),"-",(F70/$D$50*$D$47*$B$68)*($B$57/$D$68))</f>
        <v>99.676434062053971</v>
      </c>
      <c r="H70" s="186">
        <f t="shared" si="0"/>
        <v>0.99676434062053976</v>
      </c>
    </row>
    <row r="71" spans="1:8" ht="27" customHeight="1" x14ac:dyDescent="0.4">
      <c r="A71" s="510"/>
      <c r="B71" s="511"/>
      <c r="C71" s="507"/>
      <c r="D71" s="500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99.424648265166113</v>
      </c>
      <c r="H72" s="199">
        <f>AVERAGE(H60:H71)</f>
        <v>0.99424648265166105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3.9094569183959187E-3</v>
      </c>
      <c r="H73" s="274">
        <f>STDEV(H60:H71)/H72</f>
        <v>3.9094569183959248E-3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503" t="str">
        <f>B20</f>
        <v>ARTESUNATE &amp; AMODIAQUINE BASE</v>
      </c>
      <c r="D76" s="503"/>
      <c r="E76" s="205" t="s">
        <v>108</v>
      </c>
      <c r="F76" s="205"/>
      <c r="G76" s="206">
        <f>H72</f>
        <v>0.99424648265166105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89" t="str">
        <f>B26</f>
        <v>Artesunate</v>
      </c>
      <c r="C79" s="489"/>
    </row>
    <row r="80" spans="1:8" ht="26.25" customHeight="1" x14ac:dyDescent="0.4">
      <c r="A80" s="109" t="s">
        <v>48</v>
      </c>
      <c r="B80" s="489" t="str">
        <f>B27</f>
        <v>A15 1</v>
      </c>
      <c r="C80" s="489"/>
    </row>
    <row r="81" spans="1:12" ht="27" customHeight="1" x14ac:dyDescent="0.4">
      <c r="A81" s="109" t="s">
        <v>6</v>
      </c>
      <c r="B81" s="208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480" t="s">
        <v>50</v>
      </c>
      <c r="D82" s="481"/>
      <c r="E82" s="481"/>
      <c r="F82" s="481"/>
      <c r="G82" s="482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83" t="s">
        <v>111</v>
      </c>
      <c r="D84" s="484"/>
      <c r="E84" s="484"/>
      <c r="F84" s="484"/>
      <c r="G84" s="484"/>
      <c r="H84" s="485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83" t="s">
        <v>112</v>
      </c>
      <c r="D85" s="484"/>
      <c r="E85" s="484"/>
      <c r="F85" s="484"/>
      <c r="G85" s="484"/>
      <c r="H85" s="48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</v>
      </c>
      <c r="D89" s="209" t="s">
        <v>59</v>
      </c>
      <c r="E89" s="210"/>
      <c r="F89" s="486" t="s">
        <v>60</v>
      </c>
      <c r="G89" s="488"/>
    </row>
    <row r="90" spans="1:12" ht="27" customHeight="1" x14ac:dyDescent="0.4">
      <c r="A90" s="124" t="s">
        <v>61</v>
      </c>
      <c r="B90" s="125">
        <v>0.5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132">
        <v>4700073</v>
      </c>
      <c r="E91" s="133">
        <f>IF(ISBLANK(D91),"-",$D$101/$D$98*D91)</f>
        <v>4063979.0059834681</v>
      </c>
      <c r="F91" s="132">
        <v>4285064</v>
      </c>
      <c r="G91" s="134">
        <f>IF(ISBLANK(F91),"-",$D$101/$F$98*F91)</f>
        <v>4035641.1958881337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4759658</v>
      </c>
      <c r="E92" s="138">
        <f>IF(ISBLANK(D92),"-",$D$101/$D$98*D92)</f>
        <v>4115499.9481202234</v>
      </c>
      <c r="F92" s="137">
        <v>4335670</v>
      </c>
      <c r="G92" s="139">
        <f>IF(ISBLANK(F92),"-",$D$101/$F$98*F92)</f>
        <v>4083301.5478359964</v>
      </c>
      <c r="I92" s="490">
        <f>ABS((F96/D96*D95)-F95)/D95</f>
        <v>8.4571650190101415E-3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4743470</v>
      </c>
      <c r="E93" s="138">
        <f>IF(ISBLANK(D93),"-",$D$101/$D$98*D93)</f>
        <v>4101502.7842147136</v>
      </c>
      <c r="F93" s="137">
        <v>4299155</v>
      </c>
      <c r="G93" s="139">
        <f>IF(ISBLANK(F93),"-",$D$101/$F$98*F93)</f>
        <v>4048911.9941985579</v>
      </c>
      <c r="I93" s="490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4734400.333333333</v>
      </c>
      <c r="E95" s="148">
        <f>AVERAGE(E91:E94)</f>
        <v>4093660.5794394687</v>
      </c>
      <c r="F95" s="218">
        <f>AVERAGE(F91:F94)</f>
        <v>4306629.666666667</v>
      </c>
      <c r="G95" s="219">
        <f>AVERAGE(G91:G94)</f>
        <v>4055951.5793075622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23.2</v>
      </c>
      <c r="E96" s="140"/>
      <c r="F96" s="152">
        <v>21.3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23.2</v>
      </c>
      <c r="E97" s="155"/>
      <c r="F97" s="154">
        <f>F96*$B$87</f>
        <v>21.3</v>
      </c>
    </row>
    <row r="98" spans="1:10" ht="19.5" customHeight="1" x14ac:dyDescent="0.3">
      <c r="A98" s="124" t="s">
        <v>76</v>
      </c>
      <c r="B98" s="224">
        <f>(B97/B96)*(B95/B94)*(B93/B92)*(B91/B90)*B89</f>
        <v>200</v>
      </c>
      <c r="C98" s="222" t="s">
        <v>115</v>
      </c>
      <c r="D98" s="225">
        <f>D97*$B$83/100</f>
        <v>23.130399999999998</v>
      </c>
      <c r="E98" s="158"/>
      <c r="F98" s="157">
        <f>F97*$B$83/100</f>
        <v>21.2361</v>
      </c>
    </row>
    <row r="99" spans="1:10" ht="19.5" customHeight="1" x14ac:dyDescent="0.3">
      <c r="A99" s="491" t="s">
        <v>78</v>
      </c>
      <c r="B99" s="505"/>
      <c r="C99" s="222" t="s">
        <v>116</v>
      </c>
      <c r="D99" s="226">
        <f>D98/$B$98</f>
        <v>0.11565199999999999</v>
      </c>
      <c r="E99" s="158"/>
      <c r="F99" s="161">
        <f>F98/$B$98</f>
        <v>0.1061805</v>
      </c>
      <c r="G99" s="227"/>
      <c r="H99" s="150"/>
    </row>
    <row r="100" spans="1:10" ht="19.5" customHeight="1" x14ac:dyDescent="0.3">
      <c r="A100" s="493"/>
      <c r="B100" s="506"/>
      <c r="C100" s="222" t="s">
        <v>80</v>
      </c>
      <c r="D100" s="228">
        <f>$B$56/$B$116</f>
        <v>0.1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20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20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4074806.0793735157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7.5740005132348132E-3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500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10</v>
      </c>
      <c r="C108" s="243">
        <v>1</v>
      </c>
      <c r="D108" s="244">
        <v>4125164</v>
      </c>
      <c r="E108" s="275">
        <f t="shared" ref="E108:E113" si="1">IF(ISBLANK(D108),"-",D108/$D$103*$D$100*$B$116)</f>
        <v>101.23583600410812</v>
      </c>
      <c r="F108" s="245">
        <f t="shared" ref="F108:F113" si="2">IF(ISBLANK(D108), "-", E108/$B$56)</f>
        <v>1.0123583600410813</v>
      </c>
    </row>
    <row r="109" spans="1:10" ht="26.25" customHeight="1" x14ac:dyDescent="0.4">
      <c r="A109" s="124" t="s">
        <v>95</v>
      </c>
      <c r="B109" s="125">
        <v>20</v>
      </c>
      <c r="C109" s="243">
        <v>2</v>
      </c>
      <c r="D109" s="244">
        <v>4146692</v>
      </c>
      <c r="E109" s="276">
        <f t="shared" si="1"/>
        <v>101.76415562424842</v>
      </c>
      <c r="F109" s="246">
        <f t="shared" si="2"/>
        <v>1.0176415562424841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4147592</v>
      </c>
      <c r="E110" s="276">
        <f t="shared" si="1"/>
        <v>101.78624256488973</v>
      </c>
      <c r="F110" s="246">
        <f t="shared" si="2"/>
        <v>1.0178624256488973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4123191</v>
      </c>
      <c r="E111" s="276">
        <f t="shared" si="1"/>
        <v>101.18741652201334</v>
      </c>
      <c r="F111" s="246">
        <f t="shared" si="2"/>
        <v>1.0118741652201333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4145652</v>
      </c>
      <c r="E112" s="276">
        <f t="shared" si="1"/>
        <v>101.73863293728512</v>
      </c>
      <c r="F112" s="246">
        <f t="shared" si="2"/>
        <v>1.0173863293728511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4125483</v>
      </c>
      <c r="E113" s="277">
        <f t="shared" si="1"/>
        <v>101.24366459751322</v>
      </c>
      <c r="F113" s="249">
        <f t="shared" si="2"/>
        <v>1.0124366459751322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101.49265804167634</v>
      </c>
      <c r="F115" s="252">
        <f>AVERAGE(F108:F113)</f>
        <v>1.0149265804167633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53"/>
      <c r="D116" s="216" t="s">
        <v>84</v>
      </c>
      <c r="E116" s="254">
        <f>STDEV(E108:E113)/E115</f>
        <v>2.9279423080332025E-3</v>
      </c>
      <c r="F116" s="254">
        <f>STDEV(F108:F113)/F115</f>
        <v>2.9279423080331786E-3</v>
      </c>
      <c r="I116" s="98"/>
    </row>
    <row r="117" spans="1:10" ht="27" customHeight="1" x14ac:dyDescent="0.4">
      <c r="A117" s="491" t="s">
        <v>78</v>
      </c>
      <c r="B117" s="492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93"/>
      <c r="B118" s="494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503" t="str">
        <f>B20</f>
        <v>ARTESUNATE &amp; AMODIAQUINE BASE</v>
      </c>
      <c r="D120" s="503"/>
      <c r="E120" s="205" t="s">
        <v>124</v>
      </c>
      <c r="F120" s="205"/>
      <c r="G120" s="206">
        <f>F115</f>
        <v>1.0149265804167633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504" t="s">
        <v>26</v>
      </c>
      <c r="C122" s="504"/>
      <c r="E122" s="211" t="s">
        <v>27</v>
      </c>
      <c r="F122" s="260"/>
      <c r="G122" s="504" t="s">
        <v>28</v>
      </c>
      <c r="H122" s="504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87" zoomScale="70" zoomScaleNormal="40" zoomScalePageLayoutView="70" workbookViewId="0">
      <selection activeCell="D72" sqref="D7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1" t="s">
        <v>45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46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281"/>
    </row>
    <row r="16" spans="1:9" ht="19.5" customHeight="1" x14ac:dyDescent="0.3">
      <c r="A16" s="474" t="s">
        <v>31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47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283" t="s">
        <v>33</v>
      </c>
      <c r="B18" s="473" t="s">
        <v>5</v>
      </c>
      <c r="C18" s="473"/>
      <c r="D18" s="449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62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478" t="s">
        <v>127</v>
      </c>
      <c r="C20" s="478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478" t="s">
        <v>128</v>
      </c>
      <c r="C21" s="478"/>
      <c r="D21" s="478"/>
      <c r="E21" s="478"/>
      <c r="F21" s="478"/>
      <c r="G21" s="478"/>
      <c r="H21" s="478"/>
      <c r="I21" s="287"/>
    </row>
    <row r="22" spans="1:14" ht="26.25" customHeight="1" x14ac:dyDescent="0.4">
      <c r="A22" s="283" t="s">
        <v>37</v>
      </c>
      <c r="B22" s="288">
        <v>42478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>
        <v>42514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473" t="s">
        <v>129</v>
      </c>
      <c r="C26" s="473"/>
    </row>
    <row r="27" spans="1:14" ht="26.25" customHeight="1" x14ac:dyDescent="0.4">
      <c r="A27" s="292" t="s">
        <v>48</v>
      </c>
      <c r="B27" s="479" t="s">
        <v>130</v>
      </c>
      <c r="C27" s="479"/>
    </row>
    <row r="28" spans="1:14" ht="27" customHeight="1" x14ac:dyDescent="0.4">
      <c r="A28" s="292" t="s">
        <v>6</v>
      </c>
      <c r="B28" s="293">
        <v>99.9</v>
      </c>
    </row>
    <row r="29" spans="1:14" s="14" customFormat="1" ht="27" customHeight="1" x14ac:dyDescent="0.4">
      <c r="A29" s="292" t="s">
        <v>49</v>
      </c>
      <c r="B29" s="294">
        <v>0</v>
      </c>
      <c r="C29" s="480" t="s">
        <v>50</v>
      </c>
      <c r="D29" s="481"/>
      <c r="E29" s="481"/>
      <c r="F29" s="481"/>
      <c r="G29" s="482"/>
      <c r="I29" s="295"/>
      <c r="J29" s="295"/>
      <c r="K29" s="295"/>
      <c r="L29" s="295"/>
    </row>
    <row r="30" spans="1:14" s="14" customFormat="1" ht="19.5" customHeight="1" x14ac:dyDescent="0.3">
      <c r="A30" s="292" t="s">
        <v>51</v>
      </c>
      <c r="B30" s="296">
        <f>B28-B29</f>
        <v>99.9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52</v>
      </c>
      <c r="B31" s="299">
        <v>355.86099999999999</v>
      </c>
      <c r="C31" s="483" t="s">
        <v>53</v>
      </c>
      <c r="D31" s="484"/>
      <c r="E31" s="484"/>
      <c r="F31" s="484"/>
      <c r="G31" s="484"/>
      <c r="H31" s="485"/>
      <c r="I31" s="295"/>
      <c r="J31" s="295"/>
      <c r="K31" s="295"/>
      <c r="L31" s="295"/>
    </row>
    <row r="32" spans="1:14" s="14" customFormat="1" ht="27" customHeight="1" x14ac:dyDescent="0.4">
      <c r="A32" s="292" t="s">
        <v>54</v>
      </c>
      <c r="B32" s="299">
        <v>464.8</v>
      </c>
      <c r="C32" s="483" t="s">
        <v>55</v>
      </c>
      <c r="D32" s="484"/>
      <c r="E32" s="484"/>
      <c r="F32" s="484"/>
      <c r="G32" s="484"/>
      <c r="H32" s="485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56</v>
      </c>
      <c r="B34" s="304">
        <f>B31/B32</f>
        <v>0.76562177280550769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58</v>
      </c>
      <c r="B36" s="306">
        <v>20</v>
      </c>
      <c r="C36" s="282"/>
      <c r="D36" s="486" t="s">
        <v>59</v>
      </c>
      <c r="E36" s="487"/>
      <c r="F36" s="486" t="s">
        <v>60</v>
      </c>
      <c r="G36" s="488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61</v>
      </c>
      <c r="B37" s="308">
        <v>4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66</v>
      </c>
      <c r="B38" s="308">
        <v>25</v>
      </c>
      <c r="C38" s="314">
        <v>1</v>
      </c>
      <c r="D38" s="315">
        <v>30097771</v>
      </c>
      <c r="E38" s="316">
        <f>IF(ISBLANK(D38),"-",$D$48/$D$45*D38)</f>
        <v>41809276.413960427</v>
      </c>
      <c r="F38" s="315">
        <v>20729775</v>
      </c>
      <c r="G38" s="317">
        <f>IF(ISBLANK(F38),"-",$D$48/$F$45*F38)</f>
        <v>42137502.267572761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67</v>
      </c>
      <c r="B39" s="308">
        <v>1</v>
      </c>
      <c r="C39" s="319">
        <v>2</v>
      </c>
      <c r="D39" s="320">
        <v>30529522</v>
      </c>
      <c r="E39" s="321">
        <f>IF(ISBLANK(D39),"-",$D$48/$D$45*D39)</f>
        <v>42409028.36572469</v>
      </c>
      <c r="F39" s="320">
        <v>20305700</v>
      </c>
      <c r="G39" s="322">
        <f>IF(ISBLANK(F39),"-",$D$48/$F$45*F39)</f>
        <v>41275483.202044025</v>
      </c>
      <c r="I39" s="490">
        <f>ABS((F43/D43*D42)-F42)/D42</f>
        <v>7.5978563392204287E-3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68</v>
      </c>
      <c r="B40" s="308">
        <v>1</v>
      </c>
      <c r="C40" s="319">
        <v>3</v>
      </c>
      <c r="D40" s="320">
        <v>30066581</v>
      </c>
      <c r="E40" s="321">
        <f>IF(ISBLANK(D40),"-",$D$48/$D$45*D40)</f>
        <v>41765949.905450828</v>
      </c>
      <c r="F40" s="320">
        <v>20254090</v>
      </c>
      <c r="G40" s="322">
        <f>IF(ISBLANK(F40),"-",$D$48/$F$45*F40)</f>
        <v>41170575.334398121</v>
      </c>
      <c r="I40" s="490"/>
      <c r="L40" s="300"/>
      <c r="M40" s="300"/>
      <c r="N40" s="323"/>
    </row>
    <row r="41" spans="1:14" ht="27" customHeight="1" x14ac:dyDescent="0.4">
      <c r="A41" s="307" t="s">
        <v>69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70</v>
      </c>
      <c r="B42" s="308">
        <v>1</v>
      </c>
      <c r="C42" s="329" t="s">
        <v>71</v>
      </c>
      <c r="D42" s="330">
        <f>AVERAGE(D38:D41)</f>
        <v>30231291.333333332</v>
      </c>
      <c r="E42" s="331">
        <f>AVERAGE(E38:E41)</f>
        <v>41994751.561711974</v>
      </c>
      <c r="F42" s="330">
        <f>AVERAGE(F38:F41)</f>
        <v>20429855</v>
      </c>
      <c r="G42" s="332">
        <f>AVERAGE(G38:G41)</f>
        <v>41527853.601338305</v>
      </c>
      <c r="H42" s="333"/>
    </row>
    <row r="43" spans="1:14" ht="26.25" customHeight="1" x14ac:dyDescent="0.4">
      <c r="A43" s="307" t="s">
        <v>72</v>
      </c>
      <c r="B43" s="308">
        <v>1</v>
      </c>
      <c r="C43" s="334" t="s">
        <v>73</v>
      </c>
      <c r="D43" s="335">
        <v>23.53</v>
      </c>
      <c r="E43" s="323"/>
      <c r="F43" s="335">
        <v>16.079999999999998</v>
      </c>
      <c r="H43" s="333"/>
    </row>
    <row r="44" spans="1:14" ht="26.25" customHeight="1" x14ac:dyDescent="0.4">
      <c r="A44" s="307" t="s">
        <v>74</v>
      </c>
      <c r="B44" s="308">
        <v>1</v>
      </c>
      <c r="C44" s="336" t="s">
        <v>75</v>
      </c>
      <c r="D44" s="337">
        <f>D43*$B$34</f>
        <v>18.015080314113597</v>
      </c>
      <c r="E44" s="338"/>
      <c r="F44" s="337">
        <f>F43*$B$34</f>
        <v>12.311198106712562</v>
      </c>
      <c r="H44" s="333"/>
    </row>
    <row r="45" spans="1:14" ht="19.5" customHeight="1" x14ac:dyDescent="0.3">
      <c r="A45" s="307" t="s">
        <v>76</v>
      </c>
      <c r="B45" s="339">
        <f>(B44/B43)*(B42/B41)*(B40/B39)*(B38/B37)*B36</f>
        <v>125</v>
      </c>
      <c r="C45" s="336" t="s">
        <v>77</v>
      </c>
      <c r="D45" s="340">
        <f>D44*$B$30/100</f>
        <v>17.997065233799486</v>
      </c>
      <c r="E45" s="341"/>
      <c r="F45" s="340">
        <f>F44*$B$30/100</f>
        <v>12.29888690860585</v>
      </c>
      <c r="H45" s="333"/>
    </row>
    <row r="46" spans="1:14" ht="19.5" customHeight="1" x14ac:dyDescent="0.3">
      <c r="A46" s="491" t="s">
        <v>78</v>
      </c>
      <c r="B46" s="492"/>
      <c r="C46" s="336" t="s">
        <v>79</v>
      </c>
      <c r="D46" s="342">
        <f>D45/$B$45</f>
        <v>0.14397652187039589</v>
      </c>
      <c r="E46" s="343"/>
      <c r="F46" s="344">
        <f>F45/$B$45</f>
        <v>9.8391095268846804E-2</v>
      </c>
      <c r="H46" s="333"/>
    </row>
    <row r="47" spans="1:14" ht="27" customHeight="1" x14ac:dyDescent="0.4">
      <c r="A47" s="493"/>
      <c r="B47" s="494"/>
      <c r="C47" s="345" t="s">
        <v>80</v>
      </c>
      <c r="D47" s="346">
        <v>0.2</v>
      </c>
      <c r="E47" s="347"/>
      <c r="F47" s="343"/>
      <c r="H47" s="333"/>
    </row>
    <row r="48" spans="1:14" ht="18.75" x14ac:dyDescent="0.3">
      <c r="C48" s="348" t="s">
        <v>81</v>
      </c>
      <c r="D48" s="340">
        <f>D47*$B$45</f>
        <v>25</v>
      </c>
      <c r="F48" s="349"/>
      <c r="H48" s="333"/>
    </row>
    <row r="49" spans="1:12" ht="19.5" customHeight="1" x14ac:dyDescent="0.3">
      <c r="C49" s="350" t="s">
        <v>82</v>
      </c>
      <c r="D49" s="351">
        <f>D48/B34</f>
        <v>32.653198861353168</v>
      </c>
      <c r="F49" s="349"/>
      <c r="H49" s="333"/>
    </row>
    <row r="50" spans="1:12" ht="18.75" x14ac:dyDescent="0.3">
      <c r="C50" s="305" t="s">
        <v>83</v>
      </c>
      <c r="D50" s="352">
        <f>AVERAGE(E38:E41,G38:G41)</f>
        <v>41761302.58152514</v>
      </c>
      <c r="F50" s="353"/>
      <c r="H50" s="333"/>
    </row>
    <row r="51" spans="1:12" ht="18.75" x14ac:dyDescent="0.3">
      <c r="C51" s="307" t="s">
        <v>84</v>
      </c>
      <c r="D51" s="354">
        <f>STDEV(E38:E41,G38:G41)/D50</f>
        <v>1.1475806829835903E-2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85</v>
      </c>
    </row>
    <row r="55" spans="1:12" ht="18.75" x14ac:dyDescent="0.3">
      <c r="A55" s="282" t="s">
        <v>86</v>
      </c>
      <c r="B55" s="359" t="str">
        <f>B21</f>
        <v>AMODIAQUINE BASE 270mg</v>
      </c>
    </row>
    <row r="56" spans="1:12" ht="26.25" customHeight="1" x14ac:dyDescent="0.4">
      <c r="A56" s="360" t="s">
        <v>87</v>
      </c>
      <c r="B56" s="361">
        <v>270</v>
      </c>
      <c r="C56" s="282" t="str">
        <f>B20</f>
        <v>AMODIAQUINE BASE</v>
      </c>
      <c r="H56" s="362"/>
    </row>
    <row r="57" spans="1:12" ht="18.75" x14ac:dyDescent="0.3">
      <c r="A57" s="359" t="s">
        <v>88</v>
      </c>
      <c r="B57" s="450">
        <f>Uniformity!C46</f>
        <v>708.63874999999985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89</v>
      </c>
      <c r="B59" s="306">
        <v>100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4" customFormat="1" ht="26.25" customHeight="1" x14ac:dyDescent="0.4">
      <c r="A60" s="307" t="s">
        <v>93</v>
      </c>
      <c r="B60" s="308">
        <v>3</v>
      </c>
      <c r="C60" s="495" t="s">
        <v>94</v>
      </c>
      <c r="D60" s="498">
        <v>721.04</v>
      </c>
      <c r="E60" s="365">
        <v>1</v>
      </c>
      <c r="F60" s="366">
        <v>33489526</v>
      </c>
      <c r="G60" s="451">
        <f>IF(ISBLANK(F60),"-",(F60/$D$50*$D$47*$B$68)*($B$57/$D$60))</f>
        <v>262.71159942218111</v>
      </c>
      <c r="H60" s="367">
        <f t="shared" ref="H60:H71" si="0">IF(ISBLANK(F60),"-",G60/$B$56)</f>
        <v>0.97300592378585593</v>
      </c>
      <c r="L60" s="295"/>
    </row>
    <row r="61" spans="1:12" s="14" customFormat="1" ht="26.25" customHeight="1" x14ac:dyDescent="0.4">
      <c r="A61" s="307" t="s">
        <v>95</v>
      </c>
      <c r="B61" s="308">
        <v>50</v>
      </c>
      <c r="C61" s="496"/>
      <c r="D61" s="499"/>
      <c r="E61" s="368">
        <v>2</v>
      </c>
      <c r="F61" s="320">
        <v>33774840</v>
      </c>
      <c r="G61" s="452">
        <f>IF(ISBLANK(F61),"-",(F61/$D$50*$D$47*$B$68)*($B$57/$D$60))</f>
        <v>264.94977076200661</v>
      </c>
      <c r="H61" s="369">
        <f t="shared" si="0"/>
        <v>0.98129544726669116</v>
      </c>
      <c r="L61" s="295"/>
    </row>
    <row r="62" spans="1:12" s="14" customFormat="1" ht="26.25" customHeight="1" x14ac:dyDescent="0.4">
      <c r="A62" s="307" t="s">
        <v>96</v>
      </c>
      <c r="B62" s="308">
        <v>1</v>
      </c>
      <c r="C62" s="496"/>
      <c r="D62" s="499"/>
      <c r="E62" s="368">
        <v>3</v>
      </c>
      <c r="F62" s="370">
        <v>33603364</v>
      </c>
      <c r="G62" s="452">
        <f>IF(ISBLANK(F62),"-",(F62/$D$50*$D$47*$B$68)*($B$57/$D$60))</f>
        <v>263.60461185403886</v>
      </c>
      <c r="H62" s="369">
        <f t="shared" si="0"/>
        <v>0.97631337723718103</v>
      </c>
      <c r="L62" s="295"/>
    </row>
    <row r="63" spans="1:12" ht="27" customHeight="1" x14ac:dyDescent="0.4">
      <c r="A63" s="307" t="s">
        <v>97</v>
      </c>
      <c r="B63" s="308">
        <v>1</v>
      </c>
      <c r="C63" s="497"/>
      <c r="D63" s="500"/>
      <c r="E63" s="371">
        <v>4</v>
      </c>
      <c r="F63" s="372"/>
      <c r="G63" s="452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98</v>
      </c>
      <c r="B64" s="308">
        <v>1</v>
      </c>
      <c r="C64" s="495" t="s">
        <v>99</v>
      </c>
      <c r="D64" s="498">
        <v>674.89</v>
      </c>
      <c r="E64" s="365">
        <v>1</v>
      </c>
      <c r="F64" s="366">
        <v>31535909</v>
      </c>
      <c r="G64" s="453">
        <f>IF(ISBLANK(F64),"-",(F64/$D$50*$D$47*$B$68)*($B$57/$D$64))</f>
        <v>264.30292315992892</v>
      </c>
      <c r="H64" s="373">
        <f t="shared" si="0"/>
        <v>0.97889971540714416</v>
      </c>
    </row>
    <row r="65" spans="1:8" ht="26.25" customHeight="1" x14ac:dyDescent="0.4">
      <c r="A65" s="307" t="s">
        <v>100</v>
      </c>
      <c r="B65" s="308">
        <v>1</v>
      </c>
      <c r="C65" s="496"/>
      <c r="D65" s="499"/>
      <c r="E65" s="368">
        <v>2</v>
      </c>
      <c r="F65" s="320">
        <v>31395262</v>
      </c>
      <c r="G65" s="454">
        <f>IF(ISBLANK(F65),"-",(F65/$D$50*$D$47*$B$68)*($B$57/$D$64))</f>
        <v>263.12415855752994</v>
      </c>
      <c r="H65" s="374">
        <f t="shared" si="0"/>
        <v>0.97453392058344424</v>
      </c>
    </row>
    <row r="66" spans="1:8" ht="26.25" customHeight="1" x14ac:dyDescent="0.4">
      <c r="A66" s="307" t="s">
        <v>101</v>
      </c>
      <c r="B66" s="308">
        <v>1</v>
      </c>
      <c r="C66" s="496"/>
      <c r="D66" s="499"/>
      <c r="E66" s="368">
        <v>3</v>
      </c>
      <c r="F66" s="320">
        <v>31359805</v>
      </c>
      <c r="G66" s="454">
        <f>IF(ISBLANK(F66),"-",(F66/$D$50*$D$47*$B$68)*($B$57/$D$64))</f>
        <v>262.82699291228147</v>
      </c>
      <c r="H66" s="374">
        <f t="shared" si="0"/>
        <v>0.97343330708252396</v>
      </c>
    </row>
    <row r="67" spans="1:8" ht="27" customHeight="1" x14ac:dyDescent="0.4">
      <c r="A67" s="307" t="s">
        <v>102</v>
      </c>
      <c r="B67" s="308">
        <v>1</v>
      </c>
      <c r="C67" s="497"/>
      <c r="D67" s="500"/>
      <c r="E67" s="371">
        <v>4</v>
      </c>
      <c r="F67" s="372"/>
      <c r="G67" s="455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103</v>
      </c>
      <c r="B68" s="376">
        <f>(B67/B66)*(B65/B64)*(B63/B62)*(B61/B60)*B59</f>
        <v>1666.6666666666667</v>
      </c>
      <c r="C68" s="495" t="s">
        <v>104</v>
      </c>
      <c r="D68" s="498">
        <v>649.91</v>
      </c>
      <c r="E68" s="365">
        <v>1</v>
      </c>
      <c r="F68" s="366">
        <v>29981002</v>
      </c>
      <c r="G68" s="453">
        <f>IF(ISBLANK(F68),"-",(F68/$D$50*$D$47*$B$68)*($B$57/$D$68))</f>
        <v>260.92910811322162</v>
      </c>
      <c r="H68" s="369">
        <f t="shared" si="0"/>
        <v>0.96640410412304301</v>
      </c>
    </row>
    <row r="69" spans="1:8" ht="27" customHeight="1" x14ac:dyDescent="0.4">
      <c r="A69" s="355" t="s">
        <v>105</v>
      </c>
      <c r="B69" s="377">
        <f>(D47*B68)/B56*B57</f>
        <v>874.86265432098753</v>
      </c>
      <c r="C69" s="496"/>
      <c r="D69" s="499"/>
      <c r="E69" s="368">
        <v>2</v>
      </c>
      <c r="F69" s="320">
        <v>29871121</v>
      </c>
      <c r="G69" s="454">
        <f>IF(ISBLANK(F69),"-",(F69/$D$50*$D$47*$B$68)*($B$57/$D$68))</f>
        <v>259.97279746928155</v>
      </c>
      <c r="H69" s="369">
        <f t="shared" si="0"/>
        <v>0.96286221284919093</v>
      </c>
    </row>
    <row r="70" spans="1:8" ht="26.25" customHeight="1" x14ac:dyDescent="0.4">
      <c r="A70" s="508" t="s">
        <v>78</v>
      </c>
      <c r="B70" s="509"/>
      <c r="C70" s="496"/>
      <c r="D70" s="499"/>
      <c r="E70" s="368">
        <v>3</v>
      </c>
      <c r="F70" s="320">
        <v>30291852</v>
      </c>
      <c r="G70" s="454">
        <f>IF(ISBLANK(F70),"-",(F70/$D$50*$D$47*$B$68)*($B$57/$D$68))</f>
        <v>263.63448177808431</v>
      </c>
      <c r="H70" s="369">
        <f t="shared" si="0"/>
        <v>0.97642400658549744</v>
      </c>
    </row>
    <row r="71" spans="1:8" ht="27" customHeight="1" x14ac:dyDescent="0.4">
      <c r="A71" s="510"/>
      <c r="B71" s="511"/>
      <c r="C71" s="507"/>
      <c r="D71" s="500"/>
      <c r="E71" s="371">
        <v>4</v>
      </c>
      <c r="F71" s="372"/>
      <c r="G71" s="455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71</v>
      </c>
      <c r="G72" s="460">
        <f>AVERAGE(G60:G71)</f>
        <v>262.89516044761717</v>
      </c>
      <c r="H72" s="382">
        <f>AVERAGE(H60:H71)</f>
        <v>0.97368577943561918</v>
      </c>
    </row>
    <row r="73" spans="1:8" ht="26.25" customHeight="1" x14ac:dyDescent="0.4">
      <c r="C73" s="379"/>
      <c r="D73" s="379"/>
      <c r="E73" s="379"/>
      <c r="F73" s="383" t="s">
        <v>84</v>
      </c>
      <c r="G73" s="456">
        <f>STDEV(G60:G71)/G72</f>
        <v>5.9765465709174194E-3</v>
      </c>
      <c r="H73" s="456">
        <f>STDEV(H60:H71)/H72</f>
        <v>5.976546570917422E-3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106</v>
      </c>
      <c r="B76" s="387" t="s">
        <v>107</v>
      </c>
      <c r="C76" s="503" t="str">
        <f>B20</f>
        <v>AMODIAQUINE BASE</v>
      </c>
      <c r="D76" s="503"/>
      <c r="E76" s="388" t="s">
        <v>108</v>
      </c>
      <c r="F76" s="388"/>
      <c r="G76" s="389">
        <f>H72</f>
        <v>0.97368577943561918</v>
      </c>
      <c r="H76" s="390"/>
    </row>
    <row r="77" spans="1:8" ht="18.75" x14ac:dyDescent="0.3">
      <c r="A77" s="290" t="s">
        <v>109</v>
      </c>
      <c r="B77" s="290" t="s">
        <v>110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489" t="str">
        <f>B26</f>
        <v>Amodiaquine HCl</v>
      </c>
      <c r="C79" s="489"/>
    </row>
    <row r="80" spans="1:8" ht="26.25" customHeight="1" x14ac:dyDescent="0.4">
      <c r="A80" s="292" t="s">
        <v>48</v>
      </c>
      <c r="B80" s="489" t="str">
        <f>B27</f>
        <v xml:space="preserve">A7 1 </v>
      </c>
      <c r="C80" s="489"/>
    </row>
    <row r="81" spans="1:12" ht="27" customHeight="1" x14ac:dyDescent="0.4">
      <c r="A81" s="292" t="s">
        <v>6</v>
      </c>
      <c r="B81" s="391">
        <f>B28</f>
        <v>99.9</v>
      </c>
    </row>
    <row r="82" spans="1:12" s="14" customFormat="1" ht="27" customHeight="1" x14ac:dyDescent="0.4">
      <c r="A82" s="292" t="s">
        <v>49</v>
      </c>
      <c r="B82" s="294">
        <v>0</v>
      </c>
      <c r="C82" s="480" t="s">
        <v>50</v>
      </c>
      <c r="D82" s="481"/>
      <c r="E82" s="481"/>
      <c r="F82" s="481"/>
      <c r="G82" s="482"/>
      <c r="I82" s="295"/>
      <c r="J82" s="295"/>
      <c r="K82" s="295"/>
      <c r="L82" s="295"/>
    </row>
    <row r="83" spans="1:12" s="14" customFormat="1" ht="19.5" customHeight="1" x14ac:dyDescent="0.3">
      <c r="A83" s="292" t="s">
        <v>51</v>
      </c>
      <c r="B83" s="296">
        <f>B81-B82</f>
        <v>99.9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52</v>
      </c>
      <c r="B84" s="299">
        <f>B31</f>
        <v>355.86099999999999</v>
      </c>
      <c r="C84" s="483" t="s">
        <v>111</v>
      </c>
      <c r="D84" s="484"/>
      <c r="E84" s="484"/>
      <c r="F84" s="484"/>
      <c r="G84" s="484"/>
      <c r="H84" s="485"/>
      <c r="I84" s="295"/>
      <c r="J84" s="295"/>
      <c r="K84" s="295"/>
      <c r="L84" s="295"/>
    </row>
    <row r="85" spans="1:12" s="14" customFormat="1" ht="27" customHeight="1" x14ac:dyDescent="0.4">
      <c r="A85" s="292" t="s">
        <v>54</v>
      </c>
      <c r="B85" s="299">
        <f>B32</f>
        <v>464.8</v>
      </c>
      <c r="C85" s="483" t="s">
        <v>112</v>
      </c>
      <c r="D85" s="484"/>
      <c r="E85" s="484"/>
      <c r="F85" s="484"/>
      <c r="G85" s="484"/>
      <c r="H85" s="485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56</v>
      </c>
      <c r="B87" s="304">
        <f>B84/B85</f>
        <v>0.76562177280550769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58</v>
      </c>
      <c r="B89" s="306">
        <v>20</v>
      </c>
      <c r="D89" s="392" t="s">
        <v>59</v>
      </c>
      <c r="E89" s="393"/>
      <c r="F89" s="486" t="s">
        <v>60</v>
      </c>
      <c r="G89" s="488"/>
    </row>
    <row r="90" spans="1:12" ht="27" customHeight="1" x14ac:dyDescent="0.4">
      <c r="A90" s="307" t="s">
        <v>61</v>
      </c>
      <c r="B90" s="308">
        <v>4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">
      <c r="A91" s="307" t="s">
        <v>66</v>
      </c>
      <c r="B91" s="308">
        <v>25</v>
      </c>
      <c r="C91" s="396">
        <v>1</v>
      </c>
      <c r="D91" s="315">
        <v>30097771</v>
      </c>
      <c r="E91" s="316">
        <f>IF(ISBLANK(D91),"-",$D$101/$D$98*D91)</f>
        <v>37628348.772564381</v>
      </c>
      <c r="F91" s="315">
        <v>20729775</v>
      </c>
      <c r="G91" s="317">
        <f>IF(ISBLANK(F91),"-",$D$101/$F$98*F91)</f>
        <v>37923752.040815488</v>
      </c>
      <c r="I91" s="318"/>
    </row>
    <row r="92" spans="1:12" ht="26.25" customHeight="1" x14ac:dyDescent="0.4">
      <c r="A92" s="307" t="s">
        <v>67</v>
      </c>
      <c r="B92" s="308">
        <v>1</v>
      </c>
      <c r="C92" s="380">
        <v>2</v>
      </c>
      <c r="D92" s="320">
        <v>30529522</v>
      </c>
      <c r="E92" s="321">
        <f>IF(ISBLANK(D92),"-",$D$101/$D$98*D92)</f>
        <v>38168125.529152215</v>
      </c>
      <c r="F92" s="320">
        <v>20305700</v>
      </c>
      <c r="G92" s="322">
        <f>IF(ISBLANK(F92),"-",$D$101/$F$98*F92)</f>
        <v>37147934.881839626</v>
      </c>
      <c r="I92" s="490">
        <f>ABS((F96/D96*D95)-F95)/D95</f>
        <v>7.5978563392204287E-3</v>
      </c>
    </row>
    <row r="93" spans="1:12" ht="26.25" customHeight="1" x14ac:dyDescent="0.4">
      <c r="A93" s="307" t="s">
        <v>68</v>
      </c>
      <c r="B93" s="308">
        <v>1</v>
      </c>
      <c r="C93" s="380">
        <v>3</v>
      </c>
      <c r="D93" s="320">
        <v>30066581</v>
      </c>
      <c r="E93" s="321">
        <f>IF(ISBLANK(D93),"-",$D$101/$D$98*D93)</f>
        <v>37589354.914905742</v>
      </c>
      <c r="F93" s="320">
        <v>20254090</v>
      </c>
      <c r="G93" s="322">
        <f>IF(ISBLANK(F93),"-",$D$101/$F$98*F93)</f>
        <v>37053517.800958313</v>
      </c>
      <c r="I93" s="490"/>
    </row>
    <row r="94" spans="1:12" ht="27" customHeight="1" x14ac:dyDescent="0.4">
      <c r="A94" s="307" t="s">
        <v>69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25"/>
      <c r="G94" s="327" t="str">
        <f>IF(ISBLANK(F94),"-",$D$101/$F$98*F94)</f>
        <v>-</v>
      </c>
      <c r="I94" s="328"/>
    </row>
    <row r="95" spans="1:12" ht="27" customHeight="1" x14ac:dyDescent="0.4">
      <c r="A95" s="307" t="s">
        <v>70</v>
      </c>
      <c r="B95" s="308">
        <v>1</v>
      </c>
      <c r="C95" s="398" t="s">
        <v>71</v>
      </c>
      <c r="D95" s="399">
        <f>AVERAGE(D91:D94)</f>
        <v>30231291.333333332</v>
      </c>
      <c r="E95" s="331">
        <f>AVERAGE(E91:E94)</f>
        <v>37795276.405540779</v>
      </c>
      <c r="F95" s="400">
        <f>AVERAGE(F91:F94)</f>
        <v>20429855</v>
      </c>
      <c r="G95" s="401">
        <f>AVERAGE(G91:G94)</f>
        <v>37375068.24120447</v>
      </c>
    </row>
    <row r="96" spans="1:12" ht="26.25" customHeight="1" x14ac:dyDescent="0.4">
      <c r="A96" s="307" t="s">
        <v>72</v>
      </c>
      <c r="B96" s="293">
        <v>1</v>
      </c>
      <c r="C96" s="402" t="s">
        <v>113</v>
      </c>
      <c r="D96" s="403">
        <v>23.53</v>
      </c>
      <c r="E96" s="323"/>
      <c r="F96" s="335">
        <v>16.079999999999998</v>
      </c>
    </row>
    <row r="97" spans="1:10" ht="26.25" customHeight="1" x14ac:dyDescent="0.4">
      <c r="A97" s="307" t="s">
        <v>74</v>
      </c>
      <c r="B97" s="293">
        <v>1</v>
      </c>
      <c r="C97" s="404" t="s">
        <v>114</v>
      </c>
      <c r="D97" s="405">
        <f>D96*$B$87</f>
        <v>18.015080314113597</v>
      </c>
      <c r="E97" s="338"/>
      <c r="F97" s="337">
        <f>F96*$B$87</f>
        <v>12.311198106712562</v>
      </c>
    </row>
    <row r="98" spans="1:10" ht="19.5" customHeight="1" x14ac:dyDescent="0.3">
      <c r="A98" s="307" t="s">
        <v>76</v>
      </c>
      <c r="B98" s="406">
        <f>(B97/B96)*(B95/B94)*(B93/B92)*(B91/B90)*B89</f>
        <v>125</v>
      </c>
      <c r="C98" s="404" t="s">
        <v>115</v>
      </c>
      <c r="D98" s="407">
        <f>D97*$B$83/100</f>
        <v>17.997065233799486</v>
      </c>
      <c r="E98" s="341"/>
      <c r="F98" s="340">
        <f>F97*$B$83/100</f>
        <v>12.29888690860585</v>
      </c>
    </row>
    <row r="99" spans="1:10" ht="19.5" customHeight="1" x14ac:dyDescent="0.3">
      <c r="A99" s="491" t="s">
        <v>78</v>
      </c>
      <c r="B99" s="505"/>
      <c r="C99" s="404" t="s">
        <v>116</v>
      </c>
      <c r="D99" s="408">
        <f>D98/$B$98</f>
        <v>0.14397652187039589</v>
      </c>
      <c r="E99" s="341"/>
      <c r="F99" s="344">
        <f>F98/$B$98</f>
        <v>9.8391095268846804E-2</v>
      </c>
      <c r="G99" s="409"/>
      <c r="H99" s="333"/>
    </row>
    <row r="100" spans="1:10" ht="19.5" customHeight="1" x14ac:dyDescent="0.3">
      <c r="A100" s="493"/>
      <c r="B100" s="506"/>
      <c r="C100" s="404" t="s">
        <v>80</v>
      </c>
      <c r="D100" s="410">
        <f>$B$56/$B$116</f>
        <v>0.18</v>
      </c>
      <c r="F100" s="349"/>
      <c r="G100" s="411"/>
      <c r="H100" s="333"/>
    </row>
    <row r="101" spans="1:10" ht="18.75" x14ac:dyDescent="0.3">
      <c r="C101" s="404" t="s">
        <v>81</v>
      </c>
      <c r="D101" s="405">
        <f>D100*$B$98</f>
        <v>22.5</v>
      </c>
      <c r="F101" s="349"/>
      <c r="G101" s="409"/>
      <c r="H101" s="333"/>
    </row>
    <row r="102" spans="1:10" ht="19.5" customHeight="1" x14ac:dyDescent="0.3">
      <c r="C102" s="412" t="s">
        <v>82</v>
      </c>
      <c r="D102" s="413">
        <f>D101/B34</f>
        <v>29.387878975217856</v>
      </c>
      <c r="F102" s="353"/>
      <c r="G102" s="409"/>
      <c r="H102" s="333"/>
      <c r="J102" s="414"/>
    </row>
    <row r="103" spans="1:10" ht="18.75" x14ac:dyDescent="0.3">
      <c r="C103" s="415" t="s">
        <v>117</v>
      </c>
      <c r="D103" s="416">
        <f>AVERAGE(E91:E94,G91:G94)</f>
        <v>37585172.323372625</v>
      </c>
      <c r="F103" s="353"/>
      <c r="G103" s="417"/>
      <c r="H103" s="333"/>
      <c r="J103" s="418"/>
    </row>
    <row r="104" spans="1:10" ht="18.75" x14ac:dyDescent="0.3">
      <c r="C104" s="383" t="s">
        <v>84</v>
      </c>
      <c r="D104" s="419">
        <f>STDEV(E91:E94,G91:G94)/D103</f>
        <v>1.1475806829835821E-2</v>
      </c>
      <c r="F104" s="353"/>
      <c r="G104" s="409"/>
      <c r="H104" s="333"/>
      <c r="J104" s="418"/>
    </row>
    <row r="105" spans="1:10" ht="19.5" customHeight="1" x14ac:dyDescent="0.3">
      <c r="C105" s="385" t="s">
        <v>20</v>
      </c>
      <c r="D105" s="420">
        <f>COUNT(E91:E94,G91:G94)</f>
        <v>6</v>
      </c>
      <c r="F105" s="353"/>
      <c r="G105" s="409"/>
      <c r="H105" s="333"/>
      <c r="J105" s="418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118</v>
      </c>
      <c r="B107" s="306">
        <v>900</v>
      </c>
      <c r="C107" s="421" t="s">
        <v>119</v>
      </c>
      <c r="D107" s="422" t="s">
        <v>63</v>
      </c>
      <c r="E107" s="423" t="s">
        <v>120</v>
      </c>
      <c r="F107" s="424" t="s">
        <v>121</v>
      </c>
    </row>
    <row r="108" spans="1:10" ht="26.25" customHeight="1" x14ac:dyDescent="0.4">
      <c r="A108" s="307" t="s">
        <v>122</v>
      </c>
      <c r="B108" s="308">
        <v>3</v>
      </c>
      <c r="C108" s="425">
        <v>1</v>
      </c>
      <c r="D108" s="426">
        <v>32757482</v>
      </c>
      <c r="E108" s="457">
        <f t="shared" ref="E108:E113" si="1">IF(ISBLANK(D108),"-",D108/$D$103*$D$100*$B$116)</f>
        <v>235.31939840275706</v>
      </c>
      <c r="F108" s="427">
        <f t="shared" ref="F108:F113" si="2">IF(ISBLANK(D108), "-", E108/$B$56)</f>
        <v>0.87155332741761871</v>
      </c>
    </row>
    <row r="109" spans="1:10" ht="26.25" customHeight="1" x14ac:dyDescent="0.4">
      <c r="A109" s="307" t="s">
        <v>95</v>
      </c>
      <c r="B109" s="308">
        <v>5</v>
      </c>
      <c r="C109" s="425">
        <v>2</v>
      </c>
      <c r="D109" s="426">
        <v>32692303</v>
      </c>
      <c r="E109" s="458">
        <f t="shared" si="1"/>
        <v>234.85117306515343</v>
      </c>
      <c r="F109" s="428">
        <f t="shared" si="2"/>
        <v>0.86981915950056832</v>
      </c>
    </row>
    <row r="110" spans="1:10" ht="26.25" customHeight="1" x14ac:dyDescent="0.4">
      <c r="A110" s="307" t="s">
        <v>96</v>
      </c>
      <c r="B110" s="308">
        <v>1</v>
      </c>
      <c r="C110" s="425">
        <v>3</v>
      </c>
      <c r="D110" s="426">
        <v>32690889</v>
      </c>
      <c r="E110" s="458">
        <f t="shared" si="1"/>
        <v>234.84101533601722</v>
      </c>
      <c r="F110" s="428">
        <f t="shared" si="2"/>
        <v>0.86978153828154525</v>
      </c>
    </row>
    <row r="111" spans="1:10" ht="26.25" customHeight="1" x14ac:dyDescent="0.4">
      <c r="A111" s="307" t="s">
        <v>97</v>
      </c>
      <c r="B111" s="308">
        <v>1</v>
      </c>
      <c r="C111" s="425">
        <v>4</v>
      </c>
      <c r="D111" s="426">
        <v>32593877</v>
      </c>
      <c r="E111" s="458">
        <f t="shared" si="1"/>
        <v>234.14411178653654</v>
      </c>
      <c r="F111" s="428">
        <f t="shared" si="2"/>
        <v>0.86720041402420944</v>
      </c>
    </row>
    <row r="112" spans="1:10" ht="26.25" customHeight="1" x14ac:dyDescent="0.4">
      <c r="A112" s="307" t="s">
        <v>98</v>
      </c>
      <c r="B112" s="308">
        <v>1</v>
      </c>
      <c r="C112" s="425">
        <v>5</v>
      </c>
      <c r="D112" s="426">
        <v>32679111</v>
      </c>
      <c r="E112" s="458">
        <f t="shared" si="1"/>
        <v>234.75640590619633</v>
      </c>
      <c r="F112" s="428">
        <f t="shared" si="2"/>
        <v>0.8694681700229494</v>
      </c>
    </row>
    <row r="113" spans="1:10" ht="26.25" customHeight="1" x14ac:dyDescent="0.4">
      <c r="A113" s="307" t="s">
        <v>100</v>
      </c>
      <c r="B113" s="308">
        <v>1</v>
      </c>
      <c r="C113" s="429">
        <v>6</v>
      </c>
      <c r="D113" s="430">
        <v>32566017</v>
      </c>
      <c r="E113" s="459">
        <f t="shared" si="1"/>
        <v>233.94397435107982</v>
      </c>
      <c r="F113" s="431">
        <f t="shared" si="2"/>
        <v>0.86645916426325853</v>
      </c>
    </row>
    <row r="114" spans="1:10" ht="26.25" customHeight="1" x14ac:dyDescent="0.4">
      <c r="A114" s="307" t="s">
        <v>101</v>
      </c>
      <c r="B114" s="308">
        <v>1</v>
      </c>
      <c r="C114" s="425"/>
      <c r="D114" s="380"/>
      <c r="E114" s="281"/>
      <c r="F114" s="432"/>
    </row>
    <row r="115" spans="1:10" ht="26.25" customHeight="1" x14ac:dyDescent="0.4">
      <c r="A115" s="307" t="s">
        <v>102</v>
      </c>
      <c r="B115" s="308">
        <v>1</v>
      </c>
      <c r="C115" s="425"/>
      <c r="D115" s="433" t="s">
        <v>71</v>
      </c>
      <c r="E115" s="461">
        <f>AVERAGE(E108:E113)</f>
        <v>234.64267980795671</v>
      </c>
      <c r="F115" s="434">
        <f>AVERAGE(F108:F113)</f>
        <v>0.86904696225169165</v>
      </c>
    </row>
    <row r="116" spans="1:10" ht="27" customHeight="1" x14ac:dyDescent="0.4">
      <c r="A116" s="307" t="s">
        <v>103</v>
      </c>
      <c r="B116" s="339">
        <f>(B115/B114)*(B113/B112)*(B111/B110)*(B109/B108)*B107</f>
        <v>1500</v>
      </c>
      <c r="C116" s="435"/>
      <c r="D116" s="398" t="s">
        <v>84</v>
      </c>
      <c r="E116" s="436">
        <f>STDEV(E108:E113)/E115</f>
        <v>2.1651009788002979E-3</v>
      </c>
      <c r="F116" s="436">
        <f>STDEV(F108:F113)/F115</f>
        <v>2.1651009788003018E-3</v>
      </c>
      <c r="I116" s="281"/>
    </row>
    <row r="117" spans="1:10" ht="27" customHeight="1" x14ac:dyDescent="0.4">
      <c r="A117" s="491" t="s">
        <v>78</v>
      </c>
      <c r="B117" s="492"/>
      <c r="C117" s="437"/>
      <c r="D117" s="438" t="s">
        <v>20</v>
      </c>
      <c r="E117" s="439">
        <f>COUNT(E108:E113)</f>
        <v>6</v>
      </c>
      <c r="F117" s="439">
        <f>COUNT(F108:F113)</f>
        <v>6</v>
      </c>
      <c r="I117" s="281"/>
      <c r="J117" s="418"/>
    </row>
    <row r="118" spans="1:10" ht="19.5" customHeight="1" x14ac:dyDescent="0.3">
      <c r="A118" s="493"/>
      <c r="B118" s="494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8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106</v>
      </c>
      <c r="B120" s="387" t="s">
        <v>123</v>
      </c>
      <c r="C120" s="503" t="str">
        <f>B20</f>
        <v>AMODIAQUINE BASE</v>
      </c>
      <c r="D120" s="503"/>
      <c r="E120" s="388" t="s">
        <v>124</v>
      </c>
      <c r="F120" s="388"/>
      <c r="G120" s="389">
        <f>F115</f>
        <v>0.86904696225169165</v>
      </c>
      <c r="H120" s="281"/>
      <c r="I120" s="281"/>
    </row>
    <row r="121" spans="1:10" ht="19.5" customHeight="1" x14ac:dyDescent="0.3">
      <c r="A121" s="440"/>
      <c r="B121" s="440"/>
      <c r="C121" s="441"/>
      <c r="D121" s="441"/>
      <c r="E121" s="441"/>
      <c r="F121" s="441"/>
      <c r="G121" s="441"/>
      <c r="H121" s="441"/>
    </row>
    <row r="122" spans="1:10" ht="18.75" x14ac:dyDescent="0.3">
      <c r="B122" s="504" t="s">
        <v>26</v>
      </c>
      <c r="C122" s="504"/>
      <c r="E122" s="394" t="s">
        <v>27</v>
      </c>
      <c r="F122" s="442"/>
      <c r="G122" s="504" t="s">
        <v>28</v>
      </c>
      <c r="H122" s="504"/>
    </row>
    <row r="123" spans="1:10" ht="69.95" customHeight="1" x14ac:dyDescent="0.3">
      <c r="A123" s="443" t="s">
        <v>29</v>
      </c>
      <c r="B123" s="444"/>
      <c r="C123" s="444"/>
      <c r="E123" s="444"/>
      <c r="F123" s="281"/>
      <c r="G123" s="445"/>
      <c r="H123" s="445"/>
    </row>
    <row r="124" spans="1:10" ht="69.95" customHeight="1" x14ac:dyDescent="0.3">
      <c r="A124" s="443" t="s">
        <v>30</v>
      </c>
      <c r="B124" s="446"/>
      <c r="C124" s="446"/>
      <c r="E124" s="446"/>
      <c r="F124" s="281"/>
      <c r="G124" s="447"/>
      <c r="H124" s="447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ART SST</vt:lpstr>
      <vt:lpstr>AM SST</vt:lpstr>
      <vt:lpstr>Uniformity</vt:lpstr>
      <vt:lpstr>Artesunate</vt:lpstr>
      <vt:lpstr>Amodiaquine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dcterms:created xsi:type="dcterms:W3CDTF">2005-07-05T10:19:27Z</dcterms:created>
  <dcterms:modified xsi:type="dcterms:W3CDTF">2016-07-05T13:51:49Z</dcterms:modified>
</cp:coreProperties>
</file>