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Pyrimethamine!$A$1:$I$126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 l="1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D101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E41" i="4"/>
  <c r="B34" i="4"/>
  <c r="D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49" i="2" s="1"/>
  <c r="C45" i="2"/>
  <c r="C19" i="2"/>
  <c r="D97" i="4" l="1"/>
  <c r="I92" i="4"/>
  <c r="I39" i="4"/>
  <c r="D49" i="4"/>
  <c r="F44" i="4"/>
  <c r="F45" i="4" s="1"/>
  <c r="D102" i="4"/>
  <c r="D98" i="4"/>
  <c r="F98" i="4"/>
  <c r="D45" i="4"/>
  <c r="F97" i="3"/>
  <c r="F98" i="3" s="1"/>
  <c r="D98" i="3"/>
  <c r="E92" i="3" s="1"/>
  <c r="D101" i="3"/>
  <c r="D45" i="3"/>
  <c r="D46" i="3" s="1"/>
  <c r="D49" i="3"/>
  <c r="F44" i="3"/>
  <c r="F45" i="3" s="1"/>
  <c r="I92" i="3"/>
  <c r="E93" i="3"/>
  <c r="E94" i="3"/>
  <c r="G94" i="3"/>
  <c r="I39" i="3"/>
  <c r="D37" i="2"/>
  <c r="D29" i="2"/>
  <c r="D25" i="2"/>
  <c r="D33" i="2"/>
  <c r="D41" i="2"/>
  <c r="D24" i="2"/>
  <c r="D32" i="2"/>
  <c r="D40" i="2"/>
  <c r="D28" i="2"/>
  <c r="D36" i="2"/>
  <c r="D26" i="2"/>
  <c r="D30" i="2"/>
  <c r="D34" i="2"/>
  <c r="D38" i="2"/>
  <c r="D42" i="2"/>
  <c r="B49" i="2"/>
  <c r="D50" i="2"/>
  <c r="C50" i="2"/>
  <c r="D49" i="2"/>
  <c r="B57" i="3"/>
  <c r="B57" i="4"/>
  <c r="D27" i="2"/>
  <c r="D31" i="2"/>
  <c r="D35" i="2"/>
  <c r="D39" i="2"/>
  <c r="D43" i="2"/>
  <c r="E91" i="3" l="1"/>
  <c r="E95" i="3" s="1"/>
  <c r="D99" i="3"/>
  <c r="G40" i="4"/>
  <c r="F46" i="4"/>
  <c r="G39" i="4"/>
  <c r="G41" i="4"/>
  <c r="G38" i="4"/>
  <c r="D99" i="4"/>
  <c r="E92" i="4"/>
  <c r="E91" i="4"/>
  <c r="E94" i="4"/>
  <c r="E93" i="4"/>
  <c r="G93" i="4"/>
  <c r="F99" i="4"/>
  <c r="G92" i="4"/>
  <c r="G94" i="4"/>
  <c r="G91" i="4"/>
  <c r="D46" i="4"/>
  <c r="E40" i="4"/>
  <c r="E38" i="4"/>
  <c r="E39" i="4"/>
  <c r="F99" i="3"/>
  <c r="G91" i="3"/>
  <c r="G93" i="3"/>
  <c r="G92" i="3"/>
  <c r="D102" i="3"/>
  <c r="E40" i="3"/>
  <c r="E38" i="3"/>
  <c r="E41" i="3"/>
  <c r="E39" i="3"/>
  <c r="G41" i="3"/>
  <c r="G39" i="3"/>
  <c r="F46" i="3"/>
  <c r="G40" i="3"/>
  <c r="G38" i="3"/>
  <c r="B69" i="3"/>
  <c r="B69" i="4"/>
  <c r="D103" i="3" l="1"/>
  <c r="E108" i="3" s="1"/>
  <c r="G95" i="4"/>
  <c r="G42" i="4"/>
  <c r="E95" i="4"/>
  <c r="D103" i="4"/>
  <c r="D105" i="4"/>
  <c r="D50" i="4"/>
  <c r="E42" i="4"/>
  <c r="D52" i="4"/>
  <c r="G95" i="3"/>
  <c r="D105" i="3"/>
  <c r="E42" i="3"/>
  <c r="G42" i="3"/>
  <c r="D52" i="3"/>
  <c r="D50" i="3"/>
  <c r="E110" i="3"/>
  <c r="F110" i="3" s="1"/>
  <c r="E113" i="3"/>
  <c r="F113" i="3" s="1"/>
  <c r="E111" i="3"/>
  <c r="F111" i="3" s="1"/>
  <c r="E109" i="3"/>
  <c r="F109" i="3" s="1"/>
  <c r="D104" i="3"/>
  <c r="E112" i="3" l="1"/>
  <c r="F112" i="3" s="1"/>
  <c r="E112" i="4"/>
  <c r="F112" i="4" s="1"/>
  <c r="E110" i="4"/>
  <c r="F110" i="4" s="1"/>
  <c r="E108" i="4"/>
  <c r="E111" i="4"/>
  <c r="F111" i="4" s="1"/>
  <c r="E109" i="4"/>
  <c r="F109" i="4" s="1"/>
  <c r="E113" i="4"/>
  <c r="F113" i="4" s="1"/>
  <c r="D104" i="4"/>
  <c r="D51" i="4"/>
  <c r="G62" i="4"/>
  <c r="H62" i="4" s="1"/>
  <c r="G71" i="4"/>
  <c r="H71" i="4" s="1"/>
  <c r="G67" i="4"/>
  <c r="H67" i="4" s="1"/>
  <c r="G69" i="4"/>
  <c r="H69" i="4" s="1"/>
  <c r="G64" i="4"/>
  <c r="H64" i="4" s="1"/>
  <c r="G61" i="4"/>
  <c r="H61" i="4" s="1"/>
  <c r="G70" i="4"/>
  <c r="H70" i="4" s="1"/>
  <c r="G65" i="4"/>
  <c r="H65" i="4" s="1"/>
  <c r="G66" i="4"/>
  <c r="H66" i="4" s="1"/>
  <c r="G63" i="4"/>
  <c r="H63" i="4" s="1"/>
  <c r="G68" i="4"/>
  <c r="H68" i="4" s="1"/>
  <c r="G60" i="4"/>
  <c r="D51" i="3"/>
  <c r="G66" i="3"/>
  <c r="H66" i="3" s="1"/>
  <c r="G63" i="3"/>
  <c r="H63" i="3" s="1"/>
  <c r="G60" i="3"/>
  <c r="G61" i="3"/>
  <c r="H61" i="3" s="1"/>
  <c r="G68" i="3"/>
  <c r="H68" i="3" s="1"/>
  <c r="G65" i="3"/>
  <c r="H65" i="3" s="1"/>
  <c r="G69" i="3"/>
  <c r="H69" i="3" s="1"/>
  <c r="G64" i="3"/>
  <c r="H64" i="3" s="1"/>
  <c r="G67" i="3"/>
  <c r="H67" i="3" s="1"/>
  <c r="G62" i="3"/>
  <c r="H62" i="3" s="1"/>
  <c r="G70" i="3"/>
  <c r="H70" i="3" s="1"/>
  <c r="G71" i="3"/>
  <c r="H71" i="3" s="1"/>
  <c r="E115" i="3"/>
  <c r="E116" i="3" s="1"/>
  <c r="E117" i="3"/>
  <c r="F108" i="3"/>
  <c r="E115" i="4" l="1"/>
  <c r="E116" i="4" s="1"/>
  <c r="E117" i="4"/>
  <c r="F108" i="4"/>
  <c r="G74" i="4"/>
  <c r="H60" i="4"/>
  <c r="G72" i="4"/>
  <c r="G73" i="4" s="1"/>
  <c r="H60" i="3"/>
  <c r="G72" i="3"/>
  <c r="G73" i="3" s="1"/>
  <c r="G74" i="3"/>
  <c r="F115" i="3"/>
  <c r="F117" i="3"/>
  <c r="H74" i="4" l="1"/>
  <c r="H72" i="4"/>
  <c r="G76" i="4" s="1"/>
  <c r="F115" i="4"/>
  <c r="F117" i="4"/>
  <c r="H72" i="3"/>
  <c r="G76" i="3" s="1"/>
  <c r="H74" i="3"/>
  <c r="G120" i="3"/>
  <c r="F116" i="3"/>
  <c r="H73" i="4" l="1"/>
  <c r="G120" i="4"/>
  <c r="F116" i="4"/>
  <c r="H73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<sst xmlns="http://schemas.openxmlformats.org/spreadsheetml/2006/main" count="392" uniqueCount="129">
  <si>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</si>
  <si>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</si>
  <si>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</si>
  <si>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</si>
  <si>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ORODAR TABLETS</t>
  </si>
  <si>
    <t>% age Purity:</t>
  </si>
  <si>
    <t>NDQA201511494</t>
  </si>
  <si>
    <t>Weight (mg):</t>
  </si>
  <si>
    <t>Sulfadoxine 500 mg &amp; Pyrimethamine 25 mg</t>
  </si>
  <si>
    <t>Standard Conc (mg/mL):</t>
  </si>
  <si>
    <t>Each tablet contains Sulfadoxine 500 mg and Pyrimethamine 25 mg</t>
  </si>
  <si>
    <t>2015-11-05 11:07:05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</si>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</sst>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workbookViewId="0">
      <selection activeCell="B17" sqref="B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124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125</v>
      </c>
    </row>
    <row r="39" spans="1:5" ht="16.5" customHeight="1" x14ac:dyDescent="0.3">
      <c r="A39" s="423" t="s">
        <v>3</v>
      </c>
      <c r="B39" s="420" t="s">
        <v>126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611.63</v>
      </c>
      <c r="D24" s="40">
        <f t="shared" ref="D24:D43" si="0">(C24-$C$46)/$C$46</f>
        <v>-2.2620374649954967E-3</v>
      </c>
      <c r="E24" s="6"/>
    </row>
    <row r="25" spans="1:5" ht="15.75" customHeight="1" x14ac:dyDescent="0.3">
      <c r="C25" s="48">
        <v>612.1</v>
      </c>
      <c r="D25" s="41">
        <f t="shared" si="0"/>
        <v>-1.4953372665234151E-3</v>
      </c>
      <c r="E25" s="6"/>
    </row>
    <row r="26" spans="1:5" ht="15.75" customHeight="1" x14ac:dyDescent="0.3">
      <c r="C26" s="48">
        <v>610.69000000000005</v>
      </c>
      <c r="D26" s="41">
        <f t="shared" si="0"/>
        <v>-3.7954378619394747E-3</v>
      </c>
      <c r="E26" s="6"/>
    </row>
    <row r="27" spans="1:5" ht="15.75" customHeight="1" x14ac:dyDescent="0.3">
      <c r="C27" s="48">
        <v>602.77</v>
      </c>
      <c r="D27" s="41">
        <f t="shared" si="0"/>
        <v>-1.6715151844702434E-2</v>
      </c>
      <c r="E27" s="6"/>
    </row>
    <row r="28" spans="1:5" ht="15.75" customHeight="1" x14ac:dyDescent="0.3">
      <c r="C28" s="48">
        <v>609.94000000000005</v>
      </c>
      <c r="D28" s="41">
        <f t="shared" si="0"/>
        <v>-5.0188956254586829E-3</v>
      </c>
      <c r="E28" s="6"/>
    </row>
    <row r="29" spans="1:5" ht="15.75" customHeight="1" x14ac:dyDescent="0.3">
      <c r="C29" s="48">
        <v>616.62</v>
      </c>
      <c r="D29" s="41">
        <f t="shared" si="0"/>
        <v>5.8780348549523171E-3</v>
      </c>
      <c r="E29" s="6"/>
    </row>
    <row r="30" spans="1:5" ht="15.75" customHeight="1" x14ac:dyDescent="0.3">
      <c r="C30" s="48">
        <v>615.05999999999995</v>
      </c>
      <c r="D30" s="41">
        <f t="shared" si="0"/>
        <v>3.3332427068322678E-3</v>
      </c>
      <c r="E30" s="6"/>
    </row>
    <row r="31" spans="1:5" ht="15.75" customHeight="1" x14ac:dyDescent="0.3">
      <c r="C31" s="48">
        <v>618.73</v>
      </c>
      <c r="D31" s="41">
        <f t="shared" si="0"/>
        <v>9.3200293629863793E-3</v>
      </c>
      <c r="E31" s="6"/>
    </row>
    <row r="32" spans="1:5" ht="15.75" customHeight="1" x14ac:dyDescent="0.3">
      <c r="C32" s="48">
        <v>617.41</v>
      </c>
      <c r="D32" s="41">
        <f t="shared" si="0"/>
        <v>7.166743699192491E-3</v>
      </c>
      <c r="E32" s="6"/>
    </row>
    <row r="33" spans="1:7" ht="15.75" customHeight="1" x14ac:dyDescent="0.3">
      <c r="C33" s="48">
        <v>615.29999999999995</v>
      </c>
      <c r="D33" s="41">
        <f t="shared" si="0"/>
        <v>3.7247491911584292E-3</v>
      </c>
      <c r="E33" s="6"/>
    </row>
    <row r="34" spans="1:7" ht="15.75" customHeight="1" x14ac:dyDescent="0.3">
      <c r="C34" s="48">
        <v>617.54999999999995</v>
      </c>
      <c r="D34" s="41">
        <f t="shared" si="0"/>
        <v>7.3951224817160538E-3</v>
      </c>
      <c r="E34" s="6"/>
    </row>
    <row r="35" spans="1:7" ht="15.75" customHeight="1" x14ac:dyDescent="0.3">
      <c r="C35" s="48">
        <v>613.73</v>
      </c>
      <c r="D35" s="41">
        <f t="shared" si="0"/>
        <v>1.1636442728583237E-3</v>
      </c>
      <c r="E35" s="6"/>
    </row>
    <row r="36" spans="1:7" ht="15.75" customHeight="1" x14ac:dyDescent="0.3">
      <c r="C36" s="48">
        <v>607.14</v>
      </c>
      <c r="D36" s="41">
        <f t="shared" si="0"/>
        <v>-9.5864712759305051E-3</v>
      </c>
      <c r="E36" s="6"/>
    </row>
    <row r="37" spans="1:7" ht="15.75" customHeight="1" x14ac:dyDescent="0.3">
      <c r="C37" s="48">
        <v>612.07000000000005</v>
      </c>
      <c r="D37" s="41">
        <f t="shared" si="0"/>
        <v>-1.5442755770641388E-3</v>
      </c>
      <c r="E37" s="6"/>
    </row>
    <row r="38" spans="1:7" ht="15.75" customHeight="1" x14ac:dyDescent="0.3">
      <c r="C38" s="48">
        <v>614.51</v>
      </c>
      <c r="D38" s="41">
        <f t="shared" si="0"/>
        <v>2.4360403469182558E-3</v>
      </c>
      <c r="E38" s="6"/>
    </row>
    <row r="39" spans="1:7" ht="15.75" customHeight="1" x14ac:dyDescent="0.3">
      <c r="C39" s="48"/>
      <c r="D39" s="41">
        <f t="shared" si="0"/>
        <v>-1</v>
      </c>
      <c r="E39" s="6"/>
    </row>
    <row r="40" spans="1:7" ht="15.75" customHeight="1" x14ac:dyDescent="0.3">
      <c r="C40" s="48"/>
      <c r="D40" s="41">
        <f t="shared" si="0"/>
        <v>-1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9195.25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613.01666666666665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613.01666666666665</v>
      </c>
      <c r="C49" s="46">
        <f>-IF(C46&lt;=80,10%,IF(C46&lt;250,7.5%,5%))</f>
        <v>-0.05</v>
      </c>
      <c r="D49" s="34">
        <f>IF(C46&lt;=80,C46*0.9,IF(C46&lt;250,C46*0.925,C46*0.95))</f>
        <v>582.36583333333328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643.66750000000002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0" zoomScale="60" zoomScaleNormal="60" zoomScaleSheetLayoutView="40" zoomScalePageLayoutView="55" workbookViewId="0">
      <selection activeCell="G117" sqref="G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124</v>
      </c>
      <c r="C26" s="503"/>
    </row>
    <row r="27" spans="1:14" ht="26.25" customHeight="1" x14ac:dyDescent="0.4">
      <c r="A27" s="62" t="s">
        <v>46</v>
      </c>
      <c r="B27" s="501" t="s">
        <v>127</v>
      </c>
      <c r="C27" s="501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Each tablet contains Sulfadoxine 500 mg and Pyrimethamine 25 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500 mg &amp; Pyrimethamine 25 mg</v>
      </c>
      <c r="H56" s="131"/>
    </row>
    <row r="57" spans="1:12" ht="18.75" x14ac:dyDescent="0.3">
      <c r="A57" s="128" t="s">
        <v>86</v>
      </c>
      <c r="B57" s="219">
        <f>Uniformity!C46</f>
        <v>613.01666666666665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611</v>
      </c>
      <c r="E60" s="134">
        <v>1</v>
      </c>
      <c r="F60" s="135">
        <v>13166214</v>
      </c>
      <c r="G60" s="220">
        <f>IF(ISBLANK(F60),"-",(F60/$D$50*$D$47*$B$68)*($B$57/$D$60))</f>
        <v>24.045182979135088</v>
      </c>
      <c r="H60" s="136">
        <f t="shared" ref="H60:H71" si="0">IF(ISBLANK(F60),"-",G60/$B$56)</f>
        <v>0.96180731916540352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7">
        <v>2</v>
      </c>
      <c r="F61" s="89">
        <v>13390932</v>
      </c>
      <c r="G61" s="221">
        <f>IF(ISBLANK(F61),"-",(F61/$D$50*$D$47*$B$68)*($B$57/$D$60))</f>
        <v>24.455580791953967</v>
      </c>
      <c r="H61" s="138">
        <f t="shared" si="0"/>
        <v>0.97822323167815872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7">
        <v>3</v>
      </c>
      <c r="F62" s="139">
        <v>13386503</v>
      </c>
      <c r="G62" s="221">
        <f>IF(ISBLANK(F62),"-",(F62/$D$50*$D$47*$B$68)*($B$57/$D$60))</f>
        <v>24.447492201307131</v>
      </c>
      <c r="H62" s="138">
        <f t="shared" si="0"/>
        <v>0.97789968805228522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614.17999999999995</v>
      </c>
      <c r="E64" s="134">
        <v>1</v>
      </c>
      <c r="F64" s="135">
        <v>13500423</v>
      </c>
      <c r="G64" s="222">
        <f>IF(ISBLANK(F64),"-",(F64/$D$50*$D$47*$B$68)*($B$57/$D$64))</f>
        <v>24.527884527286421</v>
      </c>
      <c r="H64" s="142">
        <f t="shared" si="0"/>
        <v>0.9811153810914568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7">
        <v>2</v>
      </c>
      <c r="F65" s="89">
        <v>13508126</v>
      </c>
      <c r="G65" s="223">
        <f>IF(ISBLANK(F65),"-",(F65/$D$50*$D$47*$B$68)*($B$57/$D$64))</f>
        <v>24.541879517999945</v>
      </c>
      <c r="H65" s="143">
        <f t="shared" si="0"/>
        <v>0.98167518071999782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7">
        <v>3</v>
      </c>
      <c r="F66" s="89">
        <v>13421250</v>
      </c>
      <c r="G66" s="223">
        <f>IF(ISBLANK(F66),"-",(F66/$D$50*$D$47*$B$68)*($B$57/$D$64))</f>
        <v>24.384041167587327</v>
      </c>
      <c r="H66" s="143">
        <f t="shared" si="0"/>
        <v>0.97536164670349312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9" t="s">
        <v>102</v>
      </c>
      <c r="D68" s="492">
        <v>612.41</v>
      </c>
      <c r="E68" s="134">
        <v>1</v>
      </c>
      <c r="F68" s="135">
        <v>13914121</v>
      </c>
      <c r="G68" s="222">
        <f>IF(ISBLANK(F68),"-",(F68/$D$50*$D$47*$B$68)*($B$57/$D$68))</f>
        <v>25.35256407150743</v>
      </c>
      <c r="H68" s="138">
        <f t="shared" si="0"/>
        <v>1.0141025628602973</v>
      </c>
    </row>
    <row r="69" spans="1:8" ht="27" customHeight="1" x14ac:dyDescent="0.4">
      <c r="A69" s="124" t="s">
        <v>103</v>
      </c>
      <c r="B69" s="146">
        <f>(D47*B68)/B56*B57</f>
        <v>613.01666666666665</v>
      </c>
      <c r="C69" s="490"/>
      <c r="D69" s="493"/>
      <c r="E69" s="137">
        <v>2</v>
      </c>
      <c r="F69" s="89">
        <v>13647430</v>
      </c>
      <c r="G69" s="223">
        <f>IF(ISBLANK(F69),"-",(F69/$D$50*$D$47*$B$68)*($B$57/$D$68))</f>
        <v>24.866633220051241</v>
      </c>
      <c r="H69" s="138">
        <f t="shared" si="0"/>
        <v>0.99466532880204961</v>
      </c>
    </row>
    <row r="70" spans="1:8" ht="26.25" customHeight="1" x14ac:dyDescent="0.4">
      <c r="A70" s="495" t="s">
        <v>76</v>
      </c>
      <c r="B70" s="496"/>
      <c r="C70" s="490"/>
      <c r="D70" s="493"/>
      <c r="E70" s="137">
        <v>3</v>
      </c>
      <c r="F70" s="89">
        <v>13709177</v>
      </c>
      <c r="G70" s="223">
        <f>IF(ISBLANK(F70),"-",(F70/$D$50*$D$47*$B$68)*($B$57/$D$68))</f>
        <v>24.979140849798274</v>
      </c>
      <c r="H70" s="138">
        <f t="shared" si="0"/>
        <v>0.99916563399193092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9">
        <f>AVERAGE(G60:G71)</f>
        <v>24.622266591847424</v>
      </c>
      <c r="H72" s="151">
        <f>AVERAGE(H60:H71)</f>
        <v>0.9848906636738971</v>
      </c>
    </row>
    <row r="73" spans="1:8" ht="26.25" customHeight="1" x14ac:dyDescent="0.4">
      <c r="C73" s="148"/>
      <c r="D73" s="148"/>
      <c r="E73" s="148"/>
      <c r="F73" s="152" t="s">
        <v>82</v>
      </c>
      <c r="G73" s="225">
        <f>STDEV(G60:G71)/G72</f>
        <v>1.5623628031860504E-2</v>
      </c>
      <c r="H73" s="225">
        <f>STDEV(H60:H71)/H72</f>
        <v>1.5623628031860522E-2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104</v>
      </c>
      <c r="B76" s="156" t="s">
        <v>105</v>
      </c>
      <c r="C76" s="476" t="str">
        <f>B20</f>
        <v>Sulfadoxine 500 mg &amp; Pyrimethamine 25 mg</v>
      </c>
      <c r="D76" s="476"/>
      <c r="E76" s="157" t="s">
        <v>106</v>
      </c>
      <c r="F76" s="157"/>
      <c r="G76" s="158">
        <f>H72</f>
        <v>0.9848906636738971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>Pyrimethamine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7">
        <v>25</v>
      </c>
      <c r="D89" s="161" t="s">
        <v>57</v>
      </c>
      <c r="E89" s="162"/>
      <c r="F89" s="484" t="s">
        <v>58</v>
      </c>
      <c r="G89" s="485"/>
    </row>
    <row r="90" spans="1:12" ht="27" customHeight="1" x14ac:dyDescent="0.4">
      <c r="A90" s="77" t="s">
        <v>59</v>
      </c>
      <c r="B90" s="259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9">
        <v>10</v>
      </c>
      <c r="C91" s="165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9">
        <v>5</v>
      </c>
      <c r="C92" s="149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9">
        <v>20</v>
      </c>
      <c r="C93" s="149">
        <v>3</v>
      </c>
      <c r="D93" s="271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6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3428872</v>
      </c>
      <c r="E108" s="226">
        <f t="shared" ref="E108:E113" si="1">IF(ISBLANK(D108),"-",D108/$D$103*$D$100*$B$116)</f>
        <v>23.980671000468746</v>
      </c>
      <c r="F108" s="196">
        <f t="shared" ref="F108:F113" si="2">IF(ISBLANK(D108), "-", E108/$B$56)</f>
        <v>0.9592268400187498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3354707</v>
      </c>
      <c r="E109" s="227">
        <f t="shared" si="1"/>
        <v>23.461979586863993</v>
      </c>
      <c r="F109" s="197">
        <f t="shared" si="2"/>
        <v>0.93847918347455972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3276539</v>
      </c>
      <c r="E110" s="227">
        <f t="shared" si="1"/>
        <v>22.915292194985661</v>
      </c>
      <c r="F110" s="197">
        <f t="shared" si="2"/>
        <v>0.91661168779942637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3346677</v>
      </c>
      <c r="E111" s="227">
        <f t="shared" si="1"/>
        <v>23.405819780334685</v>
      </c>
      <c r="F111" s="197">
        <f t="shared" si="2"/>
        <v>0.93623279121338743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3336786</v>
      </c>
      <c r="E112" s="227">
        <f t="shared" si="1"/>
        <v>23.336644606439119</v>
      </c>
      <c r="F112" s="197">
        <f t="shared" si="2"/>
        <v>0.93346578425756477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3546561</v>
      </c>
      <c r="E113" s="228">
        <f t="shared" si="1"/>
        <v>24.803758356711317</v>
      </c>
      <c r="F113" s="200">
        <f t="shared" si="2"/>
        <v>0.99215033426845267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23.650694254300586</v>
      </c>
      <c r="F115" s="203">
        <f>AVERAGE(F108:F113)</f>
        <v>0.94602777017202344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2.7877067586255258E-2</v>
      </c>
      <c r="F116" s="205">
        <f>STDEV(F108:F113)/F115</f>
        <v>2.7877067586255265E-2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6" t="str">
        <f>B20</f>
        <v>Sulfadoxine 500 mg &amp; Pyrimethamine 25 mg</v>
      </c>
      <c r="D120" s="476"/>
      <c r="E120" s="157" t="s">
        <v>122</v>
      </c>
      <c r="F120" s="157"/>
      <c r="G120" s="158">
        <f>F115</f>
        <v>0.94602777017202344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3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2" zoomScale="60" zoomScaleNormal="60" zoomScaleSheetLayoutView="40" zoomScalePageLayoutView="55" workbookViewId="0">
      <selection activeCell="H113" sqref="H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42437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126</v>
      </c>
      <c r="C26" s="503"/>
    </row>
    <row r="27" spans="1:14" ht="26.25" customHeight="1" x14ac:dyDescent="0.4">
      <c r="A27" s="243" t="s">
        <v>46</v>
      </c>
      <c r="B27" s="501" t="s">
        <v>128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Each tablet contains Sulfadoxine 500 mg and Pyrimethamine 25 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500 mg &amp; Pyrimethamine 25 mg</v>
      </c>
      <c r="H56" s="313"/>
    </row>
    <row r="57" spans="1:12" ht="18.75" x14ac:dyDescent="0.3">
      <c r="A57" s="310" t="s">
        <v>86</v>
      </c>
      <c r="B57" s="402">
        <f>Uniformity!C46</f>
        <v>613.01666666666665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611</v>
      </c>
      <c r="E60" s="316">
        <v>1</v>
      </c>
      <c r="F60" s="317">
        <v>381915952</v>
      </c>
      <c r="G60" s="403">
        <f>IF(ISBLANK(F60),"-",(F60/$D$50*$D$47*$B$68)*($B$57/$D$60))</f>
        <v>488.44031601075369</v>
      </c>
      <c r="H60" s="318">
        <f t="shared" ref="H60:H71" si="0">IF(ISBLANK(F60),"-",G60/$B$56)</f>
        <v>0.97688063202150743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387100906</v>
      </c>
      <c r="G61" s="404">
        <f>IF(ISBLANK(F61),"-",(F61/$D$50*$D$47*$B$68)*($B$57/$D$60))</f>
        <v>495.07146235852713</v>
      </c>
      <c r="H61" s="320">
        <f t="shared" si="0"/>
        <v>0.99014292471705423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386987057</v>
      </c>
      <c r="G62" s="404">
        <f>IF(ISBLANK(F62),"-",(F62/$D$50*$D$47*$B$68)*($B$57/$D$60))</f>
        <v>494.92585848614027</v>
      </c>
      <c r="H62" s="320">
        <f t="shared" si="0"/>
        <v>0.98985171697228058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614.17999999999995</v>
      </c>
      <c r="E64" s="316">
        <v>1</v>
      </c>
      <c r="F64" s="317">
        <v>391209329</v>
      </c>
      <c r="G64" s="405">
        <f>IF(ISBLANK(F64),"-",(F64/$D$50*$D$47*$B$68)*($B$57/$D$64))</f>
        <v>497.73530610704955</v>
      </c>
      <c r="H64" s="324">
        <f t="shared" si="0"/>
        <v>0.99547061221409916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390922759</v>
      </c>
      <c r="G65" s="406">
        <f>IF(ISBLANK(F65),"-",(F65/$D$50*$D$47*$B$68)*($B$57/$D$64))</f>
        <v>497.37070333278632</v>
      </c>
      <c r="H65" s="325">
        <f t="shared" si="0"/>
        <v>0.99474140666557265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389516876</v>
      </c>
      <c r="G66" s="406">
        <f>IF(ISBLANK(F66),"-",(F66/$D$50*$D$47*$B$68)*($B$57/$D$64))</f>
        <v>495.58199955329206</v>
      </c>
      <c r="H66" s="325">
        <f t="shared" si="0"/>
        <v>0.99116399910658415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612.41</v>
      </c>
      <c r="E68" s="316">
        <v>1</v>
      </c>
      <c r="F68" s="317">
        <v>401602841</v>
      </c>
      <c r="G68" s="405">
        <f>IF(ISBLANK(F68),"-",(F68/$D$50*$D$47*$B$68)*($B$57/$D$68))</f>
        <v>512.43574696064093</v>
      </c>
      <c r="H68" s="320">
        <f t="shared" si="0"/>
        <v>1.024871493921282</v>
      </c>
    </row>
    <row r="69" spans="1:8" ht="27" customHeight="1" x14ac:dyDescent="0.4">
      <c r="A69" s="306" t="s">
        <v>103</v>
      </c>
      <c r="B69" s="328">
        <f>(D47*B68)/B56*B57</f>
        <v>613.01666666666665</v>
      </c>
      <c r="C69" s="490"/>
      <c r="D69" s="493"/>
      <c r="E69" s="319">
        <v>2</v>
      </c>
      <c r="F69" s="271">
        <v>395434919</v>
      </c>
      <c r="G69" s="406">
        <f>IF(ISBLANK(F69),"-",(F69/$D$50*$D$47*$B$68)*($B$57/$D$68))</f>
        <v>504.56562405664232</v>
      </c>
      <c r="H69" s="320">
        <f t="shared" si="0"/>
        <v>1.0091312481132846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395368580</v>
      </c>
      <c r="G70" s="406">
        <f>IF(ISBLANK(F70),"-",(F70/$D$50*$D$47*$B$68)*($B$57/$D$68))</f>
        <v>504.4809770582969</v>
      </c>
      <c r="H70" s="320">
        <f t="shared" si="0"/>
        <v>1.0089619541165937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498.95644376934769</v>
      </c>
      <c r="H72" s="333">
        <f>AVERAGE(H60:H71)</f>
        <v>0.99791288753869523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1.4189333147389504E-2</v>
      </c>
      <c r="H73" s="408">
        <f>STDEV(H60:H71)/H72</f>
        <v>1.4189333147389507E-2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500 mg &amp; Pyrimethamine 25 mg</v>
      </c>
      <c r="D76" s="476"/>
      <c r="E76" s="339" t="s">
        <v>106</v>
      </c>
      <c r="F76" s="339"/>
      <c r="G76" s="340">
        <f>H72</f>
        <v>0.99791288753869523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102206723</v>
      </c>
      <c r="E108" s="409">
        <f t="shared" ref="E108:E113" si="1">IF(ISBLANK(D108),"-",D108/$D$103*$D$100*$B$116)</f>
        <v>484.58589525413026</v>
      </c>
      <c r="F108" s="379">
        <f t="shared" ref="F108:F113" si="2">IF(ISBLANK(D108), "-", E108/$B$56)</f>
        <v>0.96917179050826052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99390659</v>
      </c>
      <c r="E109" s="410">
        <f t="shared" si="1"/>
        <v>471.23427948485323</v>
      </c>
      <c r="F109" s="380">
        <f t="shared" si="2"/>
        <v>0.94246855896970649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97391801</v>
      </c>
      <c r="E110" s="410">
        <f t="shared" si="1"/>
        <v>461.75722782929944</v>
      </c>
      <c r="F110" s="380">
        <f t="shared" si="2"/>
        <v>0.92351445565859891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99835429</v>
      </c>
      <c r="E111" s="410">
        <f t="shared" si="1"/>
        <v>473.34303771822482</v>
      </c>
      <c r="F111" s="380">
        <f t="shared" si="2"/>
        <v>0.94668607543644967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99161126</v>
      </c>
      <c r="E112" s="410">
        <f t="shared" si="1"/>
        <v>470.14601003416982</v>
      </c>
      <c r="F112" s="380">
        <f t="shared" si="2"/>
        <v>0.94029202006833967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105907693</v>
      </c>
      <c r="E113" s="411">
        <f t="shared" si="1"/>
        <v>502.13305661609542</v>
      </c>
      <c r="F113" s="383">
        <f t="shared" si="2"/>
        <v>1.0042661132321908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477.1999178227955</v>
      </c>
      <c r="F115" s="386">
        <f>AVERAGE(F108:F113)</f>
        <v>0.95439983564559105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2.9855818843948154E-2</v>
      </c>
      <c r="F116" s="388">
        <f>STDEV(F108:F113)/F115</f>
        <v>2.9855818843948133E-2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500 mg &amp; Pyrimethamine 25 mg</v>
      </c>
      <c r="D120" s="476"/>
      <c r="E120" s="339" t="s">
        <v>122</v>
      </c>
      <c r="F120" s="339"/>
      <c r="G120" s="340">
        <f>F115</f>
        <v>0.95439983564559105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2016-04-12T10:06:22Z</dcterms:modified>
</cp:coreProperties>
</file>