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80" yWindow="495" windowWidth="16935" windowHeight="9405" activeTab="2"/>
  </bookViews>
  <sheets>
    <sheet name="SST" sheetId="5" r:id="rId1"/>
    <sheet name="Uniformity" sheetId="2" r:id="rId2"/>
    <sheet name="Pyrimethamine" sheetId="3" r:id="rId3"/>
    <sheet name="Sulfadoxine" sheetId="4" r:id="rId4"/>
  </sheets>
  <definedNames>
    <definedName name="_xlnm.Print_Area" localSheetId="2">Pyrimethamine!$A$1:$I$126</definedName>
    <definedName name="_xlnm.Print_Area" localSheetId="3">Sulfadoxine!$A$1:$H$126</definedName>
    <definedName name="_xlnm.Print_Area" localSheetId="1">Uniformity!$A$1:$F$54</definedName>
  </definedNames>
  <calcPr calcId="144525"/>
</workbook>
</file>

<file path=xl/calcChain.xml><?xml version="1.0" encoding="utf-8"?>
<calcChain xmlns="http://schemas.openxmlformats.org/spreadsheetml/2006/main">
  <c r="F96" i="4" l="1"/>
  <c r="D96" i="4"/>
  <c r="D68" i="4"/>
  <c r="D64" i="4"/>
  <c r="D60" i="4"/>
  <c r="F96" i="3"/>
  <c r="D96" i="3"/>
  <c r="B53" i="5"/>
  <c r="E51" i="5"/>
  <c r="C51" i="5"/>
  <c r="B51" i="5"/>
  <c r="B52" i="5" s="1"/>
  <c r="B42" i="5"/>
  <c r="B32" i="5"/>
  <c r="E30" i="5"/>
  <c r="D30" i="5"/>
  <c r="C30" i="5"/>
  <c r="B30" i="5"/>
  <c r="B31" i="5" s="1"/>
  <c r="B21" i="5"/>
  <c r="C120" i="4" l="1"/>
  <c r="B116" i="4"/>
  <c r="D100" i="4" s="1"/>
  <c r="B98" i="4"/>
  <c r="F95" i="4"/>
  <c r="D95" i="4"/>
  <c r="G94" i="4"/>
  <c r="G91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G41" i="4"/>
  <c r="E41" i="4"/>
  <c r="B34" i="4"/>
  <c r="D44" i="4" s="1"/>
  <c r="B30" i="4"/>
  <c r="C120" i="3"/>
  <c r="B116" i="3"/>
  <c r="D100" i="3" s="1"/>
  <c r="B98" i="3"/>
  <c r="F95" i="3"/>
  <c r="D95" i="3"/>
  <c r="B87" i="3"/>
  <c r="D97" i="3" s="1"/>
  <c r="B83" i="3"/>
  <c r="B81" i="3"/>
  <c r="B80" i="3"/>
  <c r="B79" i="3"/>
  <c r="C76" i="3"/>
  <c r="B68" i="3"/>
  <c r="C56" i="3"/>
  <c r="B55" i="3"/>
  <c r="B45" i="3"/>
  <c r="D48" i="3" s="1"/>
  <c r="D49" i="3" s="1"/>
  <c r="F42" i="3"/>
  <c r="D42" i="3"/>
  <c r="I39" i="3" s="1"/>
  <c r="B34" i="3"/>
  <c r="F44" i="3" s="1"/>
  <c r="B30" i="3"/>
  <c r="C46" i="2"/>
  <c r="D24" i="2" s="1"/>
  <c r="C45" i="2"/>
  <c r="C19" i="2"/>
  <c r="F44" i="4" l="1"/>
  <c r="I39" i="4"/>
  <c r="D49" i="4"/>
  <c r="D97" i="4"/>
  <c r="D98" i="4" s="1"/>
  <c r="D101" i="4"/>
  <c r="D102" i="4" s="1"/>
  <c r="F97" i="3"/>
  <c r="F98" i="3" s="1"/>
  <c r="F99" i="3" s="1"/>
  <c r="D98" i="3"/>
  <c r="D99" i="3" s="1"/>
  <c r="D101" i="3"/>
  <c r="D44" i="3"/>
  <c r="D45" i="3" s="1"/>
  <c r="D46" i="3" s="1"/>
  <c r="F45" i="3"/>
  <c r="D45" i="4"/>
  <c r="D46" i="4" s="1"/>
  <c r="F45" i="4"/>
  <c r="F98" i="4"/>
  <c r="I92" i="4"/>
  <c r="I92" i="3"/>
  <c r="G94" i="3"/>
  <c r="E93" i="3"/>
  <c r="D102" i="3"/>
  <c r="E94" i="3"/>
  <c r="D28" i="2"/>
  <c r="D32" i="2"/>
  <c r="D36" i="2"/>
  <c r="D49" i="2"/>
  <c r="B57" i="3"/>
  <c r="D27" i="2"/>
  <c r="D31" i="2"/>
  <c r="D35" i="2"/>
  <c r="D39" i="2"/>
  <c r="D43" i="2"/>
  <c r="C49" i="2"/>
  <c r="D26" i="2"/>
  <c r="D30" i="2"/>
  <c r="D34" i="2"/>
  <c r="D38" i="2"/>
  <c r="D42" i="2"/>
  <c r="B49" i="2"/>
  <c r="D50" i="2"/>
  <c r="B57" i="4"/>
  <c r="D25" i="2"/>
  <c r="D33" i="2"/>
  <c r="D41" i="2"/>
  <c r="D40" i="2"/>
  <c r="D29" i="2"/>
  <c r="D37" i="2"/>
  <c r="C50" i="2"/>
  <c r="B69" i="3"/>
  <c r="E40" i="4" l="1"/>
  <c r="G93" i="4"/>
  <c r="E92" i="4"/>
  <c r="E93" i="4"/>
  <c r="E94" i="4"/>
  <c r="E91" i="4"/>
  <c r="D99" i="4"/>
  <c r="E39" i="4"/>
  <c r="E38" i="4"/>
  <c r="E42" i="4" s="1"/>
  <c r="F99" i="4"/>
  <c r="E92" i="3"/>
  <c r="E91" i="3"/>
  <c r="G93" i="3"/>
  <c r="E40" i="3"/>
  <c r="E38" i="3"/>
  <c r="E41" i="3"/>
  <c r="E39" i="3"/>
  <c r="G40" i="3"/>
  <c r="G38" i="3"/>
  <c r="G41" i="3"/>
  <c r="G39" i="3"/>
  <c r="F46" i="3"/>
  <c r="G91" i="3"/>
  <c r="G92" i="3"/>
  <c r="G39" i="4"/>
  <c r="F46" i="4"/>
  <c r="G40" i="4"/>
  <c r="G38" i="4"/>
  <c r="G92" i="4"/>
  <c r="B69" i="4"/>
  <c r="G95" i="4" l="1"/>
  <c r="E95" i="4"/>
  <c r="E95" i="3"/>
  <c r="D105" i="3"/>
  <c r="D103" i="3"/>
  <c r="E113" i="3" s="1"/>
  <c r="F113" i="3" s="1"/>
  <c r="E42" i="3"/>
  <c r="D52" i="3"/>
  <c r="D50" i="3"/>
  <c r="G67" i="3" s="1"/>
  <c r="H67" i="3" s="1"/>
  <c r="G95" i="3"/>
  <c r="G42" i="3"/>
  <c r="D50" i="4"/>
  <c r="G67" i="4" s="1"/>
  <c r="H67" i="4" s="1"/>
  <c r="G42" i="4"/>
  <c r="D52" i="4"/>
  <c r="D103" i="4"/>
  <c r="D104" i="4" s="1"/>
  <c r="D105" i="4"/>
  <c r="D104" i="3" l="1"/>
  <c r="D51" i="4"/>
  <c r="E109" i="3"/>
  <c r="F109" i="3" s="1"/>
  <c r="E110" i="3"/>
  <c r="F110" i="3" s="1"/>
  <c r="E108" i="3"/>
  <c r="F108" i="3" s="1"/>
  <c r="E111" i="3"/>
  <c r="F111" i="3" s="1"/>
  <c r="E112" i="3"/>
  <c r="F112" i="3" s="1"/>
  <c r="G69" i="3"/>
  <c r="H69" i="3" s="1"/>
  <c r="G64" i="3"/>
  <c r="H64" i="3" s="1"/>
  <c r="G68" i="3"/>
  <c r="H68" i="3" s="1"/>
  <c r="G66" i="3"/>
  <c r="H66" i="3" s="1"/>
  <c r="G71" i="3"/>
  <c r="H71" i="3" s="1"/>
  <c r="G65" i="3"/>
  <c r="H65" i="3" s="1"/>
  <c r="D51" i="3"/>
  <c r="G62" i="3"/>
  <c r="H62" i="3" s="1"/>
  <c r="G63" i="3"/>
  <c r="H63" i="3" s="1"/>
  <c r="G61" i="3"/>
  <c r="H61" i="3" s="1"/>
  <c r="G60" i="3"/>
  <c r="H60" i="3" s="1"/>
  <c r="G70" i="3"/>
  <c r="H70" i="3" s="1"/>
  <c r="G66" i="4"/>
  <c r="H66" i="4" s="1"/>
  <c r="G70" i="4"/>
  <c r="H70" i="4" s="1"/>
  <c r="G62" i="4"/>
  <c r="H62" i="4" s="1"/>
  <c r="G65" i="4"/>
  <c r="H65" i="4" s="1"/>
  <c r="G71" i="4"/>
  <c r="H71" i="4" s="1"/>
  <c r="G68" i="4"/>
  <c r="H68" i="4" s="1"/>
  <c r="G61" i="4"/>
  <c r="H61" i="4" s="1"/>
  <c r="G64" i="4"/>
  <c r="H64" i="4" s="1"/>
  <c r="G60" i="4"/>
  <c r="H60" i="4" s="1"/>
  <c r="G63" i="4"/>
  <c r="H63" i="4" s="1"/>
  <c r="G69" i="4"/>
  <c r="H69" i="4" s="1"/>
  <c r="E108" i="4"/>
  <c r="E112" i="4"/>
  <c r="F112" i="4" s="1"/>
  <c r="E109" i="4"/>
  <c r="F109" i="4" s="1"/>
  <c r="E111" i="4"/>
  <c r="F111" i="4" s="1"/>
  <c r="E113" i="4"/>
  <c r="F113" i="4" s="1"/>
  <c r="E110" i="4"/>
  <c r="F110" i="4" s="1"/>
  <c r="E115" i="3" l="1"/>
  <c r="E116" i="3" s="1"/>
  <c r="E117" i="3"/>
  <c r="H74" i="3"/>
  <c r="H72" i="3"/>
  <c r="G72" i="3"/>
  <c r="G73" i="3" s="1"/>
  <c r="G74" i="3"/>
  <c r="H72" i="4"/>
  <c r="G76" i="4" s="1"/>
  <c r="G72" i="4"/>
  <c r="G73" i="4" s="1"/>
  <c r="H74" i="4"/>
  <c r="G74" i="4"/>
  <c r="F108" i="4"/>
  <c r="E115" i="4"/>
  <c r="E116" i="4" s="1"/>
  <c r="E117" i="4"/>
  <c r="F115" i="3"/>
  <c r="F117" i="3"/>
  <c r="H73" i="4" l="1"/>
  <c r="H73" i="3"/>
  <c r="G76" i="3"/>
  <c r="F115" i="4"/>
  <c r="G120" i="4" s="1"/>
  <c r="F117" i="4"/>
  <c r="G120" i="3"/>
  <c r="F116" i="3"/>
  <c r="F116" i="4" l="1"/>
</calcChain>
</file>

<file path=xl/sharedStrings.xml><?xml version="1.0" encoding="utf-8"?>
<sst xmlns="http://schemas.openxmlformats.org/spreadsheetml/2006/main" count="392" uniqueCount="130">
  <si>
    <t>HPLC System Suitability Report</t>
  </si>
  <si>
    <t>Analysis Data</t>
  </si>
  <si>
    <t>Sample(s)</t>
  </si>
  <si>
    <t>Reference Substance:</t>
  </si>
  <si>
    <t>FANLAR TABLETS</t>
  </si>
  <si>
    <t>% age Purity:</t>
  </si>
  <si>
    <t>NDQA201511500</t>
  </si>
  <si>
    <t>Weight (mg):</t>
  </si>
  <si>
    <t>sulfadoxine &amp; Pyrimethamine</t>
  </si>
  <si>
    <t>Standard Conc (mg/mL):</t>
  </si>
  <si>
    <t>each tablet contains sulfadoxine 500MG Pyrimethamine 25MG</t>
  </si>
  <si>
    <t>2015-11-05 12:39:32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</si>
  <si>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</si>
  <si>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</si>
  <si>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</si>
  <si>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</si>
  <si>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</si>
  <si>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</si>
  <si>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</si>
  <si>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</si>
  <si>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</si>
  <si>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</si>
  <si>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</si>
  <si>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</si>
  <si>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</si>
  <si>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</si>
  <si>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</si>
  <si>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</si>
  <si>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</si>
  <si>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</si>
  <si>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</si>
  <si>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</si>
  <si>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</si>
  <si>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</si>
  <si>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</si>
  <si>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</si>
  <si>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</si>
  <si>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</si>
  <si>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</si>
  <si>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</si>
  <si>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</si>
  <si>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</si>
  <si>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</si>
  <si>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</si>
  <si>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</si>
  <si>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</si>
  <si>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</si>
  <si>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</si>
  <si>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</si>
  <si>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</si>
  <si>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</si>
  <si>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</si>
  <si>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</si>
  <si>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</si>
  <si>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</si>
  <si>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</si>
  <si>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</si>
  <si>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</si>
  <si>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</si>
  <si>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</si>
  <si>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</si>
  <si>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</si>
  <si>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</si>
  <si>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</si>
  <si>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</si>
  <si>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</si>
  <si>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</si>
  <si>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</si>
  <si>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</si>
  <si>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</si>
  <si>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</si>
  <si>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</si>
  <si>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</si>
  <si>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</si>
  <si>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</si>
  <si>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</si>
  <si>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</si>
  <si>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</si>
  <si>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</si>
  <si>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</si>
  <si>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</si>
  <si>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</si>
  <si>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</si>
  <si>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</si>
  <si>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</si>
  <si>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</si>
  <si>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</si>
  <si>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</si>
  <si>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</si>
  <si>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</si>
  <si>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</si>
  <si>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</si>
  <si>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</si>
  <si>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</si>
  <si>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</si>
  <si>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</si>
  <si>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</si>
  <si>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</si>
  <si>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</si>
  <si>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</si>
  <si>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</si>
  <si>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</si>
  <si>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</si>
  <si>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</si>
  <si>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</si>
  <si>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</si>
  <si>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</si>
  <si>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</si>
  <si>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</si>
  <si>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</si>
  <si>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</si>
  <si>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</si>
  <si>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</si>
  <si>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</si>
  <si>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</si>
  <si>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</si>
  <si>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</si>
  <si>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</si>
  <si>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</si>
  <si>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</si>
  <si>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</si>
  <si>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</si>
  <si>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</si>
  <si>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PYRIMETHAMINE</t>
  </si>
  <si>
    <t>Pyrimethamine</t>
  </si>
  <si>
    <t>SULFADOXINE</t>
  </si>
  <si>
    <t>Sulfadoxine</t>
  </si>
  <si>
    <t xml:space="preserve">Pyrimethamine </t>
  </si>
  <si>
    <t>P21-2</t>
  </si>
  <si>
    <t>S18-1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</si>
</sst>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sz val="12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50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0" xfId="0" applyFont="1" applyFill="1" applyAlignment="1">
      <alignment horizontal="left"/>
    </xf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0" fontId="2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0" fillId="2" borderId="0" xfId="1" applyFont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2">
    <cellStyle name="Normal" xfId="0" builtinId="0"/>
    <cellStyle name="Normal 2" xfId="1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40" workbookViewId="0">
      <selection activeCell="B17" sqref="B17"/>
    </sheetView>
  </sheetViews>
  <sheetFormatPr defaultRowHeight="13.5" x14ac:dyDescent="0.25"/>
  <cols>
    <col min="1" max="1" width="27.5703125" style="416" customWidth="1"/>
    <col min="2" max="2" width="20.42578125" style="416" customWidth="1"/>
    <col min="3" max="3" width="31.85546875" style="416" customWidth="1"/>
    <col min="4" max="4" width="25.85546875" style="416" customWidth="1"/>
    <col min="5" max="5" width="25.7109375" style="416" customWidth="1"/>
    <col min="6" max="6" width="23.140625" style="416" customWidth="1"/>
    <col min="7" max="7" width="28.42578125" style="416" customWidth="1"/>
    <col min="8" max="8" width="21.5703125" style="416" customWidth="1"/>
    <col min="9" max="9" width="9.140625" style="416" customWidth="1"/>
    <col min="10" max="16384" width="9.140625" style="453"/>
  </cols>
  <sheetData>
    <row r="14" spans="1:6" ht="15" customHeight="1" x14ac:dyDescent="0.3">
      <c r="A14" s="415"/>
      <c r="C14" s="417"/>
      <c r="F14" s="417"/>
    </row>
    <row r="15" spans="1:6" ht="18.75" customHeight="1" x14ac:dyDescent="0.3">
      <c r="A15" s="460" t="s">
        <v>0</v>
      </c>
      <c r="B15" s="460"/>
      <c r="C15" s="460"/>
      <c r="D15" s="460"/>
      <c r="E15" s="460"/>
    </row>
    <row r="16" spans="1:6" ht="16.5" customHeight="1" x14ac:dyDescent="0.3">
      <c r="A16" s="418" t="s">
        <v>1</v>
      </c>
      <c r="B16" s="419" t="s">
        <v>123</v>
      </c>
    </row>
    <row r="17" spans="1:5" ht="16.5" customHeight="1" x14ac:dyDescent="0.3">
      <c r="A17" s="420" t="s">
        <v>2</v>
      </c>
      <c r="B17" s="3" t="s">
        <v>4</v>
      </c>
      <c r="D17" s="421"/>
      <c r="E17" s="422"/>
    </row>
    <row r="18" spans="1:5" ht="16.5" customHeight="1" x14ac:dyDescent="0.3">
      <c r="A18" s="423" t="s">
        <v>3</v>
      </c>
      <c r="B18" s="424" t="s">
        <v>124</v>
      </c>
      <c r="C18" s="422"/>
      <c r="D18" s="422"/>
      <c r="E18" s="422"/>
    </row>
    <row r="19" spans="1:5" ht="16.5" customHeight="1" x14ac:dyDescent="0.3">
      <c r="A19" s="423" t="s">
        <v>5</v>
      </c>
      <c r="B19" s="425">
        <v>99.7</v>
      </c>
      <c r="C19" s="422"/>
      <c r="D19" s="422"/>
      <c r="E19" s="422"/>
    </row>
    <row r="20" spans="1:5" ht="16.5" customHeight="1" x14ac:dyDescent="0.3">
      <c r="A20" s="420" t="s">
        <v>7</v>
      </c>
      <c r="B20" s="425">
        <v>14.12</v>
      </c>
      <c r="C20" s="422"/>
      <c r="D20" s="422"/>
      <c r="E20" s="422"/>
    </row>
    <row r="21" spans="1:5" ht="16.5" customHeight="1" x14ac:dyDescent="0.3">
      <c r="A21" s="420" t="s">
        <v>9</v>
      </c>
      <c r="B21" s="426">
        <f>B20/25*3/10</f>
        <v>0.16943999999999998</v>
      </c>
      <c r="C21" s="422"/>
      <c r="D21" s="422"/>
      <c r="E21" s="422"/>
    </row>
    <row r="22" spans="1:5" ht="15.75" customHeight="1" x14ac:dyDescent="0.25">
      <c r="A22" s="422"/>
      <c r="B22" s="422"/>
      <c r="C22" s="422"/>
      <c r="D22" s="422"/>
      <c r="E22" s="422"/>
    </row>
    <row r="23" spans="1:5" ht="16.5" customHeight="1" x14ac:dyDescent="0.3">
      <c r="A23" s="427" t="s">
        <v>12</v>
      </c>
      <c r="B23" s="428" t="s">
        <v>13</v>
      </c>
      <c r="C23" s="427" t="s">
        <v>14</v>
      </c>
      <c r="D23" s="427" t="s">
        <v>15</v>
      </c>
      <c r="E23" s="427" t="s">
        <v>16</v>
      </c>
    </row>
    <row r="24" spans="1:5" ht="16.5" customHeight="1" x14ac:dyDescent="0.3">
      <c r="A24" s="429">
        <v>1</v>
      </c>
      <c r="B24" s="430">
        <v>23007662</v>
      </c>
      <c r="C24" s="430">
        <v>2711.4</v>
      </c>
      <c r="D24" s="431">
        <v>1.6</v>
      </c>
      <c r="E24" s="432">
        <v>9.1999999999999993</v>
      </c>
    </row>
    <row r="25" spans="1:5" ht="16.5" customHeight="1" x14ac:dyDescent="0.3">
      <c r="A25" s="429">
        <v>2</v>
      </c>
      <c r="B25" s="430">
        <v>23096797</v>
      </c>
      <c r="C25" s="430">
        <v>2704.8</v>
      </c>
      <c r="D25" s="431">
        <v>1.6</v>
      </c>
      <c r="E25" s="431">
        <v>9.1</v>
      </c>
    </row>
    <row r="26" spans="1:5" ht="16.5" customHeight="1" x14ac:dyDescent="0.3">
      <c r="A26" s="429">
        <v>3</v>
      </c>
      <c r="B26" s="430">
        <v>22982036</v>
      </c>
      <c r="C26" s="430">
        <v>2713.6</v>
      </c>
      <c r="D26" s="431">
        <v>1.6</v>
      </c>
      <c r="E26" s="431">
        <v>9.1</v>
      </c>
    </row>
    <row r="27" spans="1:5" ht="16.5" customHeight="1" x14ac:dyDescent="0.3">
      <c r="A27" s="429">
        <v>4</v>
      </c>
      <c r="B27" s="430">
        <v>22908790</v>
      </c>
      <c r="C27" s="430">
        <v>2740.3</v>
      </c>
      <c r="D27" s="431">
        <v>1.6</v>
      </c>
      <c r="E27" s="431">
        <v>9.1</v>
      </c>
    </row>
    <row r="28" spans="1:5" ht="16.5" customHeight="1" x14ac:dyDescent="0.3">
      <c r="A28" s="429">
        <v>5</v>
      </c>
      <c r="B28" s="430">
        <v>23228055</v>
      </c>
      <c r="C28" s="430">
        <v>2715</v>
      </c>
      <c r="D28" s="431">
        <v>1.6</v>
      </c>
      <c r="E28" s="431">
        <v>9.1</v>
      </c>
    </row>
    <row r="29" spans="1:5" ht="16.5" customHeight="1" x14ac:dyDescent="0.3">
      <c r="A29" s="429">
        <v>6</v>
      </c>
      <c r="B29" s="433">
        <v>23150928</v>
      </c>
      <c r="C29" s="433">
        <v>2731.7</v>
      </c>
      <c r="D29" s="434">
        <v>1.6</v>
      </c>
      <c r="E29" s="434">
        <v>9.1</v>
      </c>
    </row>
    <row r="30" spans="1:5" ht="16.5" customHeight="1" x14ac:dyDescent="0.3">
      <c r="A30" s="435" t="s">
        <v>17</v>
      </c>
      <c r="B30" s="436">
        <f>AVERAGE(B24:B29)</f>
        <v>23062378</v>
      </c>
      <c r="C30" s="437">
        <f>AVERAGE(C24:C29)</f>
        <v>2719.4666666666672</v>
      </c>
      <c r="D30" s="438">
        <f>AVERAGE(D24:D29)</f>
        <v>1.5999999999999999</v>
      </c>
      <c r="E30" s="438">
        <f>AVERAGE(E24:E29)</f>
        <v>9.1166666666666671</v>
      </c>
    </row>
    <row r="31" spans="1:5" ht="16.5" customHeight="1" x14ac:dyDescent="0.3">
      <c r="A31" s="439" t="s">
        <v>18</v>
      </c>
      <c r="B31" s="440">
        <f>(STDEV(B24:B29)/B30)</f>
        <v>5.1126097764911498E-3</v>
      </c>
      <c r="C31" s="441"/>
      <c r="D31" s="441"/>
      <c r="E31" s="442"/>
    </row>
    <row r="32" spans="1:5" s="416" customFormat="1" ht="16.5" customHeight="1" x14ac:dyDescent="0.3">
      <c r="A32" s="443" t="s">
        <v>19</v>
      </c>
      <c r="B32" s="444">
        <f>COUNT(B24:B29)</f>
        <v>6</v>
      </c>
      <c r="C32" s="445"/>
      <c r="D32" s="446"/>
      <c r="E32" s="447"/>
    </row>
    <row r="33" spans="1:5" s="416" customFormat="1" ht="15.75" customHeight="1" x14ac:dyDescent="0.25">
      <c r="A33" s="422"/>
      <c r="B33" s="422"/>
      <c r="C33" s="422"/>
      <c r="D33" s="422"/>
      <c r="E33" s="422"/>
    </row>
    <row r="34" spans="1:5" s="416" customFormat="1" ht="16.5" customHeight="1" x14ac:dyDescent="0.3">
      <c r="A34" s="423" t="s">
        <v>20</v>
      </c>
      <c r="B34" s="448" t="s">
        <v>21</v>
      </c>
      <c r="C34" s="449"/>
      <c r="D34" s="449"/>
      <c r="E34" s="449"/>
    </row>
    <row r="35" spans="1:5" ht="16.5" customHeight="1" x14ac:dyDescent="0.3">
      <c r="A35" s="423"/>
      <c r="B35" s="448" t="s">
        <v>22</v>
      </c>
      <c r="C35" s="449"/>
      <c r="D35" s="449"/>
      <c r="E35" s="449"/>
    </row>
    <row r="36" spans="1:5" ht="16.5" customHeight="1" x14ac:dyDescent="0.3">
      <c r="A36" s="423"/>
      <c r="B36" s="448" t="s">
        <v>23</v>
      </c>
      <c r="C36" s="449"/>
      <c r="D36" s="449"/>
      <c r="E36" s="449"/>
    </row>
    <row r="37" spans="1:5" ht="15.75" customHeight="1" x14ac:dyDescent="0.25">
      <c r="A37" s="422"/>
      <c r="B37" s="422"/>
      <c r="C37" s="422"/>
      <c r="D37" s="422"/>
      <c r="E37" s="422"/>
    </row>
    <row r="38" spans="1:5" ht="16.5" customHeight="1" x14ac:dyDescent="0.3">
      <c r="A38" s="418" t="s">
        <v>1</v>
      </c>
      <c r="B38" s="419" t="s">
        <v>125</v>
      </c>
    </row>
    <row r="39" spans="1:5" ht="16.5" customHeight="1" x14ac:dyDescent="0.3">
      <c r="A39" s="423" t="s">
        <v>3</v>
      </c>
      <c r="B39" s="420" t="s">
        <v>126</v>
      </c>
      <c r="C39" s="422"/>
      <c r="D39" s="422"/>
      <c r="E39" s="422"/>
    </row>
    <row r="40" spans="1:5" ht="16.5" customHeight="1" x14ac:dyDescent="0.3">
      <c r="A40" s="423" t="s">
        <v>5</v>
      </c>
      <c r="B40" s="425">
        <v>99.9</v>
      </c>
      <c r="C40" s="422"/>
      <c r="D40" s="422"/>
      <c r="E40" s="422"/>
    </row>
    <row r="41" spans="1:5" ht="16.5" customHeight="1" x14ac:dyDescent="0.3">
      <c r="A41" s="420" t="s">
        <v>7</v>
      </c>
      <c r="B41" s="425">
        <v>19.21</v>
      </c>
      <c r="C41" s="422"/>
      <c r="D41" s="422"/>
      <c r="E41" s="422"/>
    </row>
    <row r="42" spans="1:5" ht="16.5" customHeight="1" x14ac:dyDescent="0.3">
      <c r="A42" s="420" t="s">
        <v>9</v>
      </c>
      <c r="B42" s="426">
        <f>B41/10</f>
        <v>1.921</v>
      </c>
      <c r="C42" s="422"/>
      <c r="D42" s="422"/>
      <c r="E42" s="422"/>
    </row>
    <row r="43" spans="1:5" ht="15.75" customHeight="1" x14ac:dyDescent="0.25">
      <c r="A43" s="422"/>
      <c r="B43" s="422"/>
      <c r="C43" s="422"/>
      <c r="D43" s="422"/>
      <c r="E43" s="422"/>
    </row>
    <row r="44" spans="1:5" ht="16.5" customHeight="1" x14ac:dyDescent="0.3">
      <c r="A44" s="427" t="s">
        <v>12</v>
      </c>
      <c r="B44" s="428" t="s">
        <v>13</v>
      </c>
      <c r="C44" s="427" t="s">
        <v>14</v>
      </c>
      <c r="D44" s="427" t="s">
        <v>15</v>
      </c>
      <c r="E44" s="427" t="s">
        <v>16</v>
      </c>
    </row>
    <row r="45" spans="1:5" ht="16.5" customHeight="1" x14ac:dyDescent="0.3">
      <c r="A45" s="429">
        <v>1</v>
      </c>
      <c r="B45" s="430">
        <v>380193504</v>
      </c>
      <c r="C45" s="430">
        <v>14242.1</v>
      </c>
      <c r="D45" s="431">
        <v>1</v>
      </c>
      <c r="E45" s="432">
        <v>11.8</v>
      </c>
    </row>
    <row r="46" spans="1:5" ht="16.5" customHeight="1" x14ac:dyDescent="0.3">
      <c r="A46" s="429">
        <v>2</v>
      </c>
      <c r="B46" s="430">
        <v>380069507</v>
      </c>
      <c r="C46" s="430">
        <v>14298.5</v>
      </c>
      <c r="D46" s="431">
        <v>1</v>
      </c>
      <c r="E46" s="431">
        <v>11.8</v>
      </c>
    </row>
    <row r="47" spans="1:5" ht="16.5" customHeight="1" x14ac:dyDescent="0.3">
      <c r="A47" s="429">
        <v>3</v>
      </c>
      <c r="B47" s="430">
        <v>377735420</v>
      </c>
      <c r="C47" s="430">
        <v>14140.6</v>
      </c>
      <c r="D47" s="431">
        <v>1</v>
      </c>
      <c r="E47" s="431">
        <v>11.8</v>
      </c>
    </row>
    <row r="48" spans="1:5" ht="16.5" customHeight="1" x14ac:dyDescent="0.3">
      <c r="A48" s="429">
        <v>4</v>
      </c>
      <c r="B48" s="430">
        <v>377526865</v>
      </c>
      <c r="C48" s="430">
        <v>14119.6</v>
      </c>
      <c r="D48" s="431">
        <v>1</v>
      </c>
      <c r="E48" s="431">
        <v>11.8</v>
      </c>
    </row>
    <row r="49" spans="1:7" ht="16.5" customHeight="1" x14ac:dyDescent="0.3">
      <c r="A49" s="429">
        <v>5</v>
      </c>
      <c r="B49" s="430">
        <v>381271121</v>
      </c>
      <c r="C49" s="430">
        <v>14282.9</v>
      </c>
      <c r="D49" s="431">
        <v>1</v>
      </c>
      <c r="E49" s="431">
        <v>11.8</v>
      </c>
    </row>
    <row r="50" spans="1:7" ht="16.5" customHeight="1" x14ac:dyDescent="0.3">
      <c r="A50" s="429">
        <v>6</v>
      </c>
      <c r="B50" s="433">
        <v>379834923</v>
      </c>
      <c r="C50" s="433">
        <v>14254.1</v>
      </c>
      <c r="D50" s="434">
        <v>1</v>
      </c>
      <c r="E50" s="434">
        <v>11.8</v>
      </c>
    </row>
    <row r="51" spans="1:7" ht="16.5" customHeight="1" x14ac:dyDescent="0.3">
      <c r="A51" s="435" t="s">
        <v>17</v>
      </c>
      <c r="B51" s="436">
        <f>AVERAGE(B45:B50)</f>
        <v>379438556.66666669</v>
      </c>
      <c r="C51" s="437">
        <f>AVERAGE(C45:C50)</f>
        <v>14222.966666666667</v>
      </c>
      <c r="D51" s="438">
        <v>1</v>
      </c>
      <c r="E51" s="438">
        <f>AVERAGE(E45:E50)</f>
        <v>11.799999999999999</v>
      </c>
    </row>
    <row r="52" spans="1:7" ht="16.5" customHeight="1" x14ac:dyDescent="0.3">
      <c r="A52" s="439" t="s">
        <v>18</v>
      </c>
      <c r="B52" s="440">
        <f>(STDEV(B45:B50)/B51)</f>
        <v>3.9159049553934488E-3</v>
      </c>
      <c r="C52" s="441"/>
      <c r="D52" s="441"/>
      <c r="E52" s="442"/>
    </row>
    <row r="53" spans="1:7" s="416" customFormat="1" ht="16.5" customHeight="1" x14ac:dyDescent="0.3">
      <c r="A53" s="443" t="s">
        <v>19</v>
      </c>
      <c r="B53" s="444">
        <f>COUNT(B45:B50)</f>
        <v>6</v>
      </c>
      <c r="C53" s="445"/>
      <c r="D53" s="446"/>
      <c r="E53" s="447"/>
    </row>
    <row r="54" spans="1:7" s="416" customFormat="1" ht="15.75" customHeight="1" x14ac:dyDescent="0.25">
      <c r="A54" s="422"/>
      <c r="B54" s="422"/>
      <c r="C54" s="422"/>
      <c r="D54" s="422"/>
      <c r="E54" s="422"/>
    </row>
    <row r="55" spans="1:7" s="416" customFormat="1" ht="16.5" customHeight="1" x14ac:dyDescent="0.3">
      <c r="A55" s="423" t="s">
        <v>20</v>
      </c>
      <c r="B55" s="448" t="s">
        <v>21</v>
      </c>
      <c r="C55" s="449"/>
      <c r="D55" s="449"/>
      <c r="E55" s="449"/>
    </row>
    <row r="56" spans="1:7" ht="16.5" customHeight="1" x14ac:dyDescent="0.3">
      <c r="A56" s="423"/>
      <c r="B56" s="448" t="s">
        <v>22</v>
      </c>
      <c r="C56" s="449"/>
      <c r="D56" s="449"/>
      <c r="E56" s="449"/>
    </row>
    <row r="57" spans="1:7" ht="16.5" customHeight="1" x14ac:dyDescent="0.3">
      <c r="A57" s="423"/>
      <c r="B57" s="448" t="s">
        <v>23</v>
      </c>
      <c r="C57" s="449"/>
      <c r="D57" s="449"/>
      <c r="E57" s="449"/>
    </row>
    <row r="58" spans="1:7" ht="14.25" customHeight="1" thickBot="1" x14ac:dyDescent="0.3">
      <c r="A58" s="450"/>
      <c r="B58" s="451"/>
      <c r="D58" s="452"/>
      <c r="F58" s="453"/>
      <c r="G58" s="453"/>
    </row>
    <row r="59" spans="1:7" ht="15" customHeight="1" x14ac:dyDescent="0.3">
      <c r="B59" s="461" t="s">
        <v>24</v>
      </c>
      <c r="C59" s="461"/>
      <c r="E59" s="454" t="s">
        <v>25</v>
      </c>
      <c r="F59" s="455"/>
      <c r="G59" s="454" t="s">
        <v>26</v>
      </c>
    </row>
    <row r="60" spans="1:7" ht="15" customHeight="1" x14ac:dyDescent="0.3">
      <c r="A60" s="456" t="s">
        <v>27</v>
      </c>
      <c r="B60" s="457"/>
      <c r="C60" s="457"/>
      <c r="E60" s="457"/>
      <c r="G60" s="457"/>
    </row>
    <row r="61" spans="1:7" ht="15" customHeight="1" x14ac:dyDescent="0.3">
      <c r="A61" s="456" t="s">
        <v>28</v>
      </c>
      <c r="B61" s="458"/>
      <c r="C61" s="458"/>
      <c r="E61" s="458"/>
      <c r="G61" s="45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2" workbookViewId="0">
      <selection activeCell="C44" sqref="C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65" t="s">
        <v>29</v>
      </c>
      <c r="B11" s="466"/>
      <c r="C11" s="466"/>
      <c r="D11" s="466"/>
      <c r="E11" s="466"/>
      <c r="F11" s="467"/>
      <c r="G11" s="44"/>
    </row>
    <row r="12" spans="1:7" ht="16.5" customHeight="1" x14ac:dyDescent="0.3">
      <c r="A12" s="464" t="s">
        <v>30</v>
      </c>
      <c r="B12" s="464"/>
      <c r="C12" s="464"/>
      <c r="D12" s="464"/>
      <c r="E12" s="464"/>
      <c r="F12" s="464"/>
      <c r="G12" s="43"/>
    </row>
    <row r="14" spans="1:7" ht="16.5" customHeight="1" x14ac:dyDescent="0.3">
      <c r="A14" s="469" t="s">
        <v>31</v>
      </c>
      <c r="B14" s="469"/>
      <c r="C14" s="13" t="s">
        <v>4</v>
      </c>
    </row>
    <row r="15" spans="1:7" ht="16.5" customHeight="1" x14ac:dyDescent="0.3">
      <c r="A15" s="469" t="s">
        <v>32</v>
      </c>
      <c r="B15" s="469"/>
      <c r="C15" s="13" t="s">
        <v>6</v>
      </c>
    </row>
    <row r="16" spans="1:7" ht="16.5" customHeight="1" x14ac:dyDescent="0.3">
      <c r="A16" s="469" t="s">
        <v>33</v>
      </c>
      <c r="B16" s="469"/>
      <c r="C16" s="13" t="s">
        <v>8</v>
      </c>
    </row>
    <row r="17" spans="1:5" ht="16.5" customHeight="1" x14ac:dyDescent="0.3">
      <c r="A17" s="469" t="s">
        <v>34</v>
      </c>
      <c r="B17" s="469"/>
      <c r="C17" s="13" t="s">
        <v>10</v>
      </c>
    </row>
    <row r="18" spans="1:5" ht="16.5" customHeight="1" x14ac:dyDescent="0.3">
      <c r="A18" s="469" t="s">
        <v>35</v>
      </c>
      <c r="B18" s="469"/>
      <c r="C18" s="50" t="s">
        <v>11</v>
      </c>
    </row>
    <row r="19" spans="1:5" ht="16.5" customHeight="1" x14ac:dyDescent="0.3">
      <c r="A19" s="469" t="s">
        <v>36</v>
      </c>
      <c r="B19" s="469"/>
      <c r="C19" s="50" t="e">
        <f>#REF!</f>
        <v>#REF!</v>
      </c>
    </row>
    <row r="20" spans="1:5" ht="16.5" customHeight="1" x14ac:dyDescent="0.3">
      <c r="A20" s="15"/>
      <c r="B20" s="15"/>
      <c r="C20" s="30"/>
    </row>
    <row r="21" spans="1:5" ht="16.5" customHeight="1" x14ac:dyDescent="0.3">
      <c r="A21" s="464" t="s">
        <v>1</v>
      </c>
      <c r="B21" s="464"/>
      <c r="C21" s="12" t="s">
        <v>37</v>
      </c>
      <c r="D21" s="19"/>
    </row>
    <row r="22" spans="1:5" ht="15.75" customHeight="1" x14ac:dyDescent="0.3">
      <c r="A22" s="468"/>
      <c r="B22" s="468"/>
      <c r="C22" s="10"/>
      <c r="D22" s="468"/>
      <c r="E22" s="468"/>
    </row>
    <row r="23" spans="1:5" ht="33.75" customHeight="1" x14ac:dyDescent="0.3">
      <c r="C23" s="39" t="s">
        <v>38</v>
      </c>
      <c r="D23" s="38" t="s">
        <v>39</v>
      </c>
      <c r="E23" s="5"/>
    </row>
    <row r="24" spans="1:5" ht="15.75" customHeight="1" x14ac:dyDescent="0.3">
      <c r="C24" s="48">
        <v>646.71</v>
      </c>
      <c r="D24" s="40">
        <f t="shared" ref="D24:D43" si="0">(C24-$C$46)/$C$46</f>
        <v>5.559417694832188E-4</v>
      </c>
      <c r="E24" s="6"/>
    </row>
    <row r="25" spans="1:5" ht="15.75" customHeight="1" x14ac:dyDescent="0.3">
      <c r="C25" s="48">
        <v>648.64</v>
      </c>
      <c r="D25" s="41">
        <f t="shared" si="0"/>
        <v>3.5419369877650645E-3</v>
      </c>
      <c r="E25" s="6"/>
    </row>
    <row r="26" spans="1:5" ht="15.75" customHeight="1" x14ac:dyDescent="0.3">
      <c r="C26" s="48">
        <v>639.21</v>
      </c>
      <c r="D26" s="41">
        <f t="shared" si="0"/>
        <v>-1.1047666591715964E-2</v>
      </c>
      <c r="E26" s="6"/>
    </row>
    <row r="27" spans="1:5" ht="15.75" customHeight="1" x14ac:dyDescent="0.3">
      <c r="C27" s="48">
        <v>647.52</v>
      </c>
      <c r="D27" s="41">
        <f t="shared" si="0"/>
        <v>1.8091314724926462E-3</v>
      </c>
      <c r="E27" s="6"/>
    </row>
    <row r="28" spans="1:5" ht="15.75" customHeight="1" x14ac:dyDescent="0.3">
      <c r="C28" s="48">
        <v>655.46</v>
      </c>
      <c r="D28" s="41">
        <f t="shared" si="0"/>
        <v>1.4093484857548933E-2</v>
      </c>
      <c r="E28" s="6"/>
    </row>
    <row r="29" spans="1:5" ht="15.75" customHeight="1" x14ac:dyDescent="0.3">
      <c r="C29" s="48">
        <v>643.71</v>
      </c>
      <c r="D29" s="41">
        <f t="shared" si="0"/>
        <v>-4.0855015749964542E-3</v>
      </c>
      <c r="E29" s="6"/>
    </row>
    <row r="30" spans="1:5" ht="15.75" customHeight="1" x14ac:dyDescent="0.3">
      <c r="C30" s="48">
        <v>639.94000000000005</v>
      </c>
      <c r="D30" s="41">
        <f t="shared" si="0"/>
        <v>-9.918248711225883E-3</v>
      </c>
      <c r="E30" s="6"/>
    </row>
    <row r="31" spans="1:5" ht="15.75" customHeight="1" x14ac:dyDescent="0.3">
      <c r="C31" s="48">
        <v>641.36</v>
      </c>
      <c r="D31" s="41">
        <f t="shared" si="0"/>
        <v>-7.7212988615055671E-3</v>
      </c>
      <c r="E31" s="6"/>
    </row>
    <row r="32" spans="1:5" ht="15.75" customHeight="1" x14ac:dyDescent="0.3">
      <c r="C32" s="48">
        <v>666.98</v>
      </c>
      <c r="D32" s="41">
        <f t="shared" si="0"/>
        <v>3.1916627300350851E-2</v>
      </c>
      <c r="E32" s="6"/>
    </row>
    <row r="33" spans="1:7" ht="15.75" customHeight="1" x14ac:dyDescent="0.3">
      <c r="C33" s="48">
        <v>642.39</v>
      </c>
      <c r="D33" s="41">
        <f t="shared" si="0"/>
        <v>-6.1277366465675876E-3</v>
      </c>
      <c r="E33" s="6"/>
    </row>
    <row r="34" spans="1:7" ht="15.75" customHeight="1" x14ac:dyDescent="0.3">
      <c r="C34" s="48">
        <v>643.07000000000005</v>
      </c>
      <c r="D34" s="41">
        <f t="shared" si="0"/>
        <v>-5.0756761551520972E-3</v>
      </c>
      <c r="E34" s="6"/>
    </row>
    <row r="35" spans="1:7" ht="15.75" customHeight="1" x14ac:dyDescent="0.3">
      <c r="C35" s="48">
        <v>643.62</v>
      </c>
      <c r="D35" s="41">
        <f t="shared" si="0"/>
        <v>-4.2247448753308936E-3</v>
      </c>
      <c r="E35" s="6"/>
    </row>
    <row r="36" spans="1:7" ht="15.75" customHeight="1" x14ac:dyDescent="0.3">
      <c r="C36" s="48">
        <v>647.23</v>
      </c>
      <c r="D36" s="41">
        <f t="shared" si="0"/>
        <v>1.3604586158596675E-3</v>
      </c>
      <c r="E36" s="6"/>
    </row>
    <row r="37" spans="1:7" ht="15.75" customHeight="1" x14ac:dyDescent="0.3">
      <c r="C37" s="48">
        <v>643.54</v>
      </c>
      <c r="D37" s="41">
        <f t="shared" si="0"/>
        <v>-4.3485166978504148E-3</v>
      </c>
      <c r="E37" s="6"/>
    </row>
    <row r="38" spans="1:7" ht="15.75" customHeight="1" x14ac:dyDescent="0.3">
      <c r="C38" s="48">
        <v>645.88</v>
      </c>
      <c r="D38" s="41">
        <f t="shared" si="0"/>
        <v>-7.2819088915622074E-4</v>
      </c>
      <c r="E38" s="6"/>
    </row>
    <row r="39" spans="1:7" ht="15.75" customHeight="1" x14ac:dyDescent="0.3">
      <c r="C39" s="48"/>
      <c r="D39" s="41">
        <f t="shared" si="0"/>
        <v>-1</v>
      </c>
      <c r="E39" s="6"/>
    </row>
    <row r="40" spans="1:7" ht="15.75" customHeight="1" x14ac:dyDescent="0.3">
      <c r="C40" s="48"/>
      <c r="D40" s="41">
        <f t="shared" si="0"/>
        <v>-1</v>
      </c>
      <c r="E40" s="6"/>
    </row>
    <row r="41" spans="1:7" ht="15.75" customHeight="1" x14ac:dyDescent="0.3">
      <c r="C41" s="48"/>
      <c r="D41" s="41">
        <f t="shared" si="0"/>
        <v>-1</v>
      </c>
      <c r="E41" s="6"/>
    </row>
    <row r="42" spans="1:7" ht="15.75" customHeight="1" x14ac:dyDescent="0.3">
      <c r="C42" s="48"/>
      <c r="D42" s="41">
        <f t="shared" si="0"/>
        <v>-1</v>
      </c>
      <c r="E42" s="6"/>
    </row>
    <row r="43" spans="1:7" ht="16.5" customHeight="1" x14ac:dyDescent="0.3">
      <c r="C43" s="49"/>
      <c r="D43" s="42">
        <f t="shared" si="0"/>
        <v>-1</v>
      </c>
      <c r="E43" s="6"/>
    </row>
    <row r="44" spans="1:7" ht="16.5" customHeight="1" x14ac:dyDescent="0.3">
      <c r="C44" s="7"/>
      <c r="D44" s="6"/>
      <c r="E44" s="8"/>
    </row>
    <row r="45" spans="1:7" ht="16.5" customHeight="1" x14ac:dyDescent="0.3">
      <c r="B45" s="35" t="s">
        <v>40</v>
      </c>
      <c r="C45" s="36">
        <f>SUM(C24:C44)</f>
        <v>9695.26</v>
      </c>
      <c r="D45" s="31"/>
      <c r="E45" s="7"/>
    </row>
    <row r="46" spans="1:7" ht="17.25" customHeight="1" x14ac:dyDescent="0.3">
      <c r="B46" s="35" t="s">
        <v>41</v>
      </c>
      <c r="C46" s="37">
        <f>AVERAGE(C24:C44)</f>
        <v>646.35066666666671</v>
      </c>
      <c r="E46" s="9"/>
    </row>
    <row r="47" spans="1:7" ht="17.25" customHeight="1" x14ac:dyDescent="0.3">
      <c r="A47" s="13"/>
      <c r="B47" s="32"/>
      <c r="D47" s="11"/>
      <c r="E47" s="9"/>
    </row>
    <row r="48" spans="1:7" ht="33.75" customHeight="1" x14ac:dyDescent="0.3">
      <c r="B48" s="45" t="s">
        <v>41</v>
      </c>
      <c r="C48" s="38" t="s">
        <v>42</v>
      </c>
      <c r="D48" s="33"/>
      <c r="G48" s="11"/>
    </row>
    <row r="49" spans="1:6" ht="17.25" customHeight="1" x14ac:dyDescent="0.3">
      <c r="B49" s="462">
        <f>C46</f>
        <v>646.35066666666671</v>
      </c>
      <c r="C49" s="46">
        <f>-IF(C46&lt;=80,10%,IF(C46&lt;250,7.5%,5%))</f>
        <v>-0.05</v>
      </c>
      <c r="D49" s="34">
        <f>IF(C46&lt;=80,C46*0.9,IF(C46&lt;250,C46*0.925,C46*0.95))</f>
        <v>614.03313333333335</v>
      </c>
    </row>
    <row r="50" spans="1:6" ht="17.25" customHeight="1" x14ac:dyDescent="0.3">
      <c r="B50" s="463"/>
      <c r="C50" s="47">
        <f>IF(C46&lt;=80, 10%, IF(C46&lt;250, 7.5%, 5%))</f>
        <v>0.05</v>
      </c>
      <c r="D50" s="34">
        <f>IF(C46&lt;=80, C46*1.1, IF(C46&lt;250, C46*1.075, C46*1.05))</f>
        <v>678.66820000000007</v>
      </c>
    </row>
    <row r="51" spans="1:6" ht="16.5" customHeight="1" x14ac:dyDescent="0.3">
      <c r="A51" s="16"/>
      <c r="B51" s="17"/>
      <c r="C51" s="13"/>
      <c r="D51" s="18"/>
      <c r="E51" s="13"/>
      <c r="F51" s="19"/>
    </row>
    <row r="52" spans="1:6" ht="16.5" customHeight="1" x14ac:dyDescent="0.3">
      <c r="A52" s="13"/>
      <c r="B52" s="20" t="s">
        <v>24</v>
      </c>
      <c r="C52" s="20"/>
      <c r="D52" s="21" t="s">
        <v>25</v>
      </c>
      <c r="E52" s="22"/>
      <c r="F52" s="21" t="s">
        <v>26</v>
      </c>
    </row>
    <row r="53" spans="1:6" ht="34.5" customHeight="1" x14ac:dyDescent="0.3">
      <c r="A53" s="23" t="s">
        <v>27</v>
      </c>
      <c r="B53" s="24"/>
      <c r="C53" s="25"/>
      <c r="D53" s="24"/>
      <c r="E53" s="14"/>
      <c r="F53" s="26"/>
    </row>
    <row r="54" spans="1:6" ht="34.5" customHeight="1" x14ac:dyDescent="0.3">
      <c r="A54" s="23" t="s">
        <v>28</v>
      </c>
      <c r="B54" s="27"/>
      <c r="C54" s="28"/>
      <c r="D54" s="27"/>
      <c r="E54" s="14"/>
      <c r="F54" s="29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topLeftCell="A96" zoomScale="60" zoomScaleNormal="60" zoomScaleSheetLayoutView="40" zoomScalePageLayoutView="55" workbookViewId="0">
      <selection activeCell="H107" sqref="H107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70" t="s">
        <v>43</v>
      </c>
      <c r="B1" s="470"/>
      <c r="C1" s="470"/>
      <c r="D1" s="470"/>
      <c r="E1" s="470"/>
      <c r="F1" s="470"/>
      <c r="G1" s="470"/>
      <c r="H1" s="470"/>
      <c r="I1" s="470"/>
    </row>
    <row r="2" spans="1:9" ht="18.75" customHeight="1" x14ac:dyDescent="0.25">
      <c r="A2" s="470"/>
      <c r="B2" s="470"/>
      <c r="C2" s="470"/>
      <c r="D2" s="470"/>
      <c r="E2" s="470"/>
      <c r="F2" s="470"/>
      <c r="G2" s="470"/>
      <c r="H2" s="470"/>
      <c r="I2" s="470"/>
    </row>
    <row r="3" spans="1:9" ht="18.75" customHeight="1" x14ac:dyDescent="0.25">
      <c r="A3" s="470"/>
      <c r="B3" s="470"/>
      <c r="C3" s="470"/>
      <c r="D3" s="470"/>
      <c r="E3" s="470"/>
      <c r="F3" s="470"/>
      <c r="G3" s="470"/>
      <c r="H3" s="470"/>
      <c r="I3" s="470"/>
    </row>
    <row r="4" spans="1:9" ht="18.75" customHeight="1" x14ac:dyDescent="0.25">
      <c r="A4" s="470"/>
      <c r="B4" s="470"/>
      <c r="C4" s="470"/>
      <c r="D4" s="470"/>
      <c r="E4" s="470"/>
      <c r="F4" s="470"/>
      <c r="G4" s="470"/>
      <c r="H4" s="470"/>
      <c r="I4" s="470"/>
    </row>
    <row r="5" spans="1:9" ht="18.75" customHeight="1" x14ac:dyDescent="0.25">
      <c r="A5" s="470"/>
      <c r="B5" s="470"/>
      <c r="C5" s="470"/>
      <c r="D5" s="470"/>
      <c r="E5" s="470"/>
      <c r="F5" s="470"/>
      <c r="G5" s="470"/>
      <c r="H5" s="470"/>
      <c r="I5" s="470"/>
    </row>
    <row r="6" spans="1:9" ht="18.75" customHeight="1" x14ac:dyDescent="0.25">
      <c r="A6" s="470"/>
      <c r="B6" s="470"/>
      <c r="C6" s="470"/>
      <c r="D6" s="470"/>
      <c r="E6" s="470"/>
      <c r="F6" s="470"/>
      <c r="G6" s="470"/>
      <c r="H6" s="470"/>
      <c r="I6" s="470"/>
    </row>
    <row r="7" spans="1:9" ht="18.75" customHeight="1" x14ac:dyDescent="0.25">
      <c r="A7" s="470"/>
      <c r="B7" s="470"/>
      <c r="C7" s="470"/>
      <c r="D7" s="470"/>
      <c r="E7" s="470"/>
      <c r="F7" s="470"/>
      <c r="G7" s="470"/>
      <c r="H7" s="470"/>
      <c r="I7" s="470"/>
    </row>
    <row r="8" spans="1:9" x14ac:dyDescent="0.25">
      <c r="A8" s="471" t="s">
        <v>44</v>
      </c>
      <c r="B8" s="471"/>
      <c r="C8" s="471"/>
      <c r="D8" s="471"/>
      <c r="E8" s="471"/>
      <c r="F8" s="471"/>
      <c r="G8" s="471"/>
      <c r="H8" s="471"/>
      <c r="I8" s="471"/>
    </row>
    <row r="9" spans="1:9" x14ac:dyDescent="0.25">
      <c r="A9" s="471"/>
      <c r="B9" s="471"/>
      <c r="C9" s="471"/>
      <c r="D9" s="471"/>
      <c r="E9" s="471"/>
      <c r="F9" s="471"/>
      <c r="G9" s="471"/>
      <c r="H9" s="471"/>
      <c r="I9" s="471"/>
    </row>
    <row r="10" spans="1:9" x14ac:dyDescent="0.25">
      <c r="A10" s="471"/>
      <c r="B10" s="471"/>
      <c r="C10" s="471"/>
      <c r="D10" s="471"/>
      <c r="E10" s="471"/>
      <c r="F10" s="471"/>
      <c r="G10" s="471"/>
      <c r="H10" s="471"/>
      <c r="I10" s="471"/>
    </row>
    <row r="11" spans="1:9" x14ac:dyDescent="0.25">
      <c r="A11" s="471"/>
      <c r="B11" s="471"/>
      <c r="C11" s="471"/>
      <c r="D11" s="471"/>
      <c r="E11" s="471"/>
      <c r="F11" s="471"/>
      <c r="G11" s="471"/>
      <c r="H11" s="471"/>
      <c r="I11" s="471"/>
    </row>
    <row r="12" spans="1:9" x14ac:dyDescent="0.25">
      <c r="A12" s="471"/>
      <c r="B12" s="471"/>
      <c r="C12" s="471"/>
      <c r="D12" s="471"/>
      <c r="E12" s="471"/>
      <c r="F12" s="471"/>
      <c r="G12" s="471"/>
      <c r="H12" s="471"/>
      <c r="I12" s="471"/>
    </row>
    <row r="13" spans="1:9" x14ac:dyDescent="0.25">
      <c r="A13" s="471"/>
      <c r="B13" s="471"/>
      <c r="C13" s="471"/>
      <c r="D13" s="471"/>
      <c r="E13" s="471"/>
      <c r="F13" s="471"/>
      <c r="G13" s="471"/>
      <c r="H13" s="471"/>
      <c r="I13" s="471"/>
    </row>
    <row r="14" spans="1:9" x14ac:dyDescent="0.25">
      <c r="A14" s="471"/>
      <c r="B14" s="471"/>
      <c r="C14" s="471"/>
      <c r="D14" s="471"/>
      <c r="E14" s="471"/>
      <c r="F14" s="471"/>
      <c r="G14" s="471"/>
      <c r="H14" s="471"/>
      <c r="I14" s="471"/>
    </row>
    <row r="15" spans="1:9" ht="19.5" customHeight="1" x14ac:dyDescent="0.3">
      <c r="A15" s="51"/>
    </row>
    <row r="16" spans="1:9" ht="19.5" customHeight="1" x14ac:dyDescent="0.3">
      <c r="A16" s="504" t="s">
        <v>29</v>
      </c>
      <c r="B16" s="505"/>
      <c r="C16" s="505"/>
      <c r="D16" s="505"/>
      <c r="E16" s="505"/>
      <c r="F16" s="505"/>
      <c r="G16" s="505"/>
      <c r="H16" s="506"/>
    </row>
    <row r="17" spans="1:14" ht="20.25" customHeight="1" x14ac:dyDescent="0.25">
      <c r="A17" s="507" t="s">
        <v>45</v>
      </c>
      <c r="B17" s="507"/>
      <c r="C17" s="507"/>
      <c r="D17" s="507"/>
      <c r="E17" s="507"/>
      <c r="F17" s="507"/>
      <c r="G17" s="507"/>
      <c r="H17" s="507"/>
    </row>
    <row r="18" spans="1:14" ht="26.25" customHeight="1" x14ac:dyDescent="0.4">
      <c r="A18" s="53" t="s">
        <v>31</v>
      </c>
      <c r="B18" s="503" t="s">
        <v>4</v>
      </c>
      <c r="C18" s="503"/>
      <c r="D18" s="218"/>
      <c r="E18" s="54"/>
      <c r="F18" s="55"/>
      <c r="G18" s="55"/>
      <c r="H18" s="55"/>
    </row>
    <row r="19" spans="1:14" ht="26.25" customHeight="1" x14ac:dyDescent="0.4">
      <c r="A19" s="53" t="s">
        <v>32</v>
      </c>
      <c r="B19" s="56" t="s">
        <v>6</v>
      </c>
      <c r="C19" s="231">
        <v>29</v>
      </c>
      <c r="D19" s="55"/>
      <c r="E19" s="55"/>
      <c r="F19" s="55"/>
      <c r="G19" s="55"/>
      <c r="H19" s="55"/>
    </row>
    <row r="20" spans="1:14" ht="26.25" customHeight="1" x14ac:dyDescent="0.4">
      <c r="A20" s="53" t="s">
        <v>33</v>
      </c>
      <c r="B20" s="508" t="s">
        <v>8</v>
      </c>
      <c r="C20" s="508"/>
      <c r="D20" s="55"/>
      <c r="E20" s="55"/>
      <c r="F20" s="55"/>
      <c r="G20" s="55"/>
      <c r="H20" s="55"/>
    </row>
    <row r="21" spans="1:14" ht="26.25" customHeight="1" x14ac:dyDescent="0.4">
      <c r="A21" s="53" t="s">
        <v>34</v>
      </c>
      <c r="B21" s="508" t="s">
        <v>10</v>
      </c>
      <c r="C21" s="508"/>
      <c r="D21" s="508"/>
      <c r="E21" s="508"/>
      <c r="F21" s="508"/>
      <c r="G21" s="508"/>
      <c r="H21" s="508"/>
      <c r="I21" s="57"/>
    </row>
    <row r="22" spans="1:14" ht="26.25" customHeight="1" x14ac:dyDescent="0.4">
      <c r="A22" s="53" t="s">
        <v>35</v>
      </c>
      <c r="B22" s="58">
        <v>42437</v>
      </c>
      <c r="C22" s="55"/>
      <c r="D22" s="55"/>
      <c r="E22" s="55"/>
      <c r="F22" s="55"/>
      <c r="G22" s="55"/>
      <c r="H22" s="55"/>
    </row>
    <row r="23" spans="1:14" ht="26.25" customHeight="1" x14ac:dyDescent="0.4">
      <c r="A23" s="53" t="s">
        <v>36</v>
      </c>
      <c r="B23" s="58">
        <v>42453</v>
      </c>
      <c r="C23" s="55"/>
      <c r="D23" s="55"/>
      <c r="E23" s="55"/>
      <c r="F23" s="55"/>
      <c r="G23" s="55"/>
      <c r="H23" s="55"/>
    </row>
    <row r="24" spans="1:14" ht="18.75" x14ac:dyDescent="0.3">
      <c r="A24" s="53"/>
      <c r="B24" s="59"/>
    </row>
    <row r="25" spans="1:14" ht="18.75" x14ac:dyDescent="0.3">
      <c r="A25" s="60" t="s">
        <v>1</v>
      </c>
      <c r="B25" s="59"/>
    </row>
    <row r="26" spans="1:14" ht="26.25" customHeight="1" x14ac:dyDescent="0.4">
      <c r="A26" s="61" t="s">
        <v>3</v>
      </c>
      <c r="B26" s="503" t="s">
        <v>127</v>
      </c>
      <c r="C26" s="503"/>
    </row>
    <row r="27" spans="1:14" ht="26.25" customHeight="1" x14ac:dyDescent="0.4">
      <c r="A27" s="62" t="s">
        <v>46</v>
      </c>
      <c r="B27" s="501" t="s">
        <v>128</v>
      </c>
      <c r="C27" s="501"/>
    </row>
    <row r="28" spans="1:14" ht="27" customHeight="1" x14ac:dyDescent="0.4">
      <c r="A28" s="62" t="s">
        <v>5</v>
      </c>
      <c r="B28" s="342">
        <v>99.7</v>
      </c>
    </row>
    <row r="29" spans="1:14" s="4" customFormat="1" ht="27" customHeight="1" x14ac:dyDescent="0.4">
      <c r="A29" s="62" t="s">
        <v>47</v>
      </c>
      <c r="B29" s="64">
        <v>0</v>
      </c>
      <c r="C29" s="478" t="s">
        <v>48</v>
      </c>
      <c r="D29" s="479"/>
      <c r="E29" s="479"/>
      <c r="F29" s="479"/>
      <c r="G29" s="480"/>
      <c r="I29" s="65"/>
      <c r="J29" s="65"/>
      <c r="K29" s="65"/>
      <c r="L29" s="65"/>
    </row>
    <row r="30" spans="1:14" s="4" customFormat="1" ht="19.5" customHeight="1" x14ac:dyDescent="0.3">
      <c r="A30" s="62" t="s">
        <v>49</v>
      </c>
      <c r="B30" s="66">
        <f>B28-B29</f>
        <v>99.7</v>
      </c>
      <c r="C30" s="67"/>
      <c r="D30" s="67"/>
      <c r="E30" s="67"/>
      <c r="F30" s="67"/>
      <c r="G30" s="68"/>
      <c r="I30" s="65"/>
      <c r="J30" s="65"/>
      <c r="K30" s="65"/>
      <c r="L30" s="65"/>
    </row>
    <row r="31" spans="1:14" s="4" customFormat="1" ht="27" customHeight="1" x14ac:dyDescent="0.4">
      <c r="A31" s="62" t="s">
        <v>50</v>
      </c>
      <c r="B31" s="69">
        <v>1</v>
      </c>
      <c r="C31" s="481" t="s">
        <v>51</v>
      </c>
      <c r="D31" s="482"/>
      <c r="E31" s="482"/>
      <c r="F31" s="482"/>
      <c r="G31" s="482"/>
      <c r="H31" s="483"/>
      <c r="I31" s="65"/>
      <c r="J31" s="65"/>
      <c r="K31" s="65"/>
      <c r="L31" s="65"/>
    </row>
    <row r="32" spans="1:14" s="4" customFormat="1" ht="27" customHeight="1" x14ac:dyDescent="0.4">
      <c r="A32" s="62" t="s">
        <v>52</v>
      </c>
      <c r="B32" s="69">
        <v>1</v>
      </c>
      <c r="C32" s="481" t="s">
        <v>53</v>
      </c>
      <c r="D32" s="482"/>
      <c r="E32" s="482"/>
      <c r="F32" s="482"/>
      <c r="G32" s="482"/>
      <c r="H32" s="483"/>
      <c r="I32" s="65"/>
      <c r="J32" s="65"/>
      <c r="K32" s="65"/>
      <c r="L32" s="70"/>
      <c r="M32" s="70"/>
      <c r="N32" s="71"/>
    </row>
    <row r="33" spans="1:14" s="4" customFormat="1" ht="17.25" customHeight="1" x14ac:dyDescent="0.3">
      <c r="A33" s="62"/>
      <c r="B33" s="72"/>
      <c r="C33" s="73"/>
      <c r="D33" s="73"/>
      <c r="E33" s="73"/>
      <c r="F33" s="73"/>
      <c r="G33" s="73"/>
      <c r="H33" s="73"/>
      <c r="I33" s="65"/>
      <c r="J33" s="65"/>
      <c r="K33" s="65"/>
      <c r="L33" s="70"/>
      <c r="M33" s="70"/>
      <c r="N33" s="71"/>
    </row>
    <row r="34" spans="1:14" s="4" customFormat="1" ht="18.75" x14ac:dyDescent="0.3">
      <c r="A34" s="62" t="s">
        <v>54</v>
      </c>
      <c r="B34" s="74">
        <f>B31/B32</f>
        <v>1</v>
      </c>
      <c r="C34" s="52" t="s">
        <v>55</v>
      </c>
      <c r="D34" s="52"/>
      <c r="E34" s="52"/>
      <c r="F34" s="52"/>
      <c r="G34" s="52"/>
      <c r="I34" s="65"/>
      <c r="J34" s="65"/>
      <c r="K34" s="65"/>
      <c r="L34" s="70"/>
      <c r="M34" s="70"/>
      <c r="N34" s="71"/>
    </row>
    <row r="35" spans="1:14" s="4" customFormat="1" ht="19.5" customHeight="1" x14ac:dyDescent="0.3">
      <c r="A35" s="62"/>
      <c r="B35" s="66"/>
      <c r="G35" s="52"/>
      <c r="I35" s="65"/>
      <c r="J35" s="65"/>
      <c r="K35" s="65"/>
      <c r="L35" s="70"/>
      <c r="M35" s="70"/>
      <c r="N35" s="71"/>
    </row>
    <row r="36" spans="1:14" s="4" customFormat="1" ht="27" customHeight="1" x14ac:dyDescent="0.4">
      <c r="A36" s="75" t="s">
        <v>56</v>
      </c>
      <c r="B36" s="76">
        <v>25</v>
      </c>
      <c r="C36" s="52"/>
      <c r="D36" s="484" t="s">
        <v>57</v>
      </c>
      <c r="E36" s="502"/>
      <c r="F36" s="484" t="s">
        <v>58</v>
      </c>
      <c r="G36" s="485"/>
      <c r="J36" s="65"/>
      <c r="K36" s="65"/>
      <c r="L36" s="70"/>
      <c r="M36" s="70"/>
      <c r="N36" s="71"/>
    </row>
    <row r="37" spans="1:14" s="4" customFormat="1" ht="27" customHeight="1" x14ac:dyDescent="0.4">
      <c r="A37" s="77" t="s">
        <v>59</v>
      </c>
      <c r="B37" s="78">
        <v>3</v>
      </c>
      <c r="C37" s="79" t="s">
        <v>60</v>
      </c>
      <c r="D37" s="80" t="s">
        <v>61</v>
      </c>
      <c r="E37" s="81" t="s">
        <v>62</v>
      </c>
      <c r="F37" s="80" t="s">
        <v>61</v>
      </c>
      <c r="G37" s="82" t="s">
        <v>62</v>
      </c>
      <c r="I37" s="83" t="s">
        <v>63</v>
      </c>
      <c r="J37" s="65"/>
      <c r="K37" s="65"/>
      <c r="L37" s="70"/>
      <c r="M37" s="70"/>
      <c r="N37" s="71"/>
    </row>
    <row r="38" spans="1:14" s="4" customFormat="1" ht="26.25" customHeight="1" x14ac:dyDescent="0.4">
      <c r="A38" s="77" t="s">
        <v>64</v>
      </c>
      <c r="B38" s="78">
        <v>10</v>
      </c>
      <c r="C38" s="84">
        <v>1</v>
      </c>
      <c r="D38" s="266">
        <v>23277728</v>
      </c>
      <c r="E38" s="85">
        <f>IF(ISBLANK(D38),"-",$D$48/$D$45*D38)</f>
        <v>13779374.004923176</v>
      </c>
      <c r="F38" s="266">
        <v>23376457</v>
      </c>
      <c r="G38" s="86">
        <f>IF(ISBLANK(F38),"-",$D$48/$F$45*F38)</f>
        <v>13877129.138362056</v>
      </c>
      <c r="I38" s="87"/>
      <c r="J38" s="65"/>
      <c r="K38" s="65"/>
      <c r="L38" s="70"/>
      <c r="M38" s="70"/>
      <c r="N38" s="71"/>
    </row>
    <row r="39" spans="1:14" s="4" customFormat="1" ht="26.25" customHeight="1" x14ac:dyDescent="0.4">
      <c r="A39" s="77" t="s">
        <v>65</v>
      </c>
      <c r="B39" s="78">
        <v>1</v>
      </c>
      <c r="C39" s="88">
        <v>2</v>
      </c>
      <c r="D39" s="271">
        <v>23289179</v>
      </c>
      <c r="E39" s="90">
        <f>IF(ISBLANK(D39),"-",$D$48/$D$45*D39)</f>
        <v>13786152.484838843</v>
      </c>
      <c r="F39" s="271">
        <v>23044289</v>
      </c>
      <c r="G39" s="91">
        <f>IF(ISBLANK(F39),"-",$D$48/$F$45*F39)</f>
        <v>13679941.932805993</v>
      </c>
      <c r="I39" s="486">
        <f>ABS((F43/D43*D42)-F42)/D42</f>
        <v>4.6579141775673488E-3</v>
      </c>
      <c r="J39" s="65"/>
      <c r="K39" s="65"/>
      <c r="L39" s="70"/>
      <c r="M39" s="70"/>
      <c r="N39" s="71"/>
    </row>
    <row r="40" spans="1:14" ht="26.25" customHeight="1" x14ac:dyDescent="0.4">
      <c r="A40" s="77" t="s">
        <v>66</v>
      </c>
      <c r="B40" s="78">
        <v>1</v>
      </c>
      <c r="C40" s="88">
        <v>3</v>
      </c>
      <c r="D40" s="271">
        <v>23200370</v>
      </c>
      <c r="E40" s="90">
        <f>IF(ISBLANK(D40),"-",$D$48/$D$45*D40)</f>
        <v>13733581.528343294</v>
      </c>
      <c r="F40" s="271">
        <v>22823920</v>
      </c>
      <c r="G40" s="91">
        <f>IF(ISBLANK(F40),"-",$D$48/$F$45*F40)</f>
        <v>13549122.747028966</v>
      </c>
      <c r="I40" s="486"/>
      <c r="L40" s="70"/>
      <c r="M40" s="70"/>
      <c r="N40" s="92"/>
    </row>
    <row r="41" spans="1:14" ht="27" customHeight="1" x14ac:dyDescent="0.4">
      <c r="A41" s="77" t="s">
        <v>67</v>
      </c>
      <c r="B41" s="78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70"/>
      <c r="M41" s="70"/>
      <c r="N41" s="92"/>
    </row>
    <row r="42" spans="1:14" ht="27" customHeight="1" x14ac:dyDescent="0.4">
      <c r="A42" s="77" t="s">
        <v>68</v>
      </c>
      <c r="B42" s="78">
        <v>1</v>
      </c>
      <c r="C42" s="98" t="s">
        <v>69</v>
      </c>
      <c r="D42" s="99">
        <f>AVERAGE(D38:D41)</f>
        <v>23255759</v>
      </c>
      <c r="E42" s="100">
        <f>AVERAGE(E38:E41)</f>
        <v>13766369.339368438</v>
      </c>
      <c r="F42" s="99">
        <f>AVERAGE(F38:F41)</f>
        <v>23081555.333333332</v>
      </c>
      <c r="G42" s="101">
        <f>AVERAGE(G38:G41)</f>
        <v>13702064.60606567</v>
      </c>
      <c r="H42" s="102"/>
    </row>
    <row r="43" spans="1:14" ht="26.25" customHeight="1" x14ac:dyDescent="0.4">
      <c r="A43" s="77" t="s">
        <v>70</v>
      </c>
      <c r="B43" s="78">
        <v>1</v>
      </c>
      <c r="C43" s="103" t="s">
        <v>71</v>
      </c>
      <c r="D43" s="104">
        <v>14.12</v>
      </c>
      <c r="E43" s="92"/>
      <c r="F43" s="104">
        <v>14.08</v>
      </c>
      <c r="H43" s="102"/>
    </row>
    <row r="44" spans="1:14" ht="26.25" customHeight="1" x14ac:dyDescent="0.4">
      <c r="A44" s="77" t="s">
        <v>72</v>
      </c>
      <c r="B44" s="78">
        <v>1</v>
      </c>
      <c r="C44" s="105" t="s">
        <v>73</v>
      </c>
      <c r="D44" s="106">
        <f>D43*$B$34</f>
        <v>14.12</v>
      </c>
      <c r="E44" s="107"/>
      <c r="F44" s="106">
        <f>F43*$B$34</f>
        <v>14.08</v>
      </c>
      <c r="H44" s="102"/>
    </row>
    <row r="45" spans="1:14" ht="19.5" customHeight="1" x14ac:dyDescent="0.3">
      <c r="A45" s="77" t="s">
        <v>74</v>
      </c>
      <c r="B45" s="108">
        <f>(B44/B43)*(B42/B41)*(B40/B39)*(B38/B37)*B36</f>
        <v>83.333333333333343</v>
      </c>
      <c r="C45" s="105" t="s">
        <v>75</v>
      </c>
      <c r="D45" s="109">
        <f>D44*$B$30/100</f>
        <v>14.077639999999999</v>
      </c>
      <c r="E45" s="110"/>
      <c r="F45" s="109">
        <f>F44*$B$30/100</f>
        <v>14.03776</v>
      </c>
      <c r="H45" s="102"/>
    </row>
    <row r="46" spans="1:14" ht="19.5" customHeight="1" x14ac:dyDescent="0.3">
      <c r="A46" s="472" t="s">
        <v>76</v>
      </c>
      <c r="B46" s="473"/>
      <c r="C46" s="105" t="s">
        <v>77</v>
      </c>
      <c r="D46" s="111">
        <f>D45/$B$45</f>
        <v>0.16893167999999997</v>
      </c>
      <c r="E46" s="112"/>
      <c r="F46" s="113">
        <f>F45/$B$45</f>
        <v>0.16845311999999998</v>
      </c>
      <c r="H46" s="102"/>
    </row>
    <row r="47" spans="1:14" ht="27" customHeight="1" x14ac:dyDescent="0.4">
      <c r="A47" s="474"/>
      <c r="B47" s="475"/>
      <c r="C47" s="114" t="s">
        <v>78</v>
      </c>
      <c r="D47" s="115">
        <v>0.1</v>
      </c>
      <c r="E47" s="116"/>
      <c r="F47" s="112"/>
      <c r="H47" s="102"/>
    </row>
    <row r="48" spans="1:14" ht="18.75" x14ac:dyDescent="0.3">
      <c r="C48" s="117" t="s">
        <v>79</v>
      </c>
      <c r="D48" s="109">
        <f>D47*$B$45</f>
        <v>8.3333333333333339</v>
      </c>
      <c r="F48" s="118"/>
      <c r="H48" s="102"/>
    </row>
    <row r="49" spans="1:12" ht="19.5" customHeight="1" x14ac:dyDescent="0.3">
      <c r="C49" s="119" t="s">
        <v>80</v>
      </c>
      <c r="D49" s="120">
        <f>D48/B34</f>
        <v>8.3333333333333339</v>
      </c>
      <c r="F49" s="118"/>
      <c r="H49" s="102"/>
    </row>
    <row r="50" spans="1:12" ht="18.75" x14ac:dyDescent="0.3">
      <c r="C50" s="75" t="s">
        <v>81</v>
      </c>
      <c r="D50" s="121">
        <f>AVERAGE(E38:E41,G38:G41)</f>
        <v>13734216.972717054</v>
      </c>
      <c r="F50" s="122"/>
      <c r="H50" s="102"/>
    </row>
    <row r="51" spans="1:12" ht="18.75" x14ac:dyDescent="0.3">
      <c r="C51" s="77" t="s">
        <v>82</v>
      </c>
      <c r="D51" s="123">
        <f>STDEV(E38:E41,G38:G41)/D50</f>
        <v>8.1317950693827416E-3</v>
      </c>
      <c r="F51" s="122"/>
      <c r="H51" s="102"/>
    </row>
    <row r="52" spans="1:12" ht="19.5" customHeight="1" x14ac:dyDescent="0.3">
      <c r="C52" s="124" t="s">
        <v>19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83</v>
      </c>
    </row>
    <row r="55" spans="1:12" ht="18.75" x14ac:dyDescent="0.3">
      <c r="A55" s="52" t="s">
        <v>84</v>
      </c>
      <c r="B55" s="128" t="str">
        <f>B21</f>
        <v>each tablet contains sulfadoxine 500MG Pyrimethamine 25MG</v>
      </c>
    </row>
    <row r="56" spans="1:12" ht="26.25" customHeight="1" x14ac:dyDescent="0.4">
      <c r="A56" s="129" t="s">
        <v>85</v>
      </c>
      <c r="B56" s="130">
        <v>25</v>
      </c>
      <c r="C56" s="52" t="str">
        <f>B20</f>
        <v>sulfadoxine &amp; Pyrimethamine</v>
      </c>
      <c r="H56" s="131"/>
    </row>
    <row r="57" spans="1:12" ht="18.75" x14ac:dyDescent="0.3">
      <c r="A57" s="128" t="s">
        <v>86</v>
      </c>
      <c r="B57" s="219">
        <f>Uniformity!C46</f>
        <v>646.35066666666671</v>
      </c>
      <c r="H57" s="131"/>
    </row>
    <row r="58" spans="1:12" ht="19.5" customHeight="1" x14ac:dyDescent="0.3">
      <c r="H58" s="131"/>
    </row>
    <row r="59" spans="1:12" s="4" customFormat="1" ht="27" customHeight="1" x14ac:dyDescent="0.4">
      <c r="A59" s="75" t="s">
        <v>87</v>
      </c>
      <c r="B59" s="76">
        <v>250</v>
      </c>
      <c r="C59" s="52"/>
      <c r="D59" s="132" t="s">
        <v>88</v>
      </c>
      <c r="E59" s="133" t="s">
        <v>60</v>
      </c>
      <c r="F59" s="133" t="s">
        <v>61</v>
      </c>
      <c r="G59" s="133" t="s">
        <v>89</v>
      </c>
      <c r="H59" s="79" t="s">
        <v>90</v>
      </c>
      <c r="L59" s="65"/>
    </row>
    <row r="60" spans="1:12" s="4" customFormat="1" ht="26.25" customHeight="1" x14ac:dyDescent="0.4">
      <c r="A60" s="77" t="s">
        <v>91</v>
      </c>
      <c r="B60" s="78">
        <v>1</v>
      </c>
      <c r="C60" s="489" t="s">
        <v>92</v>
      </c>
      <c r="D60" s="492">
        <v>641.35</v>
      </c>
      <c r="E60" s="134">
        <v>1</v>
      </c>
      <c r="F60" s="135">
        <v>13268246</v>
      </c>
      <c r="G60" s="220">
        <f>IF(ISBLANK(F60),"-",(F60/$D$50*$D$47*$B$68)*($B$57/$D$60))</f>
        <v>24.340120366401198</v>
      </c>
      <c r="H60" s="136">
        <f t="shared" ref="H60:H71" si="0">IF(ISBLANK(F60),"-",G60/$B$56)</f>
        <v>0.97360481465604787</v>
      </c>
      <c r="L60" s="65"/>
    </row>
    <row r="61" spans="1:12" s="4" customFormat="1" ht="26.25" customHeight="1" x14ac:dyDescent="0.4">
      <c r="A61" s="77" t="s">
        <v>93</v>
      </c>
      <c r="B61" s="78">
        <v>1</v>
      </c>
      <c r="C61" s="490"/>
      <c r="D61" s="493"/>
      <c r="E61" s="137">
        <v>2</v>
      </c>
      <c r="F61" s="89">
        <v>13050224</v>
      </c>
      <c r="G61" s="221">
        <f>IF(ISBLANK(F61),"-",(F61/$D$50*$D$47*$B$68)*($B$57/$D$60))</f>
        <v>23.940166844095121</v>
      </c>
      <c r="H61" s="138">
        <f t="shared" si="0"/>
        <v>0.95760667376380482</v>
      </c>
      <c r="L61" s="65"/>
    </row>
    <row r="62" spans="1:12" s="4" customFormat="1" ht="26.25" customHeight="1" x14ac:dyDescent="0.4">
      <c r="A62" s="77" t="s">
        <v>94</v>
      </c>
      <c r="B62" s="78">
        <v>1</v>
      </c>
      <c r="C62" s="490"/>
      <c r="D62" s="493"/>
      <c r="E62" s="137">
        <v>3</v>
      </c>
      <c r="F62" s="139">
        <v>13027159</v>
      </c>
      <c r="G62" s="221">
        <f>IF(ISBLANK(F62),"-",(F62/$D$50*$D$47*$B$68)*($B$57/$D$60))</f>
        <v>23.897854930655242</v>
      </c>
      <c r="H62" s="138">
        <f t="shared" si="0"/>
        <v>0.95591419722620974</v>
      </c>
      <c r="L62" s="65"/>
    </row>
    <row r="63" spans="1:12" ht="27" customHeight="1" x14ac:dyDescent="0.4">
      <c r="A63" s="77" t="s">
        <v>95</v>
      </c>
      <c r="B63" s="78">
        <v>1</v>
      </c>
      <c r="C63" s="500"/>
      <c r="D63" s="494"/>
      <c r="E63" s="140">
        <v>4</v>
      </c>
      <c r="F63" s="141"/>
      <c r="G63" s="221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7" t="s">
        <v>96</v>
      </c>
      <c r="B64" s="78">
        <v>1</v>
      </c>
      <c r="C64" s="489" t="s">
        <v>97</v>
      </c>
      <c r="D64" s="492">
        <v>667.09</v>
      </c>
      <c r="E64" s="134">
        <v>1</v>
      </c>
      <c r="F64" s="135">
        <v>13480232</v>
      </c>
      <c r="G64" s="222">
        <f>IF(ISBLANK(F64),"-",(F64/$D$50*$D$47*$B$68)*($B$57/$D$64))</f>
        <v>23.774820237424766</v>
      </c>
      <c r="H64" s="142">
        <f t="shared" si="0"/>
        <v>0.95099280949699061</v>
      </c>
    </row>
    <row r="65" spans="1:8" ht="26.25" customHeight="1" x14ac:dyDescent="0.4">
      <c r="A65" s="77" t="s">
        <v>98</v>
      </c>
      <c r="B65" s="78">
        <v>1</v>
      </c>
      <c r="C65" s="490"/>
      <c r="D65" s="493"/>
      <c r="E65" s="137">
        <v>2</v>
      </c>
      <c r="F65" s="89">
        <v>13336043</v>
      </c>
      <c r="G65" s="223">
        <f>IF(ISBLANK(F65),"-",(F65/$D$50*$D$47*$B$68)*($B$57/$D$64))</f>
        <v>23.520516932020676</v>
      </c>
      <c r="H65" s="143">
        <f t="shared" si="0"/>
        <v>0.94082067728082708</v>
      </c>
    </row>
    <row r="66" spans="1:8" ht="26.25" customHeight="1" x14ac:dyDescent="0.4">
      <c r="A66" s="77" t="s">
        <v>99</v>
      </c>
      <c r="B66" s="78">
        <v>1</v>
      </c>
      <c r="C66" s="490"/>
      <c r="D66" s="493"/>
      <c r="E66" s="137">
        <v>3</v>
      </c>
      <c r="F66" s="89">
        <v>13141100</v>
      </c>
      <c r="G66" s="223">
        <f>IF(ISBLANK(F66),"-",(F66/$D$50*$D$47*$B$68)*($B$57/$D$64))</f>
        <v>23.176699794337562</v>
      </c>
      <c r="H66" s="143">
        <f t="shared" si="0"/>
        <v>0.92706799177350252</v>
      </c>
    </row>
    <row r="67" spans="1:8" ht="27" customHeight="1" x14ac:dyDescent="0.4">
      <c r="A67" s="77" t="s">
        <v>100</v>
      </c>
      <c r="B67" s="78">
        <v>1</v>
      </c>
      <c r="C67" s="500"/>
      <c r="D67" s="494"/>
      <c r="E67" s="140">
        <v>4</v>
      </c>
      <c r="F67" s="141"/>
      <c r="G67" s="224" t="str">
        <f>IF(ISBLANK(F67),"-",(F67/$D$50*$D$47*$B$68)*($B$57/$D$64))</f>
        <v>-</v>
      </c>
      <c r="H67" s="144" t="str">
        <f t="shared" si="0"/>
        <v>-</v>
      </c>
    </row>
    <row r="68" spans="1:8" ht="26.25" customHeight="1" x14ac:dyDescent="0.4">
      <c r="A68" s="77" t="s">
        <v>101</v>
      </c>
      <c r="B68" s="145">
        <f>(B67/B66)*(B65/B64)*(B63/B62)*(B61/B60)*B59</f>
        <v>250</v>
      </c>
      <c r="C68" s="489" t="s">
        <v>102</v>
      </c>
      <c r="D68" s="492">
        <v>655.68</v>
      </c>
      <c r="E68" s="134">
        <v>1</v>
      </c>
      <c r="F68" s="135">
        <v>13466745</v>
      </c>
      <c r="G68" s="222">
        <f>IF(ISBLANK(F68),"-",(F68/$D$50*$D$47*$B$68)*($B$57/$D$68))</f>
        <v>24.164343772225219</v>
      </c>
      <c r="H68" s="138">
        <f t="shared" si="0"/>
        <v>0.96657375088900876</v>
      </c>
    </row>
    <row r="69" spans="1:8" ht="27" customHeight="1" x14ac:dyDescent="0.4">
      <c r="A69" s="124" t="s">
        <v>103</v>
      </c>
      <c r="B69" s="146">
        <f>(D47*B68)/B56*B57</f>
        <v>646.35066666666671</v>
      </c>
      <c r="C69" s="490"/>
      <c r="D69" s="493"/>
      <c r="E69" s="137">
        <v>2</v>
      </c>
      <c r="F69" s="89">
        <v>13216133</v>
      </c>
      <c r="G69" s="223">
        <f>IF(ISBLANK(F69),"-",(F69/$D$50*$D$47*$B$68)*($B$57/$D$68))</f>
        <v>23.714652735419744</v>
      </c>
      <c r="H69" s="138">
        <f t="shared" si="0"/>
        <v>0.94858610941678978</v>
      </c>
    </row>
    <row r="70" spans="1:8" ht="26.25" customHeight="1" x14ac:dyDescent="0.4">
      <c r="A70" s="495" t="s">
        <v>76</v>
      </c>
      <c r="B70" s="496"/>
      <c r="C70" s="490"/>
      <c r="D70" s="493"/>
      <c r="E70" s="137">
        <v>3</v>
      </c>
      <c r="F70" s="89">
        <v>12894076</v>
      </c>
      <c r="G70" s="223">
        <f>IF(ISBLANK(F70),"-",(F70/$D$50*$D$47*$B$68)*($B$57/$D$68))</f>
        <v>23.136762824958712</v>
      </c>
      <c r="H70" s="138">
        <f t="shared" si="0"/>
        <v>0.92547051299834848</v>
      </c>
    </row>
    <row r="71" spans="1:8" ht="27" customHeight="1" x14ac:dyDescent="0.4">
      <c r="A71" s="497"/>
      <c r="B71" s="498"/>
      <c r="C71" s="491"/>
      <c r="D71" s="494"/>
      <c r="E71" s="140">
        <v>4</v>
      </c>
      <c r="F71" s="141"/>
      <c r="G71" s="224" t="str">
        <f>IF(ISBLANK(F71),"-",(F71/$D$50*$D$47*$B$68)*($B$57/$D$68))</f>
        <v>-</v>
      </c>
      <c r="H71" s="147" t="str">
        <f t="shared" si="0"/>
        <v>-</v>
      </c>
    </row>
    <row r="72" spans="1:8" ht="26.25" customHeight="1" x14ac:dyDescent="0.4">
      <c r="A72" s="148"/>
      <c r="B72" s="148"/>
      <c r="C72" s="148"/>
      <c r="D72" s="148"/>
      <c r="E72" s="148"/>
      <c r="F72" s="150" t="s">
        <v>69</v>
      </c>
      <c r="G72" s="229">
        <f>AVERAGE(G60:G71)</f>
        <v>23.740659826393138</v>
      </c>
      <c r="H72" s="151">
        <f>AVERAGE(H60:H71)</f>
        <v>0.94962639305572571</v>
      </c>
    </row>
    <row r="73" spans="1:8" ht="26.25" customHeight="1" x14ac:dyDescent="0.4">
      <c r="C73" s="148"/>
      <c r="D73" s="148"/>
      <c r="E73" s="148"/>
      <c r="F73" s="152" t="s">
        <v>82</v>
      </c>
      <c r="G73" s="225">
        <f>STDEV(G60:G71)/G72</f>
        <v>1.7216077329589574E-2</v>
      </c>
      <c r="H73" s="225">
        <f>STDEV(H60:H71)/H72</f>
        <v>1.7216077329589553E-2</v>
      </c>
    </row>
    <row r="74" spans="1:8" ht="27" customHeight="1" x14ac:dyDescent="0.4">
      <c r="A74" s="148"/>
      <c r="B74" s="148"/>
      <c r="C74" s="149"/>
      <c r="D74" s="149"/>
      <c r="E74" s="153"/>
      <c r="F74" s="154" t="s">
        <v>19</v>
      </c>
      <c r="G74" s="155">
        <f>COUNT(G60:G71)</f>
        <v>9</v>
      </c>
      <c r="H74" s="155">
        <f>COUNT(H60:H71)</f>
        <v>9</v>
      </c>
    </row>
    <row r="76" spans="1:8" ht="26.25" customHeight="1" x14ac:dyDescent="0.4">
      <c r="A76" s="61" t="s">
        <v>104</v>
      </c>
      <c r="B76" s="156" t="s">
        <v>105</v>
      </c>
      <c r="C76" s="476" t="str">
        <f>B20</f>
        <v>sulfadoxine &amp; Pyrimethamine</v>
      </c>
      <c r="D76" s="476"/>
      <c r="E76" s="157" t="s">
        <v>106</v>
      </c>
      <c r="F76" s="157"/>
      <c r="G76" s="158">
        <f>H72</f>
        <v>0.94962639305572571</v>
      </c>
      <c r="H76" s="159"/>
    </row>
    <row r="77" spans="1:8" ht="18.75" x14ac:dyDescent="0.3">
      <c r="A77" s="60" t="s">
        <v>107</v>
      </c>
      <c r="B77" s="60" t="s">
        <v>108</v>
      </c>
    </row>
    <row r="78" spans="1:8" ht="18.75" x14ac:dyDescent="0.3">
      <c r="A78" s="60"/>
      <c r="B78" s="60"/>
    </row>
    <row r="79" spans="1:8" ht="26.25" customHeight="1" x14ac:dyDescent="0.4">
      <c r="A79" s="61" t="s">
        <v>3</v>
      </c>
      <c r="B79" s="499" t="str">
        <f>B26</f>
        <v xml:space="preserve">Pyrimethamine </v>
      </c>
      <c r="C79" s="499"/>
    </row>
    <row r="80" spans="1:8" ht="26.25" customHeight="1" x14ac:dyDescent="0.4">
      <c r="A80" s="62" t="s">
        <v>46</v>
      </c>
      <c r="B80" s="499" t="str">
        <f>B27</f>
        <v>P21-2</v>
      </c>
      <c r="C80" s="499"/>
    </row>
    <row r="81" spans="1:12" ht="27" customHeight="1" x14ac:dyDescent="0.4">
      <c r="A81" s="62" t="s">
        <v>5</v>
      </c>
      <c r="B81" s="160">
        <f>B28</f>
        <v>99.7</v>
      </c>
    </row>
    <row r="82" spans="1:12" s="4" customFormat="1" ht="27" customHeight="1" x14ac:dyDescent="0.4">
      <c r="A82" s="62" t="s">
        <v>47</v>
      </c>
      <c r="B82" s="64">
        <v>0</v>
      </c>
      <c r="C82" s="478" t="s">
        <v>48</v>
      </c>
      <c r="D82" s="479"/>
      <c r="E82" s="479"/>
      <c r="F82" s="479"/>
      <c r="G82" s="480"/>
      <c r="I82" s="65"/>
      <c r="J82" s="65"/>
      <c r="K82" s="65"/>
      <c r="L82" s="65"/>
    </row>
    <row r="83" spans="1:12" s="4" customFormat="1" ht="19.5" customHeight="1" x14ac:dyDescent="0.3">
      <c r="A83" s="62" t="s">
        <v>49</v>
      </c>
      <c r="B83" s="66">
        <f>B81-B82</f>
        <v>99.7</v>
      </c>
      <c r="C83" s="67"/>
      <c r="D83" s="67"/>
      <c r="E83" s="67"/>
      <c r="F83" s="67"/>
      <c r="G83" s="68"/>
      <c r="I83" s="65"/>
      <c r="J83" s="65"/>
      <c r="K83" s="65"/>
      <c r="L83" s="65"/>
    </row>
    <row r="84" spans="1:12" s="4" customFormat="1" ht="27" customHeight="1" x14ac:dyDescent="0.4">
      <c r="A84" s="62" t="s">
        <v>50</v>
      </c>
      <c r="B84" s="69">
        <v>1</v>
      </c>
      <c r="C84" s="481" t="s">
        <v>109</v>
      </c>
      <c r="D84" s="482"/>
      <c r="E84" s="482"/>
      <c r="F84" s="482"/>
      <c r="G84" s="482"/>
      <c r="H84" s="483"/>
      <c r="I84" s="65"/>
      <c r="J84" s="65"/>
      <c r="K84" s="65"/>
      <c r="L84" s="65"/>
    </row>
    <row r="85" spans="1:12" s="4" customFormat="1" ht="27" customHeight="1" x14ac:dyDescent="0.4">
      <c r="A85" s="62" t="s">
        <v>52</v>
      </c>
      <c r="B85" s="69">
        <v>1</v>
      </c>
      <c r="C85" s="481" t="s">
        <v>110</v>
      </c>
      <c r="D85" s="482"/>
      <c r="E85" s="482"/>
      <c r="F85" s="482"/>
      <c r="G85" s="482"/>
      <c r="H85" s="483"/>
      <c r="I85" s="65"/>
      <c r="J85" s="65"/>
      <c r="K85" s="65"/>
      <c r="L85" s="65"/>
    </row>
    <row r="86" spans="1:12" s="4" customFormat="1" ht="18.75" x14ac:dyDescent="0.3">
      <c r="A86" s="62"/>
      <c r="B86" s="72"/>
      <c r="C86" s="73"/>
      <c r="D86" s="73"/>
      <c r="E86" s="73"/>
      <c r="F86" s="73"/>
      <c r="G86" s="73"/>
      <c r="H86" s="73"/>
      <c r="I86" s="65"/>
      <c r="J86" s="65"/>
      <c r="K86" s="65"/>
      <c r="L86" s="65"/>
    </row>
    <row r="87" spans="1:12" s="4" customFormat="1" ht="18.75" x14ac:dyDescent="0.3">
      <c r="A87" s="62" t="s">
        <v>54</v>
      </c>
      <c r="B87" s="74">
        <f>B84/B85</f>
        <v>1</v>
      </c>
      <c r="C87" s="52" t="s">
        <v>55</v>
      </c>
      <c r="D87" s="52"/>
      <c r="E87" s="52"/>
      <c r="F87" s="52"/>
      <c r="G87" s="52"/>
      <c r="I87" s="65"/>
      <c r="J87" s="65"/>
      <c r="K87" s="65"/>
      <c r="L87" s="65"/>
    </row>
    <row r="88" spans="1:12" ht="19.5" customHeight="1" x14ac:dyDescent="0.3">
      <c r="A88" s="60"/>
      <c r="B88" s="60"/>
    </row>
    <row r="89" spans="1:12" ht="27" customHeight="1" x14ac:dyDescent="0.4">
      <c r="A89" s="75" t="s">
        <v>56</v>
      </c>
      <c r="B89" s="257">
        <v>25</v>
      </c>
      <c r="D89" s="161" t="s">
        <v>57</v>
      </c>
      <c r="E89" s="162"/>
      <c r="F89" s="484" t="s">
        <v>58</v>
      </c>
      <c r="G89" s="485"/>
    </row>
    <row r="90" spans="1:12" ht="27" customHeight="1" x14ac:dyDescent="0.4">
      <c r="A90" s="77" t="s">
        <v>59</v>
      </c>
      <c r="B90" s="259">
        <v>3</v>
      </c>
      <c r="C90" s="163" t="s">
        <v>60</v>
      </c>
      <c r="D90" s="80" t="s">
        <v>61</v>
      </c>
      <c r="E90" s="81" t="s">
        <v>62</v>
      </c>
      <c r="F90" s="80" t="s">
        <v>61</v>
      </c>
      <c r="G90" s="164" t="s">
        <v>62</v>
      </c>
      <c r="I90" s="83" t="s">
        <v>63</v>
      </c>
    </row>
    <row r="91" spans="1:12" ht="26.25" customHeight="1" x14ac:dyDescent="0.4">
      <c r="A91" s="77" t="s">
        <v>64</v>
      </c>
      <c r="B91" s="259">
        <v>10</v>
      </c>
      <c r="C91" s="165">
        <v>1</v>
      </c>
      <c r="D91" s="266">
        <v>6139871</v>
      </c>
      <c r="E91" s="85">
        <f>IF(ISBLANK(D91),"-",$D$101/$D$98*D91)</f>
        <v>3634529.0593214966</v>
      </c>
      <c r="F91" s="266">
        <v>5957067</v>
      </c>
      <c r="G91" s="86">
        <f>IF(ISBLANK(F91),"-",$D$101/$F$98*F91)</f>
        <v>3536335.21302544</v>
      </c>
      <c r="I91" s="87"/>
    </row>
    <row r="92" spans="1:12" ht="26.25" customHeight="1" x14ac:dyDescent="0.4">
      <c r="A92" s="77" t="s">
        <v>65</v>
      </c>
      <c r="B92" s="259">
        <v>5</v>
      </c>
      <c r="C92" s="149">
        <v>2</v>
      </c>
      <c r="D92" s="271">
        <v>6161668</v>
      </c>
      <c r="E92" s="90">
        <f>IF(ISBLANK(D92),"-",$D$101/$D$98*D92)</f>
        <v>3647431.9085680083</v>
      </c>
      <c r="F92" s="271">
        <v>5964114</v>
      </c>
      <c r="G92" s="91">
        <f>IF(ISBLANK(F92),"-",$D$101/$F$98*F92)</f>
        <v>3540518.5727637457</v>
      </c>
      <c r="I92" s="486">
        <f>ABS((F96/D96*D95)-F95)/D95</f>
        <v>3.0290338544258763E-2</v>
      </c>
    </row>
    <row r="93" spans="1:12" ht="26.25" customHeight="1" x14ac:dyDescent="0.4">
      <c r="A93" s="77" t="s">
        <v>66</v>
      </c>
      <c r="B93" s="259">
        <v>20</v>
      </c>
      <c r="C93" s="149">
        <v>3</v>
      </c>
      <c r="D93" s="271"/>
      <c r="E93" s="90" t="str">
        <f>IF(ISBLANK(D93),"-",$D$101/$D$98*D93)</f>
        <v>-</v>
      </c>
      <c r="F93" s="271">
        <v>5919928</v>
      </c>
      <c r="G93" s="91">
        <f>IF(ISBLANK(F93),"-",$D$101/$F$98*F93)</f>
        <v>3514288.1295401356</v>
      </c>
      <c r="I93" s="486"/>
    </row>
    <row r="94" spans="1:12" ht="27" customHeight="1" x14ac:dyDescent="0.4">
      <c r="A94" s="77" t="s">
        <v>67</v>
      </c>
      <c r="B94" s="78">
        <v>1</v>
      </c>
      <c r="C94" s="166">
        <v>4</v>
      </c>
      <c r="D94" s="276"/>
      <c r="E94" s="95" t="str">
        <f>IF(ISBLANK(D94),"-",$D$101/$D$98*D94)</f>
        <v>-</v>
      </c>
      <c r="F94" s="349"/>
      <c r="G94" s="96" t="str">
        <f>IF(ISBLANK(F94),"-",$D$101/$F$98*F94)</f>
        <v>-</v>
      </c>
      <c r="I94" s="97"/>
    </row>
    <row r="95" spans="1:12" ht="27" customHeight="1" x14ac:dyDescent="0.4">
      <c r="A95" s="77" t="s">
        <v>68</v>
      </c>
      <c r="B95" s="78">
        <v>1</v>
      </c>
      <c r="C95" s="167" t="s">
        <v>69</v>
      </c>
      <c r="D95" s="168">
        <f>AVERAGE(D91:D94)</f>
        <v>6150769.5</v>
      </c>
      <c r="E95" s="100">
        <f>AVERAGE(E91:E94)</f>
        <v>3640980.4839447523</v>
      </c>
      <c r="F95" s="169">
        <f>AVERAGE(F91:F94)</f>
        <v>5947036.333333333</v>
      </c>
      <c r="G95" s="170">
        <f>AVERAGE(G91:G94)</f>
        <v>3530380.6384431073</v>
      </c>
    </row>
    <row r="96" spans="1:12" ht="26.25" customHeight="1" x14ac:dyDescent="0.4">
      <c r="A96" s="77" t="s">
        <v>70</v>
      </c>
      <c r="B96" s="63">
        <v>1</v>
      </c>
      <c r="C96" s="171" t="s">
        <v>111</v>
      </c>
      <c r="D96" s="172">
        <f>D43</f>
        <v>14.12</v>
      </c>
      <c r="E96" s="92"/>
      <c r="F96" s="104">
        <f>F43</f>
        <v>14.08</v>
      </c>
    </row>
    <row r="97" spans="1:10" ht="26.25" customHeight="1" x14ac:dyDescent="0.4">
      <c r="A97" s="77" t="s">
        <v>72</v>
      </c>
      <c r="B97" s="63">
        <v>1</v>
      </c>
      <c r="C97" s="173" t="s">
        <v>112</v>
      </c>
      <c r="D97" s="174">
        <f>D96*$B$87</f>
        <v>14.12</v>
      </c>
      <c r="E97" s="107"/>
      <c r="F97" s="106">
        <f>F96*$B$87</f>
        <v>14.08</v>
      </c>
    </row>
    <row r="98" spans="1:10" ht="19.5" customHeight="1" x14ac:dyDescent="0.3">
      <c r="A98" s="77" t="s">
        <v>74</v>
      </c>
      <c r="B98" s="175">
        <f>(B97/B96)*(B95/B94)*(B93/B92)*(B91/B90)*B89</f>
        <v>333.33333333333337</v>
      </c>
      <c r="C98" s="173" t="s">
        <v>113</v>
      </c>
      <c r="D98" s="176">
        <f>D97*$B$83/100</f>
        <v>14.077639999999999</v>
      </c>
      <c r="E98" s="110"/>
      <c r="F98" s="109">
        <f>F97*$B$83/100</f>
        <v>14.03776</v>
      </c>
    </row>
    <row r="99" spans="1:10" ht="19.5" customHeight="1" x14ac:dyDescent="0.3">
      <c r="A99" s="472" t="s">
        <v>76</v>
      </c>
      <c r="B99" s="487"/>
      <c r="C99" s="173" t="s">
        <v>114</v>
      </c>
      <c r="D99" s="177">
        <f>D98/$B$98</f>
        <v>4.2232919999999993E-2</v>
      </c>
      <c r="E99" s="110"/>
      <c r="F99" s="113">
        <f>F98/$B$98</f>
        <v>4.2113279999999996E-2</v>
      </c>
      <c r="G99" s="178"/>
      <c r="H99" s="102"/>
    </row>
    <row r="100" spans="1:10" ht="19.5" customHeight="1" x14ac:dyDescent="0.3">
      <c r="A100" s="474"/>
      <c r="B100" s="488"/>
      <c r="C100" s="173" t="s">
        <v>78</v>
      </c>
      <c r="D100" s="179">
        <f>$B$56/$B$116</f>
        <v>2.5000000000000001E-2</v>
      </c>
      <c r="F100" s="118"/>
      <c r="G100" s="180"/>
      <c r="H100" s="102"/>
    </row>
    <row r="101" spans="1:10" ht="18.75" x14ac:dyDescent="0.3">
      <c r="C101" s="173" t="s">
        <v>79</v>
      </c>
      <c r="D101" s="174">
        <f>D100*$B$98</f>
        <v>8.3333333333333339</v>
      </c>
      <c r="F101" s="118"/>
      <c r="G101" s="178"/>
      <c r="H101" s="102"/>
    </row>
    <row r="102" spans="1:10" ht="19.5" customHeight="1" x14ac:dyDescent="0.3">
      <c r="C102" s="181" t="s">
        <v>80</v>
      </c>
      <c r="D102" s="182">
        <f>D101/B34</f>
        <v>8.3333333333333339</v>
      </c>
      <c r="F102" s="122"/>
      <c r="G102" s="178"/>
      <c r="H102" s="102"/>
      <c r="J102" s="183"/>
    </row>
    <row r="103" spans="1:10" ht="18.75" x14ac:dyDescent="0.3">
      <c r="C103" s="184" t="s">
        <v>115</v>
      </c>
      <c r="D103" s="185">
        <f>AVERAGE(E91:E94,G91:G94)</f>
        <v>3574620.576643765</v>
      </c>
      <c r="F103" s="122"/>
      <c r="G103" s="186"/>
      <c r="H103" s="102"/>
      <c r="J103" s="187"/>
    </row>
    <row r="104" spans="1:10" ht="18.75" x14ac:dyDescent="0.3">
      <c r="C104" s="152" t="s">
        <v>82</v>
      </c>
      <c r="D104" s="188">
        <f>STDEV(E91:E94,G91:G94)/D103</f>
        <v>1.7221806852977441E-2</v>
      </c>
      <c r="F104" s="122"/>
      <c r="G104" s="178"/>
      <c r="H104" s="102"/>
      <c r="J104" s="187"/>
    </row>
    <row r="105" spans="1:10" ht="19.5" customHeight="1" x14ac:dyDescent="0.3">
      <c r="C105" s="154" t="s">
        <v>19</v>
      </c>
      <c r="D105" s="189">
        <f>COUNT(E91:E94,G91:G94)</f>
        <v>5</v>
      </c>
      <c r="F105" s="122"/>
      <c r="G105" s="178"/>
      <c r="H105" s="102"/>
      <c r="J105" s="187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6.25" customHeight="1" x14ac:dyDescent="0.4">
      <c r="A107" s="75" t="s">
        <v>116</v>
      </c>
      <c r="B107" s="76">
        <v>1000</v>
      </c>
      <c r="C107" s="190" t="s">
        <v>117</v>
      </c>
      <c r="D107" s="191" t="s">
        <v>61</v>
      </c>
      <c r="E107" s="192" t="s">
        <v>118</v>
      </c>
      <c r="F107" s="193" t="s">
        <v>119</v>
      </c>
    </row>
    <row r="108" spans="1:10" ht="26.25" customHeight="1" x14ac:dyDescent="0.4">
      <c r="A108" s="77" t="s">
        <v>120</v>
      </c>
      <c r="B108" s="78">
        <v>1</v>
      </c>
      <c r="C108" s="194">
        <v>1</v>
      </c>
      <c r="D108" s="195">
        <v>3573702</v>
      </c>
      <c r="E108" s="226">
        <f t="shared" ref="E108:E113" si="1">IF(ISBLANK(D108),"-",D108/$D$103*$D$100*$B$116)</f>
        <v>24.993575705280676</v>
      </c>
      <c r="F108" s="196">
        <f t="shared" ref="F108:F113" si="2">IF(ISBLANK(D108), "-", E108/$B$56)</f>
        <v>0.99974302821122707</v>
      </c>
    </row>
    <row r="109" spans="1:10" ht="26.25" customHeight="1" x14ac:dyDescent="0.4">
      <c r="A109" s="77" t="s">
        <v>93</v>
      </c>
      <c r="B109" s="78">
        <v>1</v>
      </c>
      <c r="C109" s="194">
        <v>2</v>
      </c>
      <c r="D109" s="195">
        <v>3521530</v>
      </c>
      <c r="E109" s="227">
        <f t="shared" si="1"/>
        <v>24.628697819073068</v>
      </c>
      <c r="F109" s="197">
        <f t="shared" si="2"/>
        <v>0.98514791276292268</v>
      </c>
    </row>
    <row r="110" spans="1:10" ht="26.25" customHeight="1" x14ac:dyDescent="0.4">
      <c r="A110" s="77" t="s">
        <v>94</v>
      </c>
      <c r="B110" s="78">
        <v>1</v>
      </c>
      <c r="C110" s="194">
        <v>3</v>
      </c>
      <c r="D110" s="195">
        <v>3601956</v>
      </c>
      <c r="E110" s="227">
        <f t="shared" si="1"/>
        <v>25.191177096772467</v>
      </c>
      <c r="F110" s="197">
        <f t="shared" si="2"/>
        <v>1.0076470838708986</v>
      </c>
    </row>
    <row r="111" spans="1:10" ht="26.25" customHeight="1" x14ac:dyDescent="0.4">
      <c r="A111" s="77" t="s">
        <v>95</v>
      </c>
      <c r="B111" s="78">
        <v>1</v>
      </c>
      <c r="C111" s="194">
        <v>4</v>
      </c>
      <c r="D111" s="195">
        <v>3567336</v>
      </c>
      <c r="E111" s="227">
        <f t="shared" si="1"/>
        <v>24.9490534975141</v>
      </c>
      <c r="F111" s="197">
        <f t="shared" si="2"/>
        <v>0.99796213990056404</v>
      </c>
    </row>
    <row r="112" spans="1:10" ht="26.25" customHeight="1" x14ac:dyDescent="0.4">
      <c r="A112" s="77" t="s">
        <v>96</v>
      </c>
      <c r="B112" s="78">
        <v>1</v>
      </c>
      <c r="C112" s="194">
        <v>5</v>
      </c>
      <c r="D112" s="195">
        <v>3505350</v>
      </c>
      <c r="E112" s="227">
        <f t="shared" si="1"/>
        <v>24.515538956103676</v>
      </c>
      <c r="F112" s="197">
        <f t="shared" si="2"/>
        <v>0.98062155824414698</v>
      </c>
    </row>
    <row r="113" spans="1:10" ht="26.25" customHeight="1" x14ac:dyDescent="0.4">
      <c r="A113" s="77" t="s">
        <v>98</v>
      </c>
      <c r="B113" s="78">
        <v>1</v>
      </c>
      <c r="C113" s="198">
        <v>6</v>
      </c>
      <c r="D113" s="199">
        <v>3305690</v>
      </c>
      <c r="E113" s="228">
        <f t="shared" si="1"/>
        <v>23.119166979560489</v>
      </c>
      <c r="F113" s="200">
        <f t="shared" si="2"/>
        <v>0.92476667918241962</v>
      </c>
    </row>
    <row r="114" spans="1:10" ht="26.25" customHeight="1" x14ac:dyDescent="0.4">
      <c r="A114" s="77" t="s">
        <v>99</v>
      </c>
      <c r="B114" s="78">
        <v>1</v>
      </c>
      <c r="C114" s="194"/>
      <c r="D114" s="149"/>
      <c r="E114" s="51"/>
      <c r="F114" s="201"/>
    </row>
    <row r="115" spans="1:10" ht="26.25" customHeight="1" x14ac:dyDescent="0.4">
      <c r="A115" s="77" t="s">
        <v>100</v>
      </c>
      <c r="B115" s="78">
        <v>1</v>
      </c>
      <c r="C115" s="194"/>
      <c r="D115" s="202" t="s">
        <v>69</v>
      </c>
      <c r="E115" s="230">
        <f>AVERAGE(E108:E113)</f>
        <v>24.566201675717412</v>
      </c>
      <c r="F115" s="203">
        <f>AVERAGE(F108:F113)</f>
        <v>0.98264806702869656</v>
      </c>
    </row>
    <row r="116" spans="1:10" ht="27" customHeight="1" x14ac:dyDescent="0.4">
      <c r="A116" s="77" t="s">
        <v>101</v>
      </c>
      <c r="B116" s="108">
        <f>(B115/B114)*(B113/B112)*(B111/B110)*(B109/B108)*B107</f>
        <v>1000</v>
      </c>
      <c r="C116" s="204"/>
      <c r="D116" s="167" t="s">
        <v>82</v>
      </c>
      <c r="E116" s="205">
        <f>STDEV(E108:E113)/E115</f>
        <v>3.0571514785464011E-2</v>
      </c>
      <c r="F116" s="205">
        <f>STDEV(F108:F113)/F115</f>
        <v>3.057151478546399E-2</v>
      </c>
      <c r="I116" s="51"/>
    </row>
    <row r="117" spans="1:10" ht="27" customHeight="1" x14ac:dyDescent="0.4">
      <c r="A117" s="472" t="s">
        <v>76</v>
      </c>
      <c r="B117" s="473"/>
      <c r="C117" s="206"/>
      <c r="D117" s="207" t="s">
        <v>19</v>
      </c>
      <c r="E117" s="208">
        <f>COUNT(E108:E113)</f>
        <v>6</v>
      </c>
      <c r="F117" s="208">
        <f>COUNT(F108:F113)</f>
        <v>6</v>
      </c>
      <c r="I117" s="51"/>
      <c r="J117" s="187"/>
    </row>
    <row r="118" spans="1:10" ht="19.5" customHeight="1" x14ac:dyDescent="0.3">
      <c r="A118" s="474"/>
      <c r="B118" s="475"/>
      <c r="C118" s="51"/>
      <c r="D118" s="51"/>
      <c r="E118" s="51"/>
      <c r="F118" s="149"/>
      <c r="G118" s="51"/>
      <c r="H118" s="51"/>
      <c r="I118" s="51"/>
    </row>
    <row r="119" spans="1:10" ht="18.75" x14ac:dyDescent="0.3">
      <c r="A119" s="217"/>
      <c r="B119" s="73"/>
      <c r="C119" s="51"/>
      <c r="D119" s="51"/>
      <c r="E119" s="51"/>
      <c r="F119" s="149"/>
      <c r="G119" s="51"/>
      <c r="H119" s="51"/>
      <c r="I119" s="51"/>
    </row>
    <row r="120" spans="1:10" ht="26.25" customHeight="1" x14ac:dyDescent="0.4">
      <c r="A120" s="61" t="s">
        <v>104</v>
      </c>
      <c r="B120" s="156" t="s">
        <v>121</v>
      </c>
      <c r="C120" s="476" t="str">
        <f>B20</f>
        <v>sulfadoxine &amp; Pyrimethamine</v>
      </c>
      <c r="D120" s="476"/>
      <c r="E120" s="157" t="s">
        <v>122</v>
      </c>
      <c r="F120" s="157"/>
      <c r="G120" s="158">
        <f>F115</f>
        <v>0.98264806702869656</v>
      </c>
      <c r="H120" s="51"/>
      <c r="I120" s="51"/>
    </row>
    <row r="121" spans="1:10" ht="19.5" customHeight="1" x14ac:dyDescent="0.3">
      <c r="A121" s="209"/>
      <c r="B121" s="209"/>
      <c r="C121" s="210"/>
      <c r="D121" s="210"/>
      <c r="E121" s="210"/>
      <c r="F121" s="210"/>
      <c r="G121" s="210"/>
      <c r="H121" s="210"/>
    </row>
    <row r="122" spans="1:10" ht="18.75" x14ac:dyDescent="0.3">
      <c r="B122" s="477" t="s">
        <v>24</v>
      </c>
      <c r="C122" s="477"/>
      <c r="E122" s="163" t="s">
        <v>25</v>
      </c>
      <c r="F122" s="211"/>
      <c r="G122" s="477" t="s">
        <v>26</v>
      </c>
      <c r="H122" s="477"/>
    </row>
    <row r="123" spans="1:10" ht="69.95" customHeight="1" x14ac:dyDescent="0.3">
      <c r="A123" s="212" t="s">
        <v>27</v>
      </c>
      <c r="B123" s="213"/>
      <c r="C123" s="213"/>
      <c r="E123" s="213"/>
      <c r="F123" s="51"/>
      <c r="G123" s="214"/>
      <c r="H123" s="214"/>
    </row>
    <row r="124" spans="1:10" ht="69.95" customHeight="1" x14ac:dyDescent="0.3">
      <c r="A124" s="212" t="s">
        <v>28</v>
      </c>
      <c r="B124" s="215"/>
      <c r="C124" s="215"/>
      <c r="E124" s="215"/>
      <c r="F124" s="51"/>
      <c r="G124" s="216"/>
      <c r="H124" s="216"/>
    </row>
    <row r="125" spans="1:10" ht="18.75" x14ac:dyDescent="0.3">
      <c r="A125" s="148"/>
      <c r="B125" s="148"/>
      <c r="C125" s="149"/>
      <c r="D125" s="149"/>
      <c r="E125" s="149"/>
      <c r="F125" s="153"/>
      <c r="G125" s="149"/>
      <c r="H125" s="149"/>
      <c r="I125" s="51"/>
    </row>
    <row r="126" spans="1:10" ht="18.75" x14ac:dyDescent="0.3">
      <c r="A126" s="148"/>
      <c r="B126" s="148"/>
      <c r="C126" s="149"/>
      <c r="D126" s="149"/>
      <c r="E126" s="149"/>
      <c r="F126" s="153"/>
      <c r="G126" s="149"/>
      <c r="H126" s="149"/>
      <c r="I126" s="51"/>
    </row>
    <row r="127" spans="1:10" ht="18.75" x14ac:dyDescent="0.3">
      <c r="A127" s="148"/>
      <c r="B127" s="148"/>
      <c r="C127" s="149"/>
      <c r="D127" s="149"/>
      <c r="E127" s="149"/>
      <c r="F127" s="153"/>
      <c r="G127" s="149"/>
      <c r="H127" s="149"/>
      <c r="I127" s="51"/>
    </row>
    <row r="128" spans="1:10" ht="18.75" x14ac:dyDescent="0.3">
      <c r="A128" s="148"/>
      <c r="B128" s="148"/>
      <c r="C128" s="149"/>
      <c r="D128" s="149"/>
      <c r="E128" s="149"/>
      <c r="F128" s="153"/>
      <c r="G128" s="149"/>
      <c r="H128" s="149"/>
      <c r="I128" s="51"/>
    </row>
    <row r="129" spans="1:9" ht="18.75" x14ac:dyDescent="0.3">
      <c r="A129" s="148"/>
      <c r="B129" s="148"/>
      <c r="C129" s="149"/>
      <c r="D129" s="149"/>
      <c r="E129" s="149"/>
      <c r="F129" s="153"/>
      <c r="G129" s="149"/>
      <c r="H129" s="149"/>
      <c r="I129" s="51"/>
    </row>
    <row r="130" spans="1:9" ht="18.75" x14ac:dyDescent="0.3">
      <c r="A130" s="148"/>
      <c r="B130" s="148"/>
      <c r="C130" s="149"/>
      <c r="D130" s="149"/>
      <c r="E130" s="149"/>
      <c r="F130" s="153"/>
      <c r="G130" s="149"/>
      <c r="H130" s="149"/>
      <c r="I130" s="51"/>
    </row>
    <row r="131" spans="1:9" ht="18.75" x14ac:dyDescent="0.3">
      <c r="A131" s="148"/>
      <c r="B131" s="148"/>
      <c r="C131" s="149"/>
      <c r="D131" s="149"/>
      <c r="E131" s="149"/>
      <c r="F131" s="153"/>
      <c r="G131" s="149"/>
      <c r="H131" s="149"/>
      <c r="I131" s="51"/>
    </row>
    <row r="132" spans="1:9" ht="18.75" x14ac:dyDescent="0.3">
      <c r="A132" s="148"/>
      <c r="B132" s="148"/>
      <c r="C132" s="149"/>
      <c r="D132" s="149"/>
      <c r="E132" s="149"/>
      <c r="F132" s="153"/>
      <c r="G132" s="149"/>
      <c r="H132" s="149"/>
      <c r="I132" s="51"/>
    </row>
    <row r="133" spans="1:9" ht="18.75" x14ac:dyDescent="0.3">
      <c r="A133" s="148"/>
      <c r="B133" s="148"/>
      <c r="C133" s="149"/>
      <c r="D133" s="149"/>
      <c r="E133" s="149"/>
      <c r="F133" s="153"/>
      <c r="G133" s="149"/>
      <c r="H133" s="149"/>
      <c r="I133" s="51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opLeftCell="A96" zoomScale="60" zoomScaleNormal="60" zoomScaleSheetLayoutView="40" zoomScalePageLayoutView="55" workbookViewId="0">
      <selection activeCell="G111" sqref="G11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70" t="s">
        <v>43</v>
      </c>
      <c r="B1" s="470"/>
      <c r="C1" s="470"/>
      <c r="D1" s="470"/>
      <c r="E1" s="470"/>
      <c r="F1" s="470"/>
      <c r="G1" s="470"/>
      <c r="H1" s="470"/>
      <c r="I1" s="470"/>
    </row>
    <row r="2" spans="1:9" ht="18.75" customHeight="1" x14ac:dyDescent="0.25">
      <c r="A2" s="470"/>
      <c r="B2" s="470"/>
      <c r="C2" s="470"/>
      <c r="D2" s="470"/>
      <c r="E2" s="470"/>
      <c r="F2" s="470"/>
      <c r="G2" s="470"/>
      <c r="H2" s="470"/>
      <c r="I2" s="470"/>
    </row>
    <row r="3" spans="1:9" ht="18.75" customHeight="1" x14ac:dyDescent="0.25">
      <c r="A3" s="470"/>
      <c r="B3" s="470"/>
      <c r="C3" s="470"/>
      <c r="D3" s="470"/>
      <c r="E3" s="470"/>
      <c r="F3" s="470"/>
      <c r="G3" s="470"/>
      <c r="H3" s="470"/>
      <c r="I3" s="470"/>
    </row>
    <row r="4" spans="1:9" ht="18.75" customHeight="1" x14ac:dyDescent="0.25">
      <c r="A4" s="470"/>
      <c r="B4" s="470"/>
      <c r="C4" s="470"/>
      <c r="D4" s="470"/>
      <c r="E4" s="470"/>
      <c r="F4" s="470"/>
      <c r="G4" s="470"/>
      <c r="H4" s="470"/>
      <c r="I4" s="470"/>
    </row>
    <row r="5" spans="1:9" ht="18.75" customHeight="1" x14ac:dyDescent="0.25">
      <c r="A5" s="470"/>
      <c r="B5" s="470"/>
      <c r="C5" s="470"/>
      <c r="D5" s="470"/>
      <c r="E5" s="470"/>
      <c r="F5" s="470"/>
      <c r="G5" s="470"/>
      <c r="H5" s="470"/>
      <c r="I5" s="470"/>
    </row>
    <row r="6" spans="1:9" ht="18.75" customHeight="1" x14ac:dyDescent="0.25">
      <c r="A6" s="470"/>
      <c r="B6" s="470"/>
      <c r="C6" s="470"/>
      <c r="D6" s="470"/>
      <c r="E6" s="470"/>
      <c r="F6" s="470"/>
      <c r="G6" s="470"/>
      <c r="H6" s="470"/>
      <c r="I6" s="470"/>
    </row>
    <row r="7" spans="1:9" ht="18.75" customHeight="1" x14ac:dyDescent="0.25">
      <c r="A7" s="470"/>
      <c r="B7" s="470"/>
      <c r="C7" s="470"/>
      <c r="D7" s="470"/>
      <c r="E7" s="470"/>
      <c r="F7" s="470"/>
      <c r="G7" s="470"/>
      <c r="H7" s="470"/>
      <c r="I7" s="470"/>
    </row>
    <row r="8" spans="1:9" x14ac:dyDescent="0.25">
      <c r="A8" s="471" t="s">
        <v>44</v>
      </c>
      <c r="B8" s="471"/>
      <c r="C8" s="471"/>
      <c r="D8" s="471"/>
      <c r="E8" s="471"/>
      <c r="F8" s="471"/>
      <c r="G8" s="471"/>
      <c r="H8" s="471"/>
      <c r="I8" s="471"/>
    </row>
    <row r="9" spans="1:9" x14ac:dyDescent="0.25">
      <c r="A9" s="471"/>
      <c r="B9" s="471"/>
      <c r="C9" s="471"/>
      <c r="D9" s="471"/>
      <c r="E9" s="471"/>
      <c r="F9" s="471"/>
      <c r="G9" s="471"/>
      <c r="H9" s="471"/>
      <c r="I9" s="471"/>
    </row>
    <row r="10" spans="1:9" x14ac:dyDescent="0.25">
      <c r="A10" s="471"/>
      <c r="B10" s="471"/>
      <c r="C10" s="471"/>
      <c r="D10" s="471"/>
      <c r="E10" s="471"/>
      <c r="F10" s="471"/>
      <c r="G10" s="471"/>
      <c r="H10" s="471"/>
      <c r="I10" s="471"/>
    </row>
    <row r="11" spans="1:9" x14ac:dyDescent="0.25">
      <c r="A11" s="471"/>
      <c r="B11" s="471"/>
      <c r="C11" s="471"/>
      <c r="D11" s="471"/>
      <c r="E11" s="471"/>
      <c r="F11" s="471"/>
      <c r="G11" s="471"/>
      <c r="H11" s="471"/>
      <c r="I11" s="471"/>
    </row>
    <row r="12" spans="1:9" x14ac:dyDescent="0.25">
      <c r="A12" s="471"/>
      <c r="B12" s="471"/>
      <c r="C12" s="471"/>
      <c r="D12" s="471"/>
      <c r="E12" s="471"/>
      <c r="F12" s="471"/>
      <c r="G12" s="471"/>
      <c r="H12" s="471"/>
      <c r="I12" s="471"/>
    </row>
    <row r="13" spans="1:9" x14ac:dyDescent="0.25">
      <c r="A13" s="471"/>
      <c r="B13" s="471"/>
      <c r="C13" s="471"/>
      <c r="D13" s="471"/>
      <c r="E13" s="471"/>
      <c r="F13" s="471"/>
      <c r="G13" s="471"/>
      <c r="H13" s="471"/>
      <c r="I13" s="471"/>
    </row>
    <row r="14" spans="1:9" x14ac:dyDescent="0.25">
      <c r="A14" s="471"/>
      <c r="B14" s="471"/>
      <c r="C14" s="471"/>
      <c r="D14" s="471"/>
      <c r="E14" s="471"/>
      <c r="F14" s="471"/>
      <c r="G14" s="471"/>
      <c r="H14" s="471"/>
      <c r="I14" s="471"/>
    </row>
    <row r="15" spans="1:9" ht="19.5" customHeight="1" x14ac:dyDescent="0.3">
      <c r="A15" s="232"/>
    </row>
    <row r="16" spans="1:9" ht="19.5" customHeight="1" x14ac:dyDescent="0.3">
      <c r="A16" s="504" t="s">
        <v>29</v>
      </c>
      <c r="B16" s="505"/>
      <c r="C16" s="505"/>
      <c r="D16" s="505"/>
      <c r="E16" s="505"/>
      <c r="F16" s="505"/>
      <c r="G16" s="505"/>
      <c r="H16" s="506"/>
    </row>
    <row r="17" spans="1:14" ht="20.25" customHeight="1" x14ac:dyDescent="0.25">
      <c r="A17" s="507" t="s">
        <v>45</v>
      </c>
      <c r="B17" s="507"/>
      <c r="C17" s="507"/>
      <c r="D17" s="507"/>
      <c r="E17" s="507"/>
      <c r="F17" s="507"/>
      <c r="G17" s="507"/>
      <c r="H17" s="507"/>
    </row>
    <row r="18" spans="1:14" ht="26.25" customHeight="1" x14ac:dyDescent="0.4">
      <c r="A18" s="234" t="s">
        <v>31</v>
      </c>
      <c r="B18" s="503" t="s">
        <v>4</v>
      </c>
      <c r="C18" s="503"/>
      <c r="D18" s="401"/>
      <c r="E18" s="235"/>
      <c r="F18" s="236"/>
      <c r="G18" s="236"/>
      <c r="H18" s="236"/>
    </row>
    <row r="19" spans="1:14" ht="26.25" customHeight="1" x14ac:dyDescent="0.4">
      <c r="A19" s="234" t="s">
        <v>32</v>
      </c>
      <c r="B19" s="237" t="s">
        <v>6</v>
      </c>
      <c r="C19" s="414">
        <v>29</v>
      </c>
      <c r="D19" s="236"/>
      <c r="E19" s="236"/>
      <c r="F19" s="236"/>
      <c r="G19" s="236"/>
      <c r="H19" s="236"/>
    </row>
    <row r="20" spans="1:14" ht="26.25" customHeight="1" x14ac:dyDescent="0.4">
      <c r="A20" s="234" t="s">
        <v>33</v>
      </c>
      <c r="B20" s="508" t="s">
        <v>8</v>
      </c>
      <c r="C20" s="508"/>
      <c r="D20" s="236"/>
      <c r="E20" s="236"/>
      <c r="F20" s="236"/>
      <c r="G20" s="236"/>
      <c r="H20" s="236"/>
    </row>
    <row r="21" spans="1:14" ht="26.25" customHeight="1" x14ac:dyDescent="0.4">
      <c r="A21" s="234" t="s">
        <v>34</v>
      </c>
      <c r="B21" s="508" t="s">
        <v>10</v>
      </c>
      <c r="C21" s="508"/>
      <c r="D21" s="508"/>
      <c r="E21" s="508"/>
      <c r="F21" s="508"/>
      <c r="G21" s="508"/>
      <c r="H21" s="508"/>
      <c r="I21" s="238"/>
    </row>
    <row r="22" spans="1:14" ht="26.25" customHeight="1" x14ac:dyDescent="0.4">
      <c r="A22" s="234" t="s">
        <v>35</v>
      </c>
      <c r="B22" s="239">
        <v>42437</v>
      </c>
      <c r="C22" s="236"/>
      <c r="D22" s="236"/>
      <c r="E22" s="236"/>
      <c r="F22" s="236"/>
      <c r="G22" s="236"/>
      <c r="H22" s="236"/>
    </row>
    <row r="23" spans="1:14" ht="26.25" customHeight="1" x14ac:dyDescent="0.4">
      <c r="A23" s="234" t="s">
        <v>36</v>
      </c>
      <c r="B23" s="239">
        <v>42453</v>
      </c>
      <c r="C23" s="236"/>
      <c r="D23" s="236"/>
      <c r="E23" s="236"/>
      <c r="F23" s="236"/>
      <c r="G23" s="236"/>
      <c r="H23" s="236"/>
    </row>
    <row r="24" spans="1:14" ht="18.75" x14ac:dyDescent="0.3">
      <c r="A24" s="234"/>
      <c r="B24" s="240"/>
    </row>
    <row r="25" spans="1:14" ht="18.75" x14ac:dyDescent="0.3">
      <c r="A25" s="241" t="s">
        <v>1</v>
      </c>
      <c r="B25" s="240"/>
    </row>
    <row r="26" spans="1:14" ht="26.25" customHeight="1" x14ac:dyDescent="0.4">
      <c r="A26" s="242" t="s">
        <v>3</v>
      </c>
      <c r="B26" s="503" t="s">
        <v>126</v>
      </c>
      <c r="C26" s="503"/>
    </row>
    <row r="27" spans="1:14" ht="26.25" customHeight="1" x14ac:dyDescent="0.4">
      <c r="A27" s="243" t="s">
        <v>46</v>
      </c>
      <c r="B27" s="501" t="s">
        <v>129</v>
      </c>
      <c r="C27" s="501"/>
    </row>
    <row r="28" spans="1:14" ht="27" customHeight="1" x14ac:dyDescent="0.4">
      <c r="A28" s="243" t="s">
        <v>5</v>
      </c>
      <c r="B28" s="244">
        <v>99.9</v>
      </c>
    </row>
    <row r="29" spans="1:14" s="4" customFormat="1" ht="27" customHeight="1" x14ac:dyDescent="0.4">
      <c r="A29" s="243" t="s">
        <v>47</v>
      </c>
      <c r="B29" s="245">
        <v>0</v>
      </c>
      <c r="C29" s="478" t="s">
        <v>48</v>
      </c>
      <c r="D29" s="479"/>
      <c r="E29" s="479"/>
      <c r="F29" s="479"/>
      <c r="G29" s="480"/>
      <c r="I29" s="246"/>
      <c r="J29" s="246"/>
      <c r="K29" s="246"/>
      <c r="L29" s="246"/>
    </row>
    <row r="30" spans="1:14" s="4" customFormat="1" ht="19.5" customHeight="1" x14ac:dyDescent="0.3">
      <c r="A30" s="243" t="s">
        <v>49</v>
      </c>
      <c r="B30" s="247">
        <f>B28-B29</f>
        <v>99.9</v>
      </c>
      <c r="C30" s="248"/>
      <c r="D30" s="248"/>
      <c r="E30" s="248"/>
      <c r="F30" s="248"/>
      <c r="G30" s="249"/>
      <c r="I30" s="246"/>
      <c r="J30" s="246"/>
      <c r="K30" s="246"/>
      <c r="L30" s="246"/>
    </row>
    <row r="31" spans="1:14" s="4" customFormat="1" ht="27" customHeight="1" x14ac:dyDescent="0.4">
      <c r="A31" s="243" t="s">
        <v>50</v>
      </c>
      <c r="B31" s="250">
        <v>1</v>
      </c>
      <c r="C31" s="481" t="s">
        <v>51</v>
      </c>
      <c r="D31" s="482"/>
      <c r="E31" s="482"/>
      <c r="F31" s="482"/>
      <c r="G31" s="482"/>
      <c r="H31" s="483"/>
      <c r="I31" s="246"/>
      <c r="J31" s="246"/>
      <c r="K31" s="246"/>
      <c r="L31" s="246"/>
    </row>
    <row r="32" spans="1:14" s="4" customFormat="1" ht="27" customHeight="1" x14ac:dyDescent="0.4">
      <c r="A32" s="243" t="s">
        <v>52</v>
      </c>
      <c r="B32" s="250">
        <v>1</v>
      </c>
      <c r="C32" s="481" t="s">
        <v>53</v>
      </c>
      <c r="D32" s="482"/>
      <c r="E32" s="482"/>
      <c r="F32" s="482"/>
      <c r="G32" s="482"/>
      <c r="H32" s="483"/>
      <c r="I32" s="246"/>
      <c r="J32" s="246"/>
      <c r="K32" s="246"/>
      <c r="L32" s="251"/>
      <c r="M32" s="251"/>
      <c r="N32" s="252"/>
    </row>
    <row r="33" spans="1:14" s="4" customFormat="1" ht="17.25" customHeight="1" x14ac:dyDescent="0.3">
      <c r="A33" s="243"/>
      <c r="B33" s="253"/>
      <c r="C33" s="254"/>
      <c r="D33" s="254"/>
      <c r="E33" s="254"/>
      <c r="F33" s="254"/>
      <c r="G33" s="254"/>
      <c r="H33" s="254"/>
      <c r="I33" s="246"/>
      <c r="J33" s="246"/>
      <c r="K33" s="246"/>
      <c r="L33" s="251"/>
      <c r="M33" s="251"/>
      <c r="N33" s="252"/>
    </row>
    <row r="34" spans="1:14" s="4" customFormat="1" ht="18.75" x14ac:dyDescent="0.3">
      <c r="A34" s="243" t="s">
        <v>54</v>
      </c>
      <c r="B34" s="255">
        <f>B31/B32</f>
        <v>1</v>
      </c>
      <c r="C34" s="233" t="s">
        <v>55</v>
      </c>
      <c r="D34" s="233"/>
      <c r="E34" s="233"/>
      <c r="F34" s="233"/>
      <c r="G34" s="233"/>
      <c r="I34" s="246"/>
      <c r="J34" s="246"/>
      <c r="K34" s="246"/>
      <c r="L34" s="251"/>
      <c r="M34" s="251"/>
      <c r="N34" s="252"/>
    </row>
    <row r="35" spans="1:14" s="4" customFormat="1" ht="19.5" customHeight="1" x14ac:dyDescent="0.3">
      <c r="A35" s="243"/>
      <c r="B35" s="247"/>
      <c r="G35" s="233"/>
      <c r="I35" s="246"/>
      <c r="J35" s="246"/>
      <c r="K35" s="246"/>
      <c r="L35" s="251"/>
      <c r="M35" s="251"/>
      <c r="N35" s="252"/>
    </row>
    <row r="36" spans="1:14" s="4" customFormat="1" ht="27" customHeight="1" x14ac:dyDescent="0.4">
      <c r="A36" s="256" t="s">
        <v>56</v>
      </c>
      <c r="B36" s="257">
        <v>10</v>
      </c>
      <c r="C36" s="233"/>
      <c r="D36" s="484" t="s">
        <v>57</v>
      </c>
      <c r="E36" s="502"/>
      <c r="F36" s="484" t="s">
        <v>58</v>
      </c>
      <c r="G36" s="485"/>
      <c r="J36" s="246"/>
      <c r="K36" s="246"/>
      <c r="L36" s="251"/>
      <c r="M36" s="251"/>
      <c r="N36" s="252"/>
    </row>
    <row r="37" spans="1:14" s="4" customFormat="1" ht="27" customHeight="1" x14ac:dyDescent="0.4">
      <c r="A37" s="258" t="s">
        <v>59</v>
      </c>
      <c r="B37" s="259">
        <v>1</v>
      </c>
      <c r="C37" s="260" t="s">
        <v>60</v>
      </c>
      <c r="D37" s="261" t="s">
        <v>61</v>
      </c>
      <c r="E37" s="262" t="s">
        <v>62</v>
      </c>
      <c r="F37" s="261" t="s">
        <v>61</v>
      </c>
      <c r="G37" s="263" t="s">
        <v>62</v>
      </c>
      <c r="I37" s="264" t="s">
        <v>63</v>
      </c>
      <c r="J37" s="246"/>
      <c r="K37" s="246"/>
      <c r="L37" s="251"/>
      <c r="M37" s="251"/>
      <c r="N37" s="252"/>
    </row>
    <row r="38" spans="1:14" s="4" customFormat="1" ht="26.25" customHeight="1" x14ac:dyDescent="0.4">
      <c r="A38" s="258" t="s">
        <v>64</v>
      </c>
      <c r="B38" s="259">
        <v>1</v>
      </c>
      <c r="C38" s="265">
        <v>1</v>
      </c>
      <c r="D38" s="266">
        <v>377954127</v>
      </c>
      <c r="E38" s="267">
        <f>IF(ISBLANK(D38),"-",$D$48/$D$45*D38)</f>
        <v>393891160.29095203</v>
      </c>
      <c r="F38" s="266">
        <v>380856483</v>
      </c>
      <c r="G38" s="268">
        <f>IF(ISBLANK(F38),"-",$D$48/$F$45*F38)</f>
        <v>391816773.60814047</v>
      </c>
      <c r="I38" s="269"/>
      <c r="J38" s="246"/>
      <c r="K38" s="246"/>
      <c r="L38" s="251"/>
      <c r="M38" s="251"/>
      <c r="N38" s="252"/>
    </row>
    <row r="39" spans="1:14" s="4" customFormat="1" ht="26.25" customHeight="1" x14ac:dyDescent="0.4">
      <c r="A39" s="258" t="s">
        <v>65</v>
      </c>
      <c r="B39" s="259">
        <v>1</v>
      </c>
      <c r="C39" s="270">
        <v>2</v>
      </c>
      <c r="D39" s="271">
        <v>376876042</v>
      </c>
      <c r="E39" s="272">
        <f>IF(ISBLANK(D39),"-",$D$48/$D$45*D39)</f>
        <v>392767616.13253021</v>
      </c>
      <c r="F39" s="271">
        <v>378286526</v>
      </c>
      <c r="G39" s="273">
        <f>IF(ISBLANK(F39),"-",$D$48/$F$45*F39)</f>
        <v>389172858.36710292</v>
      </c>
      <c r="I39" s="486">
        <f>ABS((F43/D43*D42)-F42)/D42</f>
        <v>1.0247585516996036E-2</v>
      </c>
      <c r="J39" s="246"/>
      <c r="K39" s="246"/>
      <c r="L39" s="251"/>
      <c r="M39" s="251"/>
      <c r="N39" s="252"/>
    </row>
    <row r="40" spans="1:14" ht="26.25" customHeight="1" x14ac:dyDescent="0.4">
      <c r="A40" s="258" t="s">
        <v>66</v>
      </c>
      <c r="B40" s="259">
        <v>1</v>
      </c>
      <c r="C40" s="270">
        <v>3</v>
      </c>
      <c r="D40" s="271">
        <v>380033532</v>
      </c>
      <c r="E40" s="272">
        <f>IF(ISBLANK(D40),"-",$D$48/$D$45*D40)</f>
        <v>396058246.69020915</v>
      </c>
      <c r="F40" s="271">
        <v>378860258</v>
      </c>
      <c r="G40" s="273">
        <f>IF(ISBLANK(F40),"-",$D$48/$F$45*F40)</f>
        <v>389763101.23072708</v>
      </c>
      <c r="I40" s="486"/>
      <c r="L40" s="251"/>
      <c r="M40" s="251"/>
      <c r="N40" s="274"/>
    </row>
    <row r="41" spans="1:14" ht="27" customHeight="1" x14ac:dyDescent="0.4">
      <c r="A41" s="258" t="s">
        <v>67</v>
      </c>
      <c r="B41" s="259">
        <v>1</v>
      </c>
      <c r="C41" s="275">
        <v>4</v>
      </c>
      <c r="D41" s="276"/>
      <c r="E41" s="277" t="str">
        <f>IF(ISBLANK(D41),"-",$D$48/$D$45*D41)</f>
        <v>-</v>
      </c>
      <c r="F41" s="276"/>
      <c r="G41" s="278" t="str">
        <f>IF(ISBLANK(F41),"-",$D$48/$F$45*F41)</f>
        <v>-</v>
      </c>
      <c r="I41" s="279"/>
      <c r="L41" s="251"/>
      <c r="M41" s="251"/>
      <c r="N41" s="274"/>
    </row>
    <row r="42" spans="1:14" ht="27" customHeight="1" x14ac:dyDescent="0.4">
      <c r="A42" s="258" t="s">
        <v>68</v>
      </c>
      <c r="B42" s="259">
        <v>1</v>
      </c>
      <c r="C42" s="280" t="s">
        <v>69</v>
      </c>
      <c r="D42" s="281">
        <f>AVERAGE(D38:D41)</f>
        <v>378287900.33333331</v>
      </c>
      <c r="E42" s="282">
        <f>AVERAGE(E38:E41)</f>
        <v>394239007.7045638</v>
      </c>
      <c r="F42" s="281">
        <f>AVERAGE(F38:F41)</f>
        <v>379334422.33333331</v>
      </c>
      <c r="G42" s="283">
        <f>AVERAGE(G38:G41)</f>
        <v>390250911.06865674</v>
      </c>
      <c r="H42" s="284"/>
    </row>
    <row r="43" spans="1:14" ht="26.25" customHeight="1" x14ac:dyDescent="0.4">
      <c r="A43" s="258" t="s">
        <v>70</v>
      </c>
      <c r="B43" s="259">
        <v>1</v>
      </c>
      <c r="C43" s="285" t="s">
        <v>71</v>
      </c>
      <c r="D43" s="286">
        <v>19.21</v>
      </c>
      <c r="E43" s="274"/>
      <c r="F43" s="286">
        <v>19.46</v>
      </c>
      <c r="H43" s="284"/>
    </row>
    <row r="44" spans="1:14" ht="26.25" customHeight="1" x14ac:dyDescent="0.4">
      <c r="A44" s="258" t="s">
        <v>72</v>
      </c>
      <c r="B44" s="259">
        <v>1</v>
      </c>
      <c r="C44" s="287" t="s">
        <v>73</v>
      </c>
      <c r="D44" s="288">
        <f>D43*$B$34</f>
        <v>19.21</v>
      </c>
      <c r="E44" s="289"/>
      <c r="F44" s="288">
        <f>F43*$B$34</f>
        <v>19.46</v>
      </c>
      <c r="H44" s="284"/>
    </row>
    <row r="45" spans="1:14" ht="19.5" customHeight="1" x14ac:dyDescent="0.3">
      <c r="A45" s="258" t="s">
        <v>74</v>
      </c>
      <c r="B45" s="290">
        <f>(B44/B43)*(B42/B41)*(B40/B39)*(B38/B37)*B36</f>
        <v>10</v>
      </c>
      <c r="C45" s="287" t="s">
        <v>75</v>
      </c>
      <c r="D45" s="291">
        <f>D44*$B$30/100</f>
        <v>19.190790000000003</v>
      </c>
      <c r="E45" s="292"/>
      <c r="F45" s="291">
        <f>F44*$B$30/100</f>
        <v>19.440540000000002</v>
      </c>
      <c r="H45" s="284"/>
    </row>
    <row r="46" spans="1:14" ht="19.5" customHeight="1" x14ac:dyDescent="0.3">
      <c r="A46" s="472" t="s">
        <v>76</v>
      </c>
      <c r="B46" s="473"/>
      <c r="C46" s="287" t="s">
        <v>77</v>
      </c>
      <c r="D46" s="293">
        <f>D45/$B$45</f>
        <v>1.9190790000000004</v>
      </c>
      <c r="E46" s="294"/>
      <c r="F46" s="295">
        <f>F45/$B$45</f>
        <v>1.9440540000000002</v>
      </c>
      <c r="H46" s="284"/>
    </row>
    <row r="47" spans="1:14" ht="27" customHeight="1" x14ac:dyDescent="0.4">
      <c r="A47" s="474"/>
      <c r="B47" s="475"/>
      <c r="C47" s="296" t="s">
        <v>78</v>
      </c>
      <c r="D47" s="297">
        <v>2</v>
      </c>
      <c r="E47" s="298"/>
      <c r="F47" s="294"/>
      <c r="H47" s="284"/>
    </row>
    <row r="48" spans="1:14" ht="18.75" x14ac:dyDescent="0.3">
      <c r="C48" s="299" t="s">
        <v>79</v>
      </c>
      <c r="D48" s="291">
        <f>D47*$B$45</f>
        <v>20</v>
      </c>
      <c r="F48" s="300"/>
      <c r="H48" s="284"/>
    </row>
    <row r="49" spans="1:12" ht="19.5" customHeight="1" x14ac:dyDescent="0.3">
      <c r="C49" s="301" t="s">
        <v>80</v>
      </c>
      <c r="D49" s="302">
        <f>D48/B34</f>
        <v>20</v>
      </c>
      <c r="F49" s="300"/>
      <c r="H49" s="284"/>
    </row>
    <row r="50" spans="1:12" ht="18.75" x14ac:dyDescent="0.3">
      <c r="C50" s="256" t="s">
        <v>81</v>
      </c>
      <c r="D50" s="303">
        <f>AVERAGE(E38:E41,G38:G41)</f>
        <v>392244959.38661027</v>
      </c>
      <c r="F50" s="304"/>
      <c r="H50" s="284"/>
    </row>
    <row r="51" spans="1:12" ht="18.75" x14ac:dyDescent="0.3">
      <c r="C51" s="258" t="s">
        <v>82</v>
      </c>
      <c r="D51" s="305">
        <f>STDEV(E38:E41,G38:G41)/D50</f>
        <v>6.5798021633165348E-3</v>
      </c>
      <c r="F51" s="304"/>
      <c r="H51" s="284"/>
    </row>
    <row r="52" spans="1:12" ht="19.5" customHeight="1" x14ac:dyDescent="0.3">
      <c r="C52" s="306" t="s">
        <v>19</v>
      </c>
      <c r="D52" s="307">
        <f>COUNT(E38:E41,G38:G41)</f>
        <v>6</v>
      </c>
      <c r="F52" s="304"/>
    </row>
    <row r="54" spans="1:12" ht="18.75" x14ac:dyDescent="0.3">
      <c r="A54" s="308" t="s">
        <v>1</v>
      </c>
      <c r="B54" s="309" t="s">
        <v>83</v>
      </c>
    </row>
    <row r="55" spans="1:12" ht="18.75" x14ac:dyDescent="0.3">
      <c r="A55" s="233" t="s">
        <v>84</v>
      </c>
      <c r="B55" s="310" t="str">
        <f>B21</f>
        <v>each tablet contains sulfadoxine 500MG Pyrimethamine 25MG</v>
      </c>
    </row>
    <row r="56" spans="1:12" ht="26.25" customHeight="1" x14ac:dyDescent="0.4">
      <c r="A56" s="311" t="s">
        <v>85</v>
      </c>
      <c r="B56" s="312">
        <v>500</v>
      </c>
      <c r="C56" s="233" t="str">
        <f>B20</f>
        <v>sulfadoxine &amp; Pyrimethamine</v>
      </c>
      <c r="H56" s="313"/>
    </row>
    <row r="57" spans="1:12" ht="18.75" x14ac:dyDescent="0.3">
      <c r="A57" s="310" t="s">
        <v>86</v>
      </c>
      <c r="B57" s="402">
        <f>Uniformity!C46</f>
        <v>646.35066666666671</v>
      </c>
      <c r="H57" s="313"/>
    </row>
    <row r="58" spans="1:12" ht="19.5" customHeight="1" x14ac:dyDescent="0.3">
      <c r="H58" s="313"/>
    </row>
    <row r="59" spans="1:12" s="4" customFormat="1" ht="27" customHeight="1" x14ac:dyDescent="0.4">
      <c r="A59" s="256" t="s">
        <v>87</v>
      </c>
      <c r="B59" s="257">
        <v>250</v>
      </c>
      <c r="C59" s="233"/>
      <c r="D59" s="314" t="s">
        <v>88</v>
      </c>
      <c r="E59" s="315" t="s">
        <v>60</v>
      </c>
      <c r="F59" s="315" t="s">
        <v>61</v>
      </c>
      <c r="G59" s="315" t="s">
        <v>89</v>
      </c>
      <c r="H59" s="260" t="s">
        <v>90</v>
      </c>
      <c r="L59" s="246"/>
    </row>
    <row r="60" spans="1:12" s="4" customFormat="1" ht="26.25" customHeight="1" x14ac:dyDescent="0.4">
      <c r="A60" s="258" t="s">
        <v>91</v>
      </c>
      <c r="B60" s="259">
        <v>1</v>
      </c>
      <c r="C60" s="489" t="s">
        <v>92</v>
      </c>
      <c r="D60" s="492">
        <f>Pyrimethamine!D60</f>
        <v>641.35</v>
      </c>
      <c r="E60" s="316">
        <v>1</v>
      </c>
      <c r="F60" s="317">
        <v>388528819</v>
      </c>
      <c r="G60" s="403">
        <f>IF(ISBLANK(F60),"-",(F60/$D$50*$D$47*$B$68)*($B$57/$D$60))</f>
        <v>499.12459754246396</v>
      </c>
      <c r="H60" s="318">
        <f t="shared" ref="H60:H71" si="0">IF(ISBLANK(F60),"-",G60/$B$56)</f>
        <v>0.99824919508492793</v>
      </c>
      <c r="L60" s="246"/>
    </row>
    <row r="61" spans="1:12" s="4" customFormat="1" ht="26.25" customHeight="1" x14ac:dyDescent="0.4">
      <c r="A61" s="258" t="s">
        <v>93</v>
      </c>
      <c r="B61" s="259">
        <v>1</v>
      </c>
      <c r="C61" s="490"/>
      <c r="D61" s="493"/>
      <c r="E61" s="319">
        <v>2</v>
      </c>
      <c r="F61" s="271">
        <v>388905010</v>
      </c>
      <c r="G61" s="404">
        <f>IF(ISBLANK(F61),"-",(F61/$D$50*$D$47*$B$68)*($B$57/$D$60))</f>
        <v>499.60787232747828</v>
      </c>
      <c r="H61" s="320">
        <f t="shared" si="0"/>
        <v>0.99921574465495655</v>
      </c>
      <c r="L61" s="246"/>
    </row>
    <row r="62" spans="1:12" s="4" customFormat="1" ht="26.25" customHeight="1" x14ac:dyDescent="0.4">
      <c r="A62" s="258" t="s">
        <v>94</v>
      </c>
      <c r="B62" s="259">
        <v>1</v>
      </c>
      <c r="C62" s="490"/>
      <c r="D62" s="493"/>
      <c r="E62" s="319">
        <v>3</v>
      </c>
      <c r="F62" s="321">
        <v>389865230</v>
      </c>
      <c r="G62" s="404">
        <f>IF(ISBLANK(F62),"-",(F62/$D$50*$D$47*$B$68)*($B$57/$D$60))</f>
        <v>500.8414215460042</v>
      </c>
      <c r="H62" s="320">
        <f t="shared" si="0"/>
        <v>1.0016828430920084</v>
      </c>
      <c r="L62" s="246"/>
    </row>
    <row r="63" spans="1:12" ht="27" customHeight="1" x14ac:dyDescent="0.4">
      <c r="A63" s="258" t="s">
        <v>95</v>
      </c>
      <c r="B63" s="259">
        <v>1</v>
      </c>
      <c r="C63" s="500"/>
      <c r="D63" s="494"/>
      <c r="E63" s="322">
        <v>4</v>
      </c>
      <c r="F63" s="323"/>
      <c r="G63" s="404" t="str">
        <f>IF(ISBLANK(F63),"-",(F63/$D$50*$D$47*$B$68)*($B$57/$D$60))</f>
        <v>-</v>
      </c>
      <c r="H63" s="320" t="str">
        <f t="shared" si="0"/>
        <v>-</v>
      </c>
    </row>
    <row r="64" spans="1:12" ht="26.25" customHeight="1" x14ac:dyDescent="0.4">
      <c r="A64" s="258" t="s">
        <v>96</v>
      </c>
      <c r="B64" s="259">
        <v>1</v>
      </c>
      <c r="C64" s="489" t="s">
        <v>97</v>
      </c>
      <c r="D64" s="492">
        <f>Pyrimethamine!D64</f>
        <v>667.09</v>
      </c>
      <c r="E64" s="316">
        <v>1</v>
      </c>
      <c r="F64" s="317">
        <v>399120948</v>
      </c>
      <c r="G64" s="405">
        <f>IF(ISBLANK(F64),"-",(F64/$D$50*$D$47*$B$68)*($B$57/$D$64))</f>
        <v>492.94779256189463</v>
      </c>
      <c r="H64" s="324">
        <f t="shared" si="0"/>
        <v>0.98589558512378928</v>
      </c>
    </row>
    <row r="65" spans="1:8" ht="26.25" customHeight="1" x14ac:dyDescent="0.4">
      <c r="A65" s="258" t="s">
        <v>98</v>
      </c>
      <c r="B65" s="259">
        <v>1</v>
      </c>
      <c r="C65" s="490"/>
      <c r="D65" s="493"/>
      <c r="E65" s="319">
        <v>2</v>
      </c>
      <c r="F65" s="271">
        <v>403513310</v>
      </c>
      <c r="G65" s="406">
        <f>IF(ISBLANK(F65),"-",(F65/$D$50*$D$47*$B$68)*($B$57/$D$64))</f>
        <v>498.37272744161623</v>
      </c>
      <c r="H65" s="325">
        <f t="shared" si="0"/>
        <v>0.99674545488323252</v>
      </c>
    </row>
    <row r="66" spans="1:8" ht="26.25" customHeight="1" x14ac:dyDescent="0.4">
      <c r="A66" s="258" t="s">
        <v>99</v>
      </c>
      <c r="B66" s="259">
        <v>1</v>
      </c>
      <c r="C66" s="490"/>
      <c r="D66" s="493"/>
      <c r="E66" s="319">
        <v>3</v>
      </c>
      <c r="F66" s="271">
        <v>402930867</v>
      </c>
      <c r="G66" s="406">
        <f>IF(ISBLANK(F66),"-",(F66/$D$50*$D$47*$B$68)*($B$57/$D$64))</f>
        <v>497.65336156372422</v>
      </c>
      <c r="H66" s="325">
        <f t="shared" si="0"/>
        <v>0.99530672312744839</v>
      </c>
    </row>
    <row r="67" spans="1:8" ht="27" customHeight="1" x14ac:dyDescent="0.4">
      <c r="A67" s="258" t="s">
        <v>100</v>
      </c>
      <c r="B67" s="259">
        <v>1</v>
      </c>
      <c r="C67" s="500"/>
      <c r="D67" s="494"/>
      <c r="E67" s="322">
        <v>4</v>
      </c>
      <c r="F67" s="323"/>
      <c r="G67" s="407" t="str">
        <f>IF(ISBLANK(F67),"-",(F67/$D$50*$D$47*$B$68)*($B$57/$D$64))</f>
        <v>-</v>
      </c>
      <c r="H67" s="326" t="str">
        <f t="shared" si="0"/>
        <v>-</v>
      </c>
    </row>
    <row r="68" spans="1:8" ht="26.25" customHeight="1" x14ac:dyDescent="0.4">
      <c r="A68" s="258" t="s">
        <v>101</v>
      </c>
      <c r="B68" s="327">
        <f>(B67/B66)*(B65/B64)*(B63/B62)*(B61/B60)*B59</f>
        <v>250</v>
      </c>
      <c r="C68" s="489" t="s">
        <v>102</v>
      </c>
      <c r="D68" s="492">
        <f>Pyrimethamine!D68</f>
        <v>655.68</v>
      </c>
      <c r="E68" s="316">
        <v>1</v>
      </c>
      <c r="F68" s="317">
        <v>394351591</v>
      </c>
      <c r="G68" s="405">
        <f>IF(ISBLANK(F68),"-",(F68/$D$50*$D$47*$B$68)*($B$57/$D$68))</f>
        <v>495.5329008397008</v>
      </c>
      <c r="H68" s="320">
        <f t="shared" si="0"/>
        <v>0.99106580167940161</v>
      </c>
    </row>
    <row r="69" spans="1:8" ht="27" customHeight="1" x14ac:dyDescent="0.4">
      <c r="A69" s="306" t="s">
        <v>103</v>
      </c>
      <c r="B69" s="328">
        <f>(D47*B68)/B56*B57</f>
        <v>646.35066666666671</v>
      </c>
      <c r="C69" s="490"/>
      <c r="D69" s="493"/>
      <c r="E69" s="319">
        <v>2</v>
      </c>
      <c r="F69" s="271">
        <v>397173521</v>
      </c>
      <c r="G69" s="406">
        <f>IF(ISBLANK(F69),"-",(F69/$D$50*$D$47*$B$68)*($B$57/$D$68))</f>
        <v>499.07887146789227</v>
      </c>
      <c r="H69" s="320">
        <f t="shared" si="0"/>
        <v>0.99815774293578452</v>
      </c>
    </row>
    <row r="70" spans="1:8" ht="26.25" customHeight="1" x14ac:dyDescent="0.4">
      <c r="A70" s="495" t="s">
        <v>76</v>
      </c>
      <c r="B70" s="496"/>
      <c r="C70" s="490"/>
      <c r="D70" s="493"/>
      <c r="E70" s="319">
        <v>3</v>
      </c>
      <c r="F70" s="271">
        <v>394389075</v>
      </c>
      <c r="G70" s="406">
        <f>IF(ISBLANK(F70),"-",(F70/$D$50*$D$47*$B$68)*($B$57/$D$68))</f>
        <v>495.58000234931552</v>
      </c>
      <c r="H70" s="320">
        <f t="shared" si="0"/>
        <v>0.99116000469863108</v>
      </c>
    </row>
    <row r="71" spans="1:8" ht="27" customHeight="1" x14ac:dyDescent="0.4">
      <c r="A71" s="497"/>
      <c r="B71" s="498"/>
      <c r="C71" s="491"/>
      <c r="D71" s="494"/>
      <c r="E71" s="322">
        <v>4</v>
      </c>
      <c r="F71" s="323"/>
      <c r="G71" s="407" t="str">
        <f>IF(ISBLANK(F71),"-",(F71/$D$50*$D$47*$B$68)*($B$57/$D$68))</f>
        <v>-</v>
      </c>
      <c r="H71" s="329" t="str">
        <f t="shared" si="0"/>
        <v>-</v>
      </c>
    </row>
    <row r="72" spans="1:8" ht="26.25" customHeight="1" x14ac:dyDescent="0.4">
      <c r="A72" s="330"/>
      <c r="B72" s="330"/>
      <c r="C72" s="330"/>
      <c r="D72" s="330"/>
      <c r="E72" s="330"/>
      <c r="F72" s="332" t="s">
        <v>69</v>
      </c>
      <c r="G72" s="412">
        <f>AVERAGE(G60:G71)</f>
        <v>497.63772751556553</v>
      </c>
      <c r="H72" s="333">
        <f>AVERAGE(H60:H71)</f>
        <v>0.99527545503113102</v>
      </c>
    </row>
    <row r="73" spans="1:8" ht="26.25" customHeight="1" x14ac:dyDescent="0.4">
      <c r="C73" s="330"/>
      <c r="D73" s="330"/>
      <c r="E73" s="330"/>
      <c r="F73" s="334" t="s">
        <v>82</v>
      </c>
      <c r="G73" s="408">
        <f>STDEV(G60:G71)/G72</f>
        <v>5.0052785092393002E-3</v>
      </c>
      <c r="H73" s="408">
        <f>STDEV(H60:H71)/H72</f>
        <v>5.0052785092392915E-3</v>
      </c>
    </row>
    <row r="74" spans="1:8" ht="27" customHeight="1" x14ac:dyDescent="0.4">
      <c r="A74" s="330"/>
      <c r="B74" s="330"/>
      <c r="C74" s="331"/>
      <c r="D74" s="331"/>
      <c r="E74" s="335"/>
      <c r="F74" s="336" t="s">
        <v>19</v>
      </c>
      <c r="G74" s="337">
        <f>COUNT(G60:G71)</f>
        <v>9</v>
      </c>
      <c r="H74" s="337">
        <f>COUNT(H60:H71)</f>
        <v>9</v>
      </c>
    </row>
    <row r="76" spans="1:8" ht="26.25" customHeight="1" x14ac:dyDescent="0.4">
      <c r="A76" s="242" t="s">
        <v>104</v>
      </c>
      <c r="B76" s="338" t="s">
        <v>105</v>
      </c>
      <c r="C76" s="476" t="str">
        <f>B20</f>
        <v>sulfadoxine &amp; Pyrimethamine</v>
      </c>
      <c r="D76" s="476"/>
      <c r="E76" s="339" t="s">
        <v>106</v>
      </c>
      <c r="F76" s="339"/>
      <c r="G76" s="340">
        <f>H72</f>
        <v>0.99527545503113102</v>
      </c>
      <c r="H76" s="341"/>
    </row>
    <row r="77" spans="1:8" ht="18.75" x14ac:dyDescent="0.3">
      <c r="A77" s="241" t="s">
        <v>107</v>
      </c>
      <c r="B77" s="241" t="s">
        <v>108</v>
      </c>
    </row>
    <row r="78" spans="1:8" ht="18.75" x14ac:dyDescent="0.3">
      <c r="A78" s="241"/>
      <c r="B78" s="241"/>
    </row>
    <row r="79" spans="1:8" ht="26.25" customHeight="1" x14ac:dyDescent="0.4">
      <c r="A79" s="242" t="s">
        <v>3</v>
      </c>
      <c r="B79" s="499" t="str">
        <f>B26</f>
        <v>Sulfadoxine</v>
      </c>
      <c r="C79" s="499"/>
    </row>
    <row r="80" spans="1:8" ht="26.25" customHeight="1" x14ac:dyDescent="0.4">
      <c r="A80" s="243" t="s">
        <v>46</v>
      </c>
      <c r="B80" s="499" t="str">
        <f>B27</f>
        <v>S18-1</v>
      </c>
      <c r="C80" s="499"/>
    </row>
    <row r="81" spans="1:12" ht="27" customHeight="1" x14ac:dyDescent="0.4">
      <c r="A81" s="243" t="s">
        <v>5</v>
      </c>
      <c r="B81" s="342">
        <f>B28</f>
        <v>99.9</v>
      </c>
    </row>
    <row r="82" spans="1:12" s="4" customFormat="1" ht="27" customHeight="1" x14ac:dyDescent="0.4">
      <c r="A82" s="243" t="s">
        <v>47</v>
      </c>
      <c r="B82" s="245">
        <v>0</v>
      </c>
      <c r="C82" s="478" t="s">
        <v>48</v>
      </c>
      <c r="D82" s="479"/>
      <c r="E82" s="479"/>
      <c r="F82" s="479"/>
      <c r="G82" s="480"/>
      <c r="I82" s="246"/>
      <c r="J82" s="246"/>
      <c r="K82" s="246"/>
      <c r="L82" s="246"/>
    </row>
    <row r="83" spans="1:12" s="4" customFormat="1" ht="19.5" customHeight="1" x14ac:dyDescent="0.3">
      <c r="A83" s="243" t="s">
        <v>49</v>
      </c>
      <c r="B83" s="247">
        <f>B81-B82</f>
        <v>99.9</v>
      </c>
      <c r="C83" s="248"/>
      <c r="D83" s="248"/>
      <c r="E83" s="248"/>
      <c r="F83" s="248"/>
      <c r="G83" s="249"/>
      <c r="I83" s="246"/>
      <c r="J83" s="246"/>
      <c r="K83" s="246"/>
      <c r="L83" s="246"/>
    </row>
    <row r="84" spans="1:12" s="4" customFormat="1" ht="27" customHeight="1" x14ac:dyDescent="0.4">
      <c r="A84" s="243" t="s">
        <v>50</v>
      </c>
      <c r="B84" s="250">
        <v>1</v>
      </c>
      <c r="C84" s="481" t="s">
        <v>109</v>
      </c>
      <c r="D84" s="482"/>
      <c r="E84" s="482"/>
      <c r="F84" s="482"/>
      <c r="G84" s="482"/>
      <c r="H84" s="483"/>
      <c r="I84" s="246"/>
      <c r="J84" s="246"/>
      <c r="K84" s="246"/>
      <c r="L84" s="246"/>
    </row>
    <row r="85" spans="1:12" s="4" customFormat="1" ht="27" customHeight="1" x14ac:dyDescent="0.4">
      <c r="A85" s="243" t="s">
        <v>52</v>
      </c>
      <c r="B85" s="250">
        <v>1</v>
      </c>
      <c r="C85" s="481" t="s">
        <v>110</v>
      </c>
      <c r="D85" s="482"/>
      <c r="E85" s="482"/>
      <c r="F85" s="482"/>
      <c r="G85" s="482"/>
      <c r="H85" s="483"/>
      <c r="I85" s="246"/>
      <c r="J85" s="246"/>
      <c r="K85" s="246"/>
      <c r="L85" s="246"/>
    </row>
    <row r="86" spans="1:12" s="4" customFormat="1" ht="18.75" x14ac:dyDescent="0.3">
      <c r="A86" s="243"/>
      <c r="B86" s="253"/>
      <c r="C86" s="254"/>
      <c r="D86" s="254"/>
      <c r="E86" s="254"/>
      <c r="F86" s="254"/>
      <c r="G86" s="254"/>
      <c r="H86" s="254"/>
      <c r="I86" s="246"/>
      <c r="J86" s="246"/>
      <c r="K86" s="246"/>
      <c r="L86" s="246"/>
    </row>
    <row r="87" spans="1:12" s="4" customFormat="1" ht="18.75" x14ac:dyDescent="0.3">
      <c r="A87" s="243" t="s">
        <v>54</v>
      </c>
      <c r="B87" s="255">
        <f>B84/B85</f>
        <v>1</v>
      </c>
      <c r="C87" s="233" t="s">
        <v>55</v>
      </c>
      <c r="D87" s="233"/>
      <c r="E87" s="233"/>
      <c r="F87" s="233"/>
      <c r="G87" s="233"/>
      <c r="I87" s="246"/>
      <c r="J87" s="246"/>
      <c r="K87" s="246"/>
      <c r="L87" s="246"/>
    </row>
    <row r="88" spans="1:12" ht="19.5" customHeight="1" x14ac:dyDescent="0.3">
      <c r="A88" s="241"/>
      <c r="B88" s="241"/>
    </row>
    <row r="89" spans="1:12" ht="27" customHeight="1" x14ac:dyDescent="0.4">
      <c r="A89" s="256" t="s">
        <v>56</v>
      </c>
      <c r="B89" s="257">
        <v>10</v>
      </c>
      <c r="D89" s="343" t="s">
        <v>57</v>
      </c>
      <c r="E89" s="344"/>
      <c r="F89" s="484" t="s">
        <v>58</v>
      </c>
      <c r="G89" s="485"/>
    </row>
    <row r="90" spans="1:12" ht="27" customHeight="1" x14ac:dyDescent="0.4">
      <c r="A90" s="258" t="s">
        <v>59</v>
      </c>
      <c r="B90" s="259">
        <v>5</v>
      </c>
      <c r="C90" s="345" t="s">
        <v>60</v>
      </c>
      <c r="D90" s="261" t="s">
        <v>61</v>
      </c>
      <c r="E90" s="262" t="s">
        <v>62</v>
      </c>
      <c r="F90" s="261" t="s">
        <v>61</v>
      </c>
      <c r="G90" s="346" t="s">
        <v>62</v>
      </c>
      <c r="I90" s="264" t="s">
        <v>63</v>
      </c>
    </row>
    <row r="91" spans="1:12" ht="26.25" customHeight="1" x14ac:dyDescent="0.4">
      <c r="A91" s="258" t="s">
        <v>64</v>
      </c>
      <c r="B91" s="259">
        <v>20</v>
      </c>
      <c r="C91" s="347">
        <v>1</v>
      </c>
      <c r="D91" s="266">
        <v>100988632</v>
      </c>
      <c r="E91" s="267">
        <f>IF(ISBLANK(D91),"-",$D$101/$D$98*D91)</f>
        <v>105246977.32610276</v>
      </c>
      <c r="F91" s="266"/>
      <c r="G91" s="268" t="str">
        <f>IF(ISBLANK(F91),"-",$D$101/$F$98*F91)</f>
        <v>-</v>
      </c>
      <c r="I91" s="269"/>
    </row>
    <row r="92" spans="1:12" ht="26.25" customHeight="1" x14ac:dyDescent="0.4">
      <c r="A92" s="258" t="s">
        <v>65</v>
      </c>
      <c r="B92" s="259">
        <v>1</v>
      </c>
      <c r="C92" s="331">
        <v>2</v>
      </c>
      <c r="D92" s="271">
        <v>104148970</v>
      </c>
      <c r="E92" s="272">
        <f>IF(ISBLANK(D92),"-",$D$101/$D$98*D92)</f>
        <v>108540575.97420429</v>
      </c>
      <c r="F92" s="271">
        <v>102291611</v>
      </c>
      <c r="G92" s="273">
        <f>IF(ISBLANK(F92),"-",$D$101/$F$98*F92)</f>
        <v>105235359.71737409</v>
      </c>
      <c r="I92" s="486">
        <f>ABS((F96/D96*D95)-F95)/D95</f>
        <v>1.2644233910174425E-2</v>
      </c>
    </row>
    <row r="93" spans="1:12" ht="26.25" customHeight="1" x14ac:dyDescent="0.4">
      <c r="A93" s="258" t="s">
        <v>66</v>
      </c>
      <c r="B93" s="259">
        <v>1</v>
      </c>
      <c r="C93" s="331">
        <v>3</v>
      </c>
      <c r="D93" s="271">
        <v>99958425</v>
      </c>
      <c r="E93" s="272">
        <f>IF(ISBLANK(D93),"-",$D$101/$D$98*D93)</f>
        <v>104173330.0192436</v>
      </c>
      <c r="F93" s="271">
        <v>101180961</v>
      </c>
      <c r="G93" s="273">
        <f>IF(ISBLANK(F93),"-",$D$101/$F$98*F93)</f>
        <v>104092747.42368266</v>
      </c>
      <c r="I93" s="486"/>
    </row>
    <row r="94" spans="1:12" ht="27" customHeight="1" x14ac:dyDescent="0.4">
      <c r="A94" s="258" t="s">
        <v>67</v>
      </c>
      <c r="B94" s="259">
        <v>1</v>
      </c>
      <c r="C94" s="348">
        <v>4</v>
      </c>
      <c r="D94" s="276"/>
      <c r="E94" s="277" t="str">
        <f>IF(ISBLANK(D94),"-",$D$101/$D$98*D94)</f>
        <v>-</v>
      </c>
      <c r="F94" s="349"/>
      <c r="G94" s="278" t="str">
        <f>IF(ISBLANK(F94),"-",$D$101/$F$98*F94)</f>
        <v>-</v>
      </c>
      <c r="I94" s="279"/>
    </row>
    <row r="95" spans="1:12" ht="27" customHeight="1" x14ac:dyDescent="0.4">
      <c r="A95" s="258" t="s">
        <v>68</v>
      </c>
      <c r="B95" s="259">
        <v>1</v>
      </c>
      <c r="C95" s="350" t="s">
        <v>69</v>
      </c>
      <c r="D95" s="351">
        <f>AVERAGE(D91:D94)</f>
        <v>101698675.66666667</v>
      </c>
      <c r="E95" s="282">
        <f>AVERAGE(E91:E94)</f>
        <v>105986961.10651688</v>
      </c>
      <c r="F95" s="352">
        <f>AVERAGE(F91:F94)</f>
        <v>101736286</v>
      </c>
      <c r="G95" s="353">
        <f>AVERAGE(G91:G94)</f>
        <v>104664053.57052837</v>
      </c>
    </row>
    <row r="96" spans="1:12" ht="26.25" customHeight="1" x14ac:dyDescent="0.4">
      <c r="A96" s="258" t="s">
        <v>70</v>
      </c>
      <c r="B96" s="244">
        <v>1</v>
      </c>
      <c r="C96" s="354" t="s">
        <v>111</v>
      </c>
      <c r="D96" s="355">
        <f>D43</f>
        <v>19.21</v>
      </c>
      <c r="E96" s="274"/>
      <c r="F96" s="286">
        <f>F43</f>
        <v>19.46</v>
      </c>
    </row>
    <row r="97" spans="1:10" ht="26.25" customHeight="1" x14ac:dyDescent="0.4">
      <c r="A97" s="258" t="s">
        <v>72</v>
      </c>
      <c r="B97" s="244">
        <v>1</v>
      </c>
      <c r="C97" s="356" t="s">
        <v>112</v>
      </c>
      <c r="D97" s="357">
        <f>D96*$B$87</f>
        <v>19.21</v>
      </c>
      <c r="E97" s="289"/>
      <c r="F97" s="288">
        <f>F96*$B$87</f>
        <v>19.46</v>
      </c>
    </row>
    <row r="98" spans="1:10" ht="19.5" customHeight="1" x14ac:dyDescent="0.3">
      <c r="A98" s="258" t="s">
        <v>74</v>
      </c>
      <c r="B98" s="358">
        <f>(B97/B96)*(B95/B94)*(B93/B92)*(B91/B90)*B89</f>
        <v>40</v>
      </c>
      <c r="C98" s="356" t="s">
        <v>113</v>
      </c>
      <c r="D98" s="359">
        <f>D97*$B$83/100</f>
        <v>19.190790000000003</v>
      </c>
      <c r="E98" s="292"/>
      <c r="F98" s="291">
        <f>F97*$B$83/100</f>
        <v>19.440540000000002</v>
      </c>
    </row>
    <row r="99" spans="1:10" ht="19.5" customHeight="1" x14ac:dyDescent="0.3">
      <c r="A99" s="472" t="s">
        <v>76</v>
      </c>
      <c r="B99" s="487"/>
      <c r="C99" s="356" t="s">
        <v>114</v>
      </c>
      <c r="D99" s="360">
        <f>D98/$B$98</f>
        <v>0.47976975000000011</v>
      </c>
      <c r="E99" s="292"/>
      <c r="F99" s="295">
        <f>F98/$B$98</f>
        <v>0.48601350000000004</v>
      </c>
      <c r="G99" s="361"/>
      <c r="H99" s="284"/>
    </row>
    <row r="100" spans="1:10" ht="19.5" customHeight="1" x14ac:dyDescent="0.3">
      <c r="A100" s="474"/>
      <c r="B100" s="488"/>
      <c r="C100" s="356" t="s">
        <v>78</v>
      </c>
      <c r="D100" s="362">
        <f>$B$56/$B$116</f>
        <v>0.5</v>
      </c>
      <c r="F100" s="300"/>
      <c r="G100" s="363"/>
      <c r="H100" s="284"/>
    </row>
    <row r="101" spans="1:10" ht="18.75" x14ac:dyDescent="0.3">
      <c r="C101" s="356" t="s">
        <v>79</v>
      </c>
      <c r="D101" s="357">
        <f>D100*$B$98</f>
        <v>20</v>
      </c>
      <c r="F101" s="300"/>
      <c r="G101" s="361"/>
      <c r="H101" s="284"/>
    </row>
    <row r="102" spans="1:10" ht="19.5" customHeight="1" x14ac:dyDescent="0.3">
      <c r="C102" s="364" t="s">
        <v>80</v>
      </c>
      <c r="D102" s="365">
        <f>D101/B34</f>
        <v>20</v>
      </c>
      <c r="F102" s="304"/>
      <c r="G102" s="361"/>
      <c r="H102" s="284"/>
      <c r="J102" s="366"/>
    </row>
    <row r="103" spans="1:10" ht="18.75" x14ac:dyDescent="0.3">
      <c r="C103" s="367" t="s">
        <v>115</v>
      </c>
      <c r="D103" s="368">
        <f>AVERAGE(E91:E94,G91:G94)</f>
        <v>105457798.09212148</v>
      </c>
      <c r="F103" s="304"/>
      <c r="G103" s="369"/>
      <c r="H103" s="284"/>
      <c r="J103" s="370"/>
    </row>
    <row r="104" spans="1:10" ht="18.75" x14ac:dyDescent="0.3">
      <c r="C104" s="334" t="s">
        <v>82</v>
      </c>
      <c r="D104" s="371">
        <f>STDEV(E91:E94,G91:G94)/D103</f>
        <v>1.7167366134376666E-2</v>
      </c>
      <c r="F104" s="304"/>
      <c r="G104" s="361"/>
      <c r="H104" s="284"/>
      <c r="J104" s="370"/>
    </row>
    <row r="105" spans="1:10" ht="19.5" customHeight="1" x14ac:dyDescent="0.3">
      <c r="C105" s="336" t="s">
        <v>19</v>
      </c>
      <c r="D105" s="372">
        <f>COUNT(E91:E94,G91:G94)</f>
        <v>5</v>
      </c>
      <c r="F105" s="304"/>
      <c r="G105" s="361"/>
      <c r="H105" s="284"/>
      <c r="J105" s="370"/>
    </row>
    <row r="106" spans="1:10" ht="19.5" customHeight="1" x14ac:dyDescent="0.3">
      <c r="A106" s="308"/>
      <c r="B106" s="308"/>
      <c r="C106" s="308"/>
      <c r="D106" s="308"/>
      <c r="E106" s="308"/>
    </row>
    <row r="107" spans="1:10" ht="26.25" customHeight="1" x14ac:dyDescent="0.4">
      <c r="A107" s="256" t="s">
        <v>116</v>
      </c>
      <c r="B107" s="257">
        <v>1000</v>
      </c>
      <c r="C107" s="373" t="s">
        <v>117</v>
      </c>
      <c r="D107" s="374" t="s">
        <v>61</v>
      </c>
      <c r="E107" s="375" t="s">
        <v>118</v>
      </c>
      <c r="F107" s="376" t="s">
        <v>119</v>
      </c>
    </row>
    <row r="108" spans="1:10" ht="26.25" customHeight="1" x14ac:dyDescent="0.4">
      <c r="A108" s="258" t="s">
        <v>120</v>
      </c>
      <c r="B108" s="259">
        <v>1</v>
      </c>
      <c r="C108" s="377">
        <v>1</v>
      </c>
      <c r="D108" s="378">
        <v>105748079</v>
      </c>
      <c r="E108" s="409">
        <f t="shared" ref="E108:E113" si="1">IF(ISBLANK(D108),"-",D108/$D$103*$D$100*$B$116)</f>
        <v>501.37628944056343</v>
      </c>
      <c r="F108" s="379">
        <f t="shared" ref="F108:F113" si="2">IF(ISBLANK(D108), "-", E108/$B$56)</f>
        <v>1.0027525788811269</v>
      </c>
    </row>
    <row r="109" spans="1:10" ht="26.25" customHeight="1" x14ac:dyDescent="0.4">
      <c r="A109" s="258" t="s">
        <v>93</v>
      </c>
      <c r="B109" s="259">
        <v>1</v>
      </c>
      <c r="C109" s="377">
        <v>2</v>
      </c>
      <c r="D109" s="378">
        <v>104727419</v>
      </c>
      <c r="E109" s="410">
        <f t="shared" si="1"/>
        <v>496.53710249343783</v>
      </c>
      <c r="F109" s="380">
        <f t="shared" si="2"/>
        <v>0.99307420498687571</v>
      </c>
    </row>
    <row r="110" spans="1:10" ht="26.25" customHeight="1" x14ac:dyDescent="0.4">
      <c r="A110" s="258" t="s">
        <v>94</v>
      </c>
      <c r="B110" s="259">
        <v>1</v>
      </c>
      <c r="C110" s="377">
        <v>3</v>
      </c>
      <c r="D110" s="378">
        <v>109816683</v>
      </c>
      <c r="E110" s="410">
        <f t="shared" si="1"/>
        <v>520.6664892816691</v>
      </c>
      <c r="F110" s="380">
        <f t="shared" si="2"/>
        <v>1.0413329785633383</v>
      </c>
    </row>
    <row r="111" spans="1:10" ht="26.25" customHeight="1" x14ac:dyDescent="0.4">
      <c r="A111" s="258" t="s">
        <v>95</v>
      </c>
      <c r="B111" s="259">
        <v>1</v>
      </c>
      <c r="C111" s="377">
        <v>4</v>
      </c>
      <c r="D111" s="378">
        <v>114075999</v>
      </c>
      <c r="E111" s="410">
        <f t="shared" si="1"/>
        <v>540.86089916437561</v>
      </c>
      <c r="F111" s="380">
        <f t="shared" si="2"/>
        <v>1.0817217983287513</v>
      </c>
    </row>
    <row r="112" spans="1:10" ht="26.25" customHeight="1" x14ac:dyDescent="0.4">
      <c r="A112" s="258" t="s">
        <v>96</v>
      </c>
      <c r="B112" s="259">
        <v>1</v>
      </c>
      <c r="C112" s="377">
        <v>5</v>
      </c>
      <c r="D112" s="378">
        <v>111182297</v>
      </c>
      <c r="E112" s="410">
        <f t="shared" si="1"/>
        <v>527.14118354186542</v>
      </c>
      <c r="F112" s="380">
        <f t="shared" si="2"/>
        <v>1.0542823670837309</v>
      </c>
    </row>
    <row r="113" spans="1:10" ht="26.25" customHeight="1" x14ac:dyDescent="0.4">
      <c r="A113" s="258" t="s">
        <v>98</v>
      </c>
      <c r="B113" s="259">
        <v>1</v>
      </c>
      <c r="C113" s="381">
        <v>6</v>
      </c>
      <c r="D113" s="382">
        <v>108345569</v>
      </c>
      <c r="E113" s="411">
        <f t="shared" si="1"/>
        <v>513.69159493239147</v>
      </c>
      <c r="F113" s="383">
        <f t="shared" si="2"/>
        <v>1.0273831898647829</v>
      </c>
    </row>
    <row r="114" spans="1:10" ht="26.25" customHeight="1" x14ac:dyDescent="0.4">
      <c r="A114" s="258" t="s">
        <v>99</v>
      </c>
      <c r="B114" s="259">
        <v>1</v>
      </c>
      <c r="C114" s="377"/>
      <c r="D114" s="331"/>
      <c r="E114" s="232"/>
      <c r="F114" s="384"/>
    </row>
    <row r="115" spans="1:10" ht="26.25" customHeight="1" x14ac:dyDescent="0.4">
      <c r="A115" s="258" t="s">
        <v>100</v>
      </c>
      <c r="B115" s="259">
        <v>1</v>
      </c>
      <c r="C115" s="377"/>
      <c r="D115" s="385" t="s">
        <v>69</v>
      </c>
      <c r="E115" s="413">
        <f>AVERAGE(E108:E113)</f>
        <v>516.71225980905047</v>
      </c>
      <c r="F115" s="386">
        <f>AVERAGE(F108:F113)</f>
        <v>1.0334245196181011</v>
      </c>
    </row>
    <row r="116" spans="1:10" ht="27" customHeight="1" x14ac:dyDescent="0.4">
      <c r="A116" s="258" t="s">
        <v>101</v>
      </c>
      <c r="B116" s="290">
        <f>(B115/B114)*(B113/B112)*(B111/B110)*(B109/B108)*B107</f>
        <v>1000</v>
      </c>
      <c r="C116" s="387"/>
      <c r="D116" s="350" t="s">
        <v>82</v>
      </c>
      <c r="E116" s="388">
        <f>STDEV(E108:E113)/E115</f>
        <v>3.1905190774356211E-2</v>
      </c>
      <c r="F116" s="388">
        <f>STDEV(F108:F113)/F115</f>
        <v>3.1905190774356197E-2</v>
      </c>
      <c r="I116" s="232"/>
    </row>
    <row r="117" spans="1:10" ht="27" customHeight="1" x14ac:dyDescent="0.4">
      <c r="A117" s="472" t="s">
        <v>76</v>
      </c>
      <c r="B117" s="473"/>
      <c r="C117" s="389"/>
      <c r="D117" s="390" t="s">
        <v>19</v>
      </c>
      <c r="E117" s="391">
        <f>COUNT(E108:E113)</f>
        <v>6</v>
      </c>
      <c r="F117" s="391">
        <f>COUNT(F108:F113)</f>
        <v>6</v>
      </c>
      <c r="I117" s="232"/>
      <c r="J117" s="370"/>
    </row>
    <row r="118" spans="1:10" ht="19.5" customHeight="1" x14ac:dyDescent="0.3">
      <c r="A118" s="474"/>
      <c r="B118" s="475"/>
      <c r="C118" s="232"/>
      <c r="D118" s="232"/>
      <c r="E118" s="232"/>
      <c r="F118" s="331"/>
      <c r="G118" s="232"/>
      <c r="H118" s="232"/>
      <c r="I118" s="232"/>
    </row>
    <row r="119" spans="1:10" ht="18.75" x14ac:dyDescent="0.3">
      <c r="A119" s="400"/>
      <c r="B119" s="254"/>
      <c r="C119" s="232"/>
      <c r="D119" s="232"/>
      <c r="E119" s="232"/>
      <c r="F119" s="331"/>
      <c r="G119" s="232"/>
      <c r="H119" s="232"/>
      <c r="I119" s="232"/>
    </row>
    <row r="120" spans="1:10" ht="26.25" customHeight="1" x14ac:dyDescent="0.4">
      <c r="A120" s="242" t="s">
        <v>104</v>
      </c>
      <c r="B120" s="338" t="s">
        <v>121</v>
      </c>
      <c r="C120" s="476" t="str">
        <f>B20</f>
        <v>sulfadoxine &amp; Pyrimethamine</v>
      </c>
      <c r="D120" s="476"/>
      <c r="E120" s="339" t="s">
        <v>122</v>
      </c>
      <c r="F120" s="339"/>
      <c r="G120" s="340">
        <f>F115</f>
        <v>1.0334245196181011</v>
      </c>
      <c r="H120" s="232"/>
      <c r="I120" s="232"/>
    </row>
    <row r="121" spans="1:10" ht="19.5" customHeight="1" x14ac:dyDescent="0.3">
      <c r="A121" s="392"/>
      <c r="B121" s="392"/>
      <c r="C121" s="393"/>
      <c r="D121" s="393"/>
      <c r="E121" s="393"/>
      <c r="F121" s="393"/>
      <c r="G121" s="393"/>
      <c r="H121" s="393"/>
    </row>
    <row r="122" spans="1:10" ht="18.75" x14ac:dyDescent="0.3">
      <c r="B122" s="477" t="s">
        <v>24</v>
      </c>
      <c r="C122" s="477"/>
      <c r="E122" s="345" t="s">
        <v>25</v>
      </c>
      <c r="F122" s="394"/>
      <c r="G122" s="477" t="s">
        <v>26</v>
      </c>
      <c r="H122" s="477"/>
    </row>
    <row r="123" spans="1:10" ht="69.95" customHeight="1" x14ac:dyDescent="0.3">
      <c r="A123" s="395" t="s">
        <v>27</v>
      </c>
      <c r="B123" s="396"/>
      <c r="C123" s="396"/>
      <c r="E123" s="396"/>
      <c r="F123" s="232"/>
      <c r="G123" s="397"/>
      <c r="H123" s="397"/>
    </row>
    <row r="124" spans="1:10" ht="69.95" customHeight="1" x14ac:dyDescent="0.3">
      <c r="A124" s="395" t="s">
        <v>28</v>
      </c>
      <c r="B124" s="398"/>
      <c r="C124" s="398"/>
      <c r="E124" s="398"/>
      <c r="F124" s="232"/>
      <c r="G124" s="399"/>
      <c r="H124" s="399"/>
    </row>
    <row r="125" spans="1:10" ht="18.75" x14ac:dyDescent="0.3">
      <c r="A125" s="330"/>
      <c r="B125" s="330"/>
      <c r="C125" s="331"/>
      <c r="D125" s="331"/>
      <c r="E125" s="331"/>
      <c r="F125" s="335"/>
      <c r="G125" s="331"/>
      <c r="H125" s="331"/>
      <c r="I125" s="232"/>
    </row>
    <row r="126" spans="1:10" ht="18.75" x14ac:dyDescent="0.3">
      <c r="A126" s="330"/>
      <c r="B126" s="330"/>
      <c r="C126" s="331"/>
      <c r="D126" s="331"/>
      <c r="E126" s="331"/>
      <c r="F126" s="335"/>
      <c r="G126" s="331"/>
      <c r="H126" s="331"/>
      <c r="I126" s="232"/>
    </row>
    <row r="127" spans="1:10" ht="18.75" x14ac:dyDescent="0.3">
      <c r="A127" s="330"/>
      <c r="B127" s="330"/>
      <c r="C127" s="331"/>
      <c r="D127" s="331"/>
      <c r="E127" s="331"/>
      <c r="F127" s="335"/>
      <c r="G127" s="331"/>
      <c r="H127" s="331"/>
      <c r="I127" s="232"/>
    </row>
    <row r="128" spans="1:10" ht="18.75" x14ac:dyDescent="0.3">
      <c r="A128" s="330"/>
      <c r="B128" s="330"/>
      <c r="C128" s="331"/>
      <c r="D128" s="331"/>
      <c r="E128" s="331"/>
      <c r="F128" s="335"/>
      <c r="G128" s="331"/>
      <c r="H128" s="331"/>
      <c r="I128" s="232"/>
    </row>
    <row r="129" spans="1:9" ht="18.75" x14ac:dyDescent="0.3">
      <c r="A129" s="330"/>
      <c r="B129" s="330"/>
      <c r="C129" s="331"/>
      <c r="D129" s="331"/>
      <c r="E129" s="331"/>
      <c r="F129" s="335"/>
      <c r="G129" s="331"/>
      <c r="H129" s="331"/>
      <c r="I129" s="232"/>
    </row>
    <row r="130" spans="1:9" ht="18.75" x14ac:dyDescent="0.3">
      <c r="A130" s="330"/>
      <c r="B130" s="330"/>
      <c r="C130" s="331"/>
      <c r="D130" s="331"/>
      <c r="E130" s="331"/>
      <c r="F130" s="335"/>
      <c r="G130" s="331"/>
      <c r="H130" s="331"/>
      <c r="I130" s="232"/>
    </row>
    <row r="131" spans="1:9" ht="18.75" x14ac:dyDescent="0.3">
      <c r="A131" s="330"/>
      <c r="B131" s="330"/>
      <c r="C131" s="331"/>
      <c r="D131" s="331"/>
      <c r="E131" s="331"/>
      <c r="F131" s="335"/>
      <c r="G131" s="331"/>
      <c r="H131" s="331"/>
      <c r="I131" s="232"/>
    </row>
    <row r="132" spans="1:9" ht="18.75" x14ac:dyDescent="0.3">
      <c r="A132" s="330"/>
      <c r="B132" s="330"/>
      <c r="C132" s="331"/>
      <c r="D132" s="331"/>
      <c r="E132" s="331"/>
      <c r="F132" s="335"/>
      <c r="G132" s="331"/>
      <c r="H132" s="331"/>
      <c r="I132" s="232"/>
    </row>
    <row r="133" spans="1:9" ht="18.75" x14ac:dyDescent="0.3">
      <c r="A133" s="330"/>
      <c r="B133" s="330"/>
      <c r="C133" s="331"/>
      <c r="D133" s="331"/>
      <c r="E133" s="331"/>
      <c r="F133" s="335"/>
      <c r="G133" s="331"/>
      <c r="H133" s="331"/>
      <c r="I133" s="232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SST</vt:lpstr>
      <vt:lpstr>Uniformity</vt:lpstr>
      <vt:lpstr>Pyrimethamine</vt:lpstr>
      <vt:lpstr>Sulfadoxine</vt:lpstr>
      <vt:lpstr>Pyrimethamine!Print_Area</vt:lpstr>
      <vt:lpstr>Sulfadoxine!Print_Area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dcterms:created xsi:type="dcterms:W3CDTF">2005-07-05T10:19:27Z</dcterms:created>
  <dcterms:modified xsi:type="dcterms:W3CDTF">2016-04-20T09:08:36Z</dcterms:modified>
</cp:coreProperties>
</file>