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B83" i="4"/>
  <c r="B81" i="4"/>
  <c r="B80" i="4"/>
  <c r="B79" i="4"/>
  <c r="C76" i="4"/>
  <c r="B68" i="4"/>
  <c r="C56" i="4"/>
  <c r="B55" i="4"/>
  <c r="D48" i="4"/>
  <c r="B45" i="4"/>
  <c r="F42" i="4"/>
  <c r="D42" i="4"/>
  <c r="G41" i="4"/>
  <c r="E41" i="4"/>
  <c r="I39" i="4"/>
  <c r="B34" i="4"/>
  <c r="D44" i="4" s="1"/>
  <c r="B30" i="4"/>
  <c r="C120" i="3"/>
  <c r="B116" i="3"/>
  <c r="D100" i="3" s="1"/>
  <c r="D101" i="3" s="1"/>
  <c r="E94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G41" i="3"/>
  <c r="E41" i="3"/>
  <c r="B34" i="3"/>
  <c r="B30" i="3"/>
  <c r="C46" i="2"/>
  <c r="B57" i="4" s="1"/>
  <c r="C45" i="2"/>
  <c r="C19" i="2"/>
  <c r="D101" i="4" l="1"/>
  <c r="D102" i="4" s="1"/>
  <c r="D97" i="4"/>
  <c r="D98" i="4" s="1"/>
  <c r="F98" i="4"/>
  <c r="F99" i="4" s="1"/>
  <c r="D45" i="4"/>
  <c r="E39" i="4" s="1"/>
  <c r="F44" i="4"/>
  <c r="F45" i="4" s="1"/>
  <c r="F46" i="4" s="1"/>
  <c r="D49" i="4"/>
  <c r="E38" i="4"/>
  <c r="D97" i="3"/>
  <c r="D98" i="3" s="1"/>
  <c r="E91" i="3" s="1"/>
  <c r="D49" i="3"/>
  <c r="D102" i="3"/>
  <c r="F44" i="3"/>
  <c r="F45" i="3" s="1"/>
  <c r="D44" i="3"/>
  <c r="D45" i="3" s="1"/>
  <c r="F98" i="3"/>
  <c r="G93" i="3" s="1"/>
  <c r="I92" i="4"/>
  <c r="E94" i="4"/>
  <c r="G94" i="4"/>
  <c r="G91" i="4"/>
  <c r="E93" i="3"/>
  <c r="G94" i="3"/>
  <c r="I39" i="3"/>
  <c r="D35" i="2"/>
  <c r="D29" i="2"/>
  <c r="D26" i="2"/>
  <c r="D31" i="2"/>
  <c r="D41" i="2"/>
  <c r="D25" i="2"/>
  <c r="D30" i="2"/>
  <c r="D37" i="2"/>
  <c r="D27" i="2"/>
  <c r="D33" i="2"/>
  <c r="D24" i="2"/>
  <c r="D28" i="2"/>
  <c r="D32" i="2"/>
  <c r="D36" i="2"/>
  <c r="D40" i="2"/>
  <c r="D49" i="2"/>
  <c r="B57" i="3"/>
  <c r="D39" i="2"/>
  <c r="D43" i="2"/>
  <c r="C49" i="2"/>
  <c r="D34" i="2"/>
  <c r="D38" i="2"/>
  <c r="D42" i="2"/>
  <c r="B49" i="2"/>
  <c r="D50" i="2"/>
  <c r="C50" i="2"/>
  <c r="B69" i="4"/>
  <c r="F99" i="3" l="1"/>
  <c r="D46" i="4"/>
  <c r="G93" i="4"/>
  <c r="G95" i="4" s="1"/>
  <c r="E93" i="4"/>
  <c r="D99" i="4"/>
  <c r="G92" i="4"/>
  <c r="E91" i="4"/>
  <c r="E40" i="4"/>
  <c r="G38" i="4"/>
  <c r="G39" i="4"/>
  <c r="G40" i="4"/>
  <c r="E42" i="4"/>
  <c r="E92" i="4"/>
  <c r="G39" i="3"/>
  <c r="G40" i="3"/>
  <c r="G38" i="3"/>
  <c r="F46" i="3"/>
  <c r="E39" i="3"/>
  <c r="D46" i="3"/>
  <c r="E40" i="3"/>
  <c r="E38" i="3"/>
  <c r="D99" i="3"/>
  <c r="E92" i="3"/>
  <c r="G92" i="3"/>
  <c r="G91" i="3"/>
  <c r="D105" i="4"/>
  <c r="B69" i="3"/>
  <c r="D103" i="4" l="1"/>
  <c r="E112" i="4" s="1"/>
  <c r="F112" i="4" s="1"/>
  <c r="E95" i="4"/>
  <c r="G42" i="4"/>
  <c r="D52" i="4"/>
  <c r="D50" i="4"/>
  <c r="D103" i="3"/>
  <c r="D104" i="3" s="1"/>
  <c r="E95" i="3"/>
  <c r="G95" i="3"/>
  <c r="E42" i="3"/>
  <c r="G42" i="3"/>
  <c r="D50" i="3"/>
  <c r="D51" i="3" s="1"/>
  <c r="D52" i="3"/>
  <c r="D105" i="3"/>
  <c r="E110" i="4"/>
  <c r="F110" i="4" s="1"/>
  <c r="E113" i="4"/>
  <c r="F113" i="4" s="1"/>
  <c r="E108" i="4"/>
  <c r="E111" i="4"/>
  <c r="F111" i="4" s="1"/>
  <c r="E109" i="4"/>
  <c r="F109" i="4" s="1"/>
  <c r="E110" i="3"/>
  <c r="F110" i="3" s="1"/>
  <c r="E108" i="3"/>
  <c r="E112" i="3" l="1"/>
  <c r="F112" i="3" s="1"/>
  <c r="E113" i="3"/>
  <c r="F113" i="3" s="1"/>
  <c r="D104" i="4"/>
  <c r="D51" i="4"/>
  <c r="G63" i="4"/>
  <c r="H63" i="4" s="1"/>
  <c r="G65" i="4"/>
  <c r="H65" i="4" s="1"/>
  <c r="G68" i="4"/>
  <c r="H68" i="4" s="1"/>
  <c r="G70" i="4"/>
  <c r="H70" i="4" s="1"/>
  <c r="G66" i="4"/>
  <c r="H66" i="4" s="1"/>
  <c r="G60" i="4"/>
  <c r="G62" i="4"/>
  <c r="H62" i="4" s="1"/>
  <c r="G64" i="4"/>
  <c r="H64" i="4" s="1"/>
  <c r="G61" i="4"/>
  <c r="H61" i="4" s="1"/>
  <c r="G69" i="4"/>
  <c r="H69" i="4" s="1"/>
  <c r="G71" i="4"/>
  <c r="H71" i="4" s="1"/>
  <c r="G67" i="4"/>
  <c r="H67" i="4" s="1"/>
  <c r="E111" i="3"/>
  <c r="F111" i="3" s="1"/>
  <c r="E109" i="3"/>
  <c r="F109" i="3" s="1"/>
  <c r="G71" i="3"/>
  <c r="H71" i="3" s="1"/>
  <c r="G64" i="3"/>
  <c r="H64" i="3" s="1"/>
  <c r="G65" i="3"/>
  <c r="H65" i="3" s="1"/>
  <c r="G68" i="3"/>
  <c r="H68" i="3" s="1"/>
  <c r="G67" i="3"/>
  <c r="H67" i="3" s="1"/>
  <c r="G60" i="3"/>
  <c r="G66" i="3"/>
  <c r="H66" i="3" s="1"/>
  <c r="G70" i="3"/>
  <c r="H70" i="3" s="1"/>
  <c r="G62" i="3"/>
  <c r="H62" i="3" s="1"/>
  <c r="G61" i="3"/>
  <c r="H61" i="3" s="1"/>
  <c r="G63" i="3"/>
  <c r="H63" i="3" s="1"/>
  <c r="G69" i="3"/>
  <c r="H69" i="3" s="1"/>
  <c r="E115" i="4"/>
  <c r="E116" i="4" s="1"/>
  <c r="E117" i="4"/>
  <c r="F108" i="4"/>
  <c r="F108" i="3"/>
  <c r="H60" i="4" l="1"/>
  <c r="G72" i="4"/>
  <c r="G73" i="4" s="1"/>
  <c r="G74" i="4"/>
  <c r="E115" i="3"/>
  <c r="E116" i="3" s="1"/>
  <c r="E117" i="3"/>
  <c r="H60" i="3"/>
  <c r="G72" i="3"/>
  <c r="G73" i="3" s="1"/>
  <c r="G74" i="3"/>
  <c r="F117" i="4"/>
  <c r="F115" i="4"/>
  <c r="F115" i="3"/>
  <c r="F117" i="3"/>
  <c r="H72" i="4" l="1"/>
  <c r="G76" i="4" s="1"/>
  <c r="H74" i="4"/>
  <c r="H72" i="3"/>
  <c r="G76" i="3" s="1"/>
  <c r="H74" i="3"/>
  <c r="G120" i="4"/>
  <c r="F116" i="4"/>
  <c r="G120" i="3"/>
  <c r="F116" i="3"/>
  <c r="H73" i="4" l="1"/>
  <c r="H73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<sst xmlns="http://schemas.openxmlformats.org/spreadsheetml/2006/main" count="392" uniqueCount="129">
  <si>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</si>
  <si>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</si>
  <si>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</si>
  <si>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</si>
  <si>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MALODAR TABLETS</t>
  </si>
  <si>
    <t>% age Purity:</t>
  </si>
  <si>
    <t>NDQA201511505</t>
  </si>
  <si>
    <t>Weight (mg):</t>
  </si>
  <si>
    <t>sulfadoxine &amp; Pyrimethamine</t>
  </si>
  <si>
    <t>Standard Conc (mg/mL):</t>
  </si>
  <si>
    <t>sulfadoxine BP 500mg pyrimethamine BP 25mg</t>
  </si>
  <si>
    <t>2015-11-05 13:08:39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</si>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</sst>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21" sqref="C2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2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417" t="s">
        <v>1</v>
      </c>
      <c r="B16" s="418" t="s">
        <v>123</v>
      </c>
    </row>
    <row r="17" spans="1:5" ht="16.5" customHeight="1" x14ac:dyDescent="0.3">
      <c r="A17" s="419" t="s">
        <v>2</v>
      </c>
      <c r="B17" s="3" t="s">
        <v>4</v>
      </c>
      <c r="D17" s="420"/>
      <c r="E17" s="421"/>
    </row>
    <row r="18" spans="1:5" ht="16.5" customHeight="1" x14ac:dyDescent="0.3">
      <c r="A18" s="422" t="s">
        <v>3</v>
      </c>
      <c r="B18" s="423" t="s">
        <v>124</v>
      </c>
      <c r="C18" s="421"/>
      <c r="D18" s="421"/>
      <c r="E18" s="421"/>
    </row>
    <row r="19" spans="1:5" ht="16.5" customHeight="1" x14ac:dyDescent="0.3">
      <c r="A19" s="422" t="s">
        <v>5</v>
      </c>
      <c r="B19" s="424">
        <v>99.7</v>
      </c>
      <c r="C19" s="421"/>
      <c r="D19" s="421"/>
      <c r="E19" s="421"/>
    </row>
    <row r="20" spans="1:5" ht="16.5" customHeight="1" x14ac:dyDescent="0.3">
      <c r="A20" s="419" t="s">
        <v>7</v>
      </c>
      <c r="B20" s="424">
        <v>14.12</v>
      </c>
      <c r="C20" s="421"/>
      <c r="D20" s="421"/>
      <c r="E20" s="421"/>
    </row>
    <row r="21" spans="1:5" ht="16.5" customHeight="1" x14ac:dyDescent="0.3">
      <c r="A21" s="419" t="s">
        <v>9</v>
      </c>
      <c r="B21" s="425">
        <f>B20/25*3/10</f>
        <v>0.16943999999999998</v>
      </c>
      <c r="C21" s="421"/>
      <c r="D21" s="421"/>
      <c r="E21" s="421"/>
    </row>
    <row r="22" spans="1:5" ht="15.75" customHeight="1" x14ac:dyDescent="0.25">
      <c r="A22" s="421"/>
      <c r="B22" s="421"/>
      <c r="C22" s="421"/>
      <c r="D22" s="421"/>
      <c r="E22" s="421"/>
    </row>
    <row r="23" spans="1:5" ht="16.5" customHeight="1" x14ac:dyDescent="0.3">
      <c r="A23" s="426" t="s">
        <v>12</v>
      </c>
      <c r="B23" s="427" t="s">
        <v>13</v>
      </c>
      <c r="C23" s="426" t="s">
        <v>14</v>
      </c>
      <c r="D23" s="426" t="s">
        <v>15</v>
      </c>
      <c r="E23" s="426" t="s">
        <v>16</v>
      </c>
    </row>
    <row r="24" spans="1:5" ht="16.5" customHeight="1" x14ac:dyDescent="0.3">
      <c r="A24" s="428">
        <v>1</v>
      </c>
      <c r="B24" s="429">
        <v>23007662</v>
      </c>
      <c r="C24" s="429">
        <v>2711.4</v>
      </c>
      <c r="D24" s="430">
        <v>1.6</v>
      </c>
      <c r="E24" s="431">
        <v>9.1999999999999993</v>
      </c>
    </row>
    <row r="25" spans="1:5" ht="16.5" customHeight="1" x14ac:dyDescent="0.3">
      <c r="A25" s="428">
        <v>2</v>
      </c>
      <c r="B25" s="429">
        <v>23096797</v>
      </c>
      <c r="C25" s="429">
        <v>2704.8</v>
      </c>
      <c r="D25" s="430">
        <v>1.6</v>
      </c>
      <c r="E25" s="430">
        <v>9.1</v>
      </c>
    </row>
    <row r="26" spans="1:5" ht="16.5" customHeight="1" x14ac:dyDescent="0.3">
      <c r="A26" s="428">
        <v>3</v>
      </c>
      <c r="B26" s="429">
        <v>22982036</v>
      </c>
      <c r="C26" s="429">
        <v>2713.6</v>
      </c>
      <c r="D26" s="430">
        <v>1.6</v>
      </c>
      <c r="E26" s="430">
        <v>9.1</v>
      </c>
    </row>
    <row r="27" spans="1:5" ht="16.5" customHeight="1" x14ac:dyDescent="0.3">
      <c r="A27" s="428">
        <v>4</v>
      </c>
      <c r="B27" s="429">
        <v>22908790</v>
      </c>
      <c r="C27" s="429">
        <v>2740.3</v>
      </c>
      <c r="D27" s="430">
        <v>1.6</v>
      </c>
      <c r="E27" s="430">
        <v>9.1</v>
      </c>
    </row>
    <row r="28" spans="1:5" ht="16.5" customHeight="1" x14ac:dyDescent="0.3">
      <c r="A28" s="428">
        <v>5</v>
      </c>
      <c r="B28" s="429">
        <v>23228055</v>
      </c>
      <c r="C28" s="429">
        <v>2715</v>
      </c>
      <c r="D28" s="430">
        <v>1.6</v>
      </c>
      <c r="E28" s="430">
        <v>9.1</v>
      </c>
    </row>
    <row r="29" spans="1:5" ht="16.5" customHeight="1" x14ac:dyDescent="0.3">
      <c r="A29" s="428">
        <v>6</v>
      </c>
      <c r="B29" s="432">
        <v>23150928</v>
      </c>
      <c r="C29" s="432">
        <v>2731.7</v>
      </c>
      <c r="D29" s="433">
        <v>1.6</v>
      </c>
      <c r="E29" s="433">
        <v>9.1</v>
      </c>
    </row>
    <row r="30" spans="1:5" ht="16.5" customHeight="1" x14ac:dyDescent="0.3">
      <c r="A30" s="434" t="s">
        <v>17</v>
      </c>
      <c r="B30" s="435">
        <f>AVERAGE(B24:B29)</f>
        <v>23062378</v>
      </c>
      <c r="C30" s="436">
        <f>AVERAGE(C24:C29)</f>
        <v>2719.4666666666672</v>
      </c>
      <c r="D30" s="437">
        <f>AVERAGE(D24:D29)</f>
        <v>1.5999999999999999</v>
      </c>
      <c r="E30" s="437">
        <f>AVERAGE(E24:E29)</f>
        <v>9.1166666666666671</v>
      </c>
    </row>
    <row r="31" spans="1:5" ht="16.5" customHeight="1" x14ac:dyDescent="0.3">
      <c r="A31" s="438" t="s">
        <v>18</v>
      </c>
      <c r="B31" s="439">
        <f>(STDEV(B24:B29)/B30)</f>
        <v>5.1126097764911498E-3</v>
      </c>
      <c r="C31" s="440"/>
      <c r="D31" s="440"/>
      <c r="E31" s="441"/>
    </row>
    <row r="32" spans="1:5" s="415" customFormat="1" ht="16.5" customHeight="1" x14ac:dyDescent="0.3">
      <c r="A32" s="442" t="s">
        <v>19</v>
      </c>
      <c r="B32" s="443">
        <f>COUNT(B24:B29)</f>
        <v>6</v>
      </c>
      <c r="C32" s="444"/>
      <c r="D32" s="445"/>
      <c r="E32" s="446"/>
    </row>
    <row r="33" spans="1:5" s="415" customFormat="1" ht="15.75" customHeight="1" x14ac:dyDescent="0.25">
      <c r="A33" s="421"/>
      <c r="B33" s="421"/>
      <c r="C33" s="421"/>
      <c r="D33" s="421"/>
      <c r="E33" s="421"/>
    </row>
    <row r="34" spans="1:5" s="415" customFormat="1" ht="16.5" customHeight="1" x14ac:dyDescent="0.3">
      <c r="A34" s="422" t="s">
        <v>20</v>
      </c>
      <c r="B34" s="447" t="s">
        <v>21</v>
      </c>
      <c r="C34" s="448"/>
      <c r="D34" s="448"/>
      <c r="E34" s="448"/>
    </row>
    <row r="35" spans="1:5" ht="16.5" customHeight="1" x14ac:dyDescent="0.3">
      <c r="A35" s="422"/>
      <c r="B35" s="447" t="s">
        <v>22</v>
      </c>
      <c r="C35" s="448"/>
      <c r="D35" s="448"/>
      <c r="E35" s="448"/>
    </row>
    <row r="36" spans="1:5" ht="16.5" customHeight="1" x14ac:dyDescent="0.3">
      <c r="A36" s="422"/>
      <c r="B36" s="447" t="s">
        <v>23</v>
      </c>
      <c r="C36" s="448"/>
      <c r="D36" s="448"/>
      <c r="E36" s="448"/>
    </row>
    <row r="37" spans="1:5" ht="15.75" customHeight="1" x14ac:dyDescent="0.25">
      <c r="A37" s="421"/>
      <c r="B37" s="421"/>
      <c r="C37" s="421"/>
      <c r="D37" s="421"/>
      <c r="E37" s="421"/>
    </row>
    <row r="38" spans="1:5" ht="16.5" customHeight="1" x14ac:dyDescent="0.3">
      <c r="A38" s="417" t="s">
        <v>1</v>
      </c>
      <c r="B38" s="418" t="s">
        <v>125</v>
      </c>
    </row>
    <row r="39" spans="1:5" ht="16.5" customHeight="1" x14ac:dyDescent="0.3">
      <c r="A39" s="422" t="s">
        <v>3</v>
      </c>
      <c r="B39" s="419" t="s">
        <v>126</v>
      </c>
      <c r="C39" s="421"/>
      <c r="D39" s="421"/>
      <c r="E39" s="421"/>
    </row>
    <row r="40" spans="1:5" ht="16.5" customHeight="1" x14ac:dyDescent="0.3">
      <c r="A40" s="422" t="s">
        <v>5</v>
      </c>
      <c r="B40" s="424">
        <v>99.9</v>
      </c>
      <c r="C40" s="421"/>
      <c r="D40" s="421"/>
      <c r="E40" s="421"/>
    </row>
    <row r="41" spans="1:5" ht="16.5" customHeight="1" x14ac:dyDescent="0.3">
      <c r="A41" s="419" t="s">
        <v>7</v>
      </c>
      <c r="B41" s="424">
        <v>19.21</v>
      </c>
      <c r="C41" s="421"/>
      <c r="D41" s="421"/>
      <c r="E41" s="421"/>
    </row>
    <row r="42" spans="1:5" ht="16.5" customHeight="1" x14ac:dyDescent="0.3">
      <c r="A42" s="419" t="s">
        <v>9</v>
      </c>
      <c r="B42" s="425">
        <f>B41/10</f>
        <v>1.921</v>
      </c>
      <c r="C42" s="421"/>
      <c r="D42" s="421"/>
      <c r="E42" s="421"/>
    </row>
    <row r="43" spans="1:5" ht="15.75" customHeight="1" x14ac:dyDescent="0.25">
      <c r="A43" s="421"/>
      <c r="B43" s="421"/>
      <c r="C43" s="421"/>
      <c r="D43" s="421"/>
      <c r="E43" s="421"/>
    </row>
    <row r="44" spans="1:5" ht="16.5" customHeight="1" x14ac:dyDescent="0.3">
      <c r="A44" s="426" t="s">
        <v>12</v>
      </c>
      <c r="B44" s="427" t="s">
        <v>13</v>
      </c>
      <c r="C44" s="426" t="s">
        <v>14</v>
      </c>
      <c r="D44" s="426" t="s">
        <v>15</v>
      </c>
      <c r="E44" s="426" t="s">
        <v>16</v>
      </c>
    </row>
    <row r="45" spans="1:5" ht="16.5" customHeight="1" x14ac:dyDescent="0.3">
      <c r="A45" s="428">
        <v>1</v>
      </c>
      <c r="B45" s="429">
        <v>380193504</v>
      </c>
      <c r="C45" s="429">
        <v>14242.1</v>
      </c>
      <c r="D45" s="430">
        <v>1</v>
      </c>
      <c r="E45" s="431">
        <v>11.8</v>
      </c>
    </row>
    <row r="46" spans="1:5" ht="16.5" customHeight="1" x14ac:dyDescent="0.3">
      <c r="A46" s="428">
        <v>2</v>
      </c>
      <c r="B46" s="429">
        <v>380069507</v>
      </c>
      <c r="C46" s="429">
        <v>14298.5</v>
      </c>
      <c r="D46" s="430">
        <v>1</v>
      </c>
      <c r="E46" s="430">
        <v>11.8</v>
      </c>
    </row>
    <row r="47" spans="1:5" ht="16.5" customHeight="1" x14ac:dyDescent="0.3">
      <c r="A47" s="428">
        <v>3</v>
      </c>
      <c r="B47" s="429">
        <v>377735420</v>
      </c>
      <c r="C47" s="429">
        <v>14140.6</v>
      </c>
      <c r="D47" s="430">
        <v>1</v>
      </c>
      <c r="E47" s="430">
        <v>11.8</v>
      </c>
    </row>
    <row r="48" spans="1:5" ht="16.5" customHeight="1" x14ac:dyDescent="0.3">
      <c r="A48" s="428">
        <v>4</v>
      </c>
      <c r="B48" s="429">
        <v>377526865</v>
      </c>
      <c r="C48" s="429">
        <v>14119.6</v>
      </c>
      <c r="D48" s="430">
        <v>1</v>
      </c>
      <c r="E48" s="430">
        <v>11.8</v>
      </c>
    </row>
    <row r="49" spans="1:7" ht="16.5" customHeight="1" x14ac:dyDescent="0.3">
      <c r="A49" s="428">
        <v>5</v>
      </c>
      <c r="B49" s="429">
        <v>381271121</v>
      </c>
      <c r="C49" s="429">
        <v>14282.9</v>
      </c>
      <c r="D49" s="430">
        <v>1</v>
      </c>
      <c r="E49" s="430">
        <v>11.8</v>
      </c>
    </row>
    <row r="50" spans="1:7" ht="16.5" customHeight="1" x14ac:dyDescent="0.3">
      <c r="A50" s="428">
        <v>6</v>
      </c>
      <c r="B50" s="432">
        <v>379834923</v>
      </c>
      <c r="C50" s="432">
        <v>14254.1</v>
      </c>
      <c r="D50" s="433">
        <v>1</v>
      </c>
      <c r="E50" s="433">
        <v>11.8</v>
      </c>
    </row>
    <row r="51" spans="1:7" ht="16.5" customHeight="1" x14ac:dyDescent="0.3">
      <c r="A51" s="434" t="s">
        <v>17</v>
      </c>
      <c r="B51" s="435">
        <f>AVERAGE(B45:B50)</f>
        <v>379438556.66666669</v>
      </c>
      <c r="C51" s="436">
        <f>AVERAGE(C45:C50)</f>
        <v>14222.966666666667</v>
      </c>
      <c r="D51" s="437">
        <v>1</v>
      </c>
      <c r="E51" s="437">
        <f>AVERAGE(E45:E50)</f>
        <v>11.799999999999999</v>
      </c>
    </row>
    <row r="52" spans="1:7" ht="16.5" customHeight="1" x14ac:dyDescent="0.3">
      <c r="A52" s="438" t="s">
        <v>18</v>
      </c>
      <c r="B52" s="439">
        <f>(STDEV(B45:B50)/B51)</f>
        <v>3.9159049553934488E-3</v>
      </c>
      <c r="C52" s="440"/>
      <c r="D52" s="440"/>
      <c r="E52" s="441"/>
    </row>
    <row r="53" spans="1:7" s="415" customFormat="1" ht="16.5" customHeight="1" x14ac:dyDescent="0.3">
      <c r="A53" s="442" t="s">
        <v>19</v>
      </c>
      <c r="B53" s="443">
        <f>COUNT(B45:B50)</f>
        <v>6</v>
      </c>
      <c r="C53" s="444"/>
      <c r="D53" s="445"/>
      <c r="E53" s="446"/>
    </row>
    <row r="54" spans="1:7" s="415" customFormat="1" ht="15.75" customHeight="1" x14ac:dyDescent="0.25">
      <c r="A54" s="421"/>
      <c r="B54" s="421"/>
      <c r="C54" s="421"/>
      <c r="D54" s="421"/>
      <c r="E54" s="421"/>
    </row>
    <row r="55" spans="1:7" s="415" customFormat="1" ht="16.5" customHeight="1" x14ac:dyDescent="0.3">
      <c r="A55" s="422" t="s">
        <v>20</v>
      </c>
      <c r="B55" s="447" t="s">
        <v>21</v>
      </c>
      <c r="C55" s="448"/>
      <c r="D55" s="448"/>
      <c r="E55" s="448"/>
    </row>
    <row r="56" spans="1:7" ht="16.5" customHeight="1" x14ac:dyDescent="0.3">
      <c r="A56" s="422"/>
      <c r="B56" s="447" t="s">
        <v>22</v>
      </c>
      <c r="C56" s="448"/>
      <c r="D56" s="448"/>
      <c r="E56" s="448"/>
    </row>
    <row r="57" spans="1:7" ht="16.5" customHeight="1" x14ac:dyDescent="0.3">
      <c r="A57" s="422"/>
      <c r="B57" s="447" t="s">
        <v>23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460" t="s">
        <v>24</v>
      </c>
      <c r="C59" s="460"/>
      <c r="E59" s="453" t="s">
        <v>25</v>
      </c>
      <c r="F59" s="454"/>
      <c r="G59" s="453" t="s">
        <v>26</v>
      </c>
    </row>
    <row r="60" spans="1:7" ht="15" customHeight="1" x14ac:dyDescent="0.3">
      <c r="A60" s="455" t="s">
        <v>27</v>
      </c>
      <c r="B60" s="456"/>
      <c r="C60" s="456"/>
      <c r="E60" s="456"/>
      <c r="G60" s="456"/>
    </row>
    <row r="61" spans="1:7" ht="15" customHeight="1" x14ac:dyDescent="0.3">
      <c r="A61" s="455" t="s">
        <v>28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4" t="s">
        <v>29</v>
      </c>
      <c r="B11" s="465"/>
      <c r="C11" s="465"/>
      <c r="D11" s="465"/>
      <c r="E11" s="465"/>
      <c r="F11" s="466"/>
      <c r="G11" s="44"/>
    </row>
    <row r="12" spans="1:7" ht="16.5" customHeight="1" x14ac:dyDescent="0.3">
      <c r="A12" s="463" t="s">
        <v>30</v>
      </c>
      <c r="B12" s="463"/>
      <c r="C12" s="463"/>
      <c r="D12" s="463"/>
      <c r="E12" s="463"/>
      <c r="F12" s="463"/>
      <c r="G12" s="43"/>
    </row>
    <row r="14" spans="1:7" ht="16.5" customHeight="1" x14ac:dyDescent="0.3">
      <c r="A14" s="468" t="s">
        <v>31</v>
      </c>
      <c r="B14" s="468"/>
      <c r="C14" s="13" t="s">
        <v>4</v>
      </c>
    </row>
    <row r="15" spans="1:7" ht="16.5" customHeight="1" x14ac:dyDescent="0.3">
      <c r="A15" s="468" t="s">
        <v>32</v>
      </c>
      <c r="B15" s="468"/>
      <c r="C15" s="13" t="s">
        <v>6</v>
      </c>
    </row>
    <row r="16" spans="1:7" ht="16.5" customHeight="1" x14ac:dyDescent="0.3">
      <c r="A16" s="468" t="s">
        <v>33</v>
      </c>
      <c r="B16" s="468"/>
      <c r="C16" s="13" t="s">
        <v>8</v>
      </c>
    </row>
    <row r="17" spans="1:5" ht="16.5" customHeight="1" x14ac:dyDescent="0.3">
      <c r="A17" s="468" t="s">
        <v>34</v>
      </c>
      <c r="B17" s="468"/>
      <c r="C17" s="13" t="s">
        <v>10</v>
      </c>
    </row>
    <row r="18" spans="1:5" ht="16.5" customHeight="1" x14ac:dyDescent="0.3">
      <c r="A18" s="468" t="s">
        <v>35</v>
      </c>
      <c r="B18" s="468"/>
      <c r="C18" s="50" t="s">
        <v>11</v>
      </c>
    </row>
    <row r="19" spans="1:5" ht="16.5" customHeight="1" x14ac:dyDescent="0.3">
      <c r="A19" s="468" t="s">
        <v>36</v>
      </c>
      <c r="B19" s="468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3" t="s">
        <v>1</v>
      </c>
      <c r="B21" s="463"/>
      <c r="C21" s="12" t="s">
        <v>37</v>
      </c>
      <c r="D21" s="19"/>
    </row>
    <row r="22" spans="1:5" ht="15.75" customHeight="1" x14ac:dyDescent="0.3">
      <c r="A22" s="467"/>
      <c r="B22" s="467"/>
      <c r="C22" s="10"/>
      <c r="D22" s="467"/>
      <c r="E22" s="467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590.91</v>
      </c>
      <c r="D24" s="40">
        <f t="shared" ref="D24:D43" si="0">(C24-$C$46)/$C$46</f>
        <v>-3.9004361348066979E-2</v>
      </c>
      <c r="E24" s="6"/>
    </row>
    <row r="25" spans="1:5" ht="15.75" customHeight="1" x14ac:dyDescent="0.3">
      <c r="C25" s="48">
        <v>582.15</v>
      </c>
      <c r="D25" s="41">
        <f t="shared" si="0"/>
        <v>-5.325073015988422E-2</v>
      </c>
      <c r="E25" s="6"/>
    </row>
    <row r="26" spans="1:5" ht="15.75" customHeight="1" x14ac:dyDescent="0.3">
      <c r="C26" s="48">
        <v>614.82000000000005</v>
      </c>
      <c r="D26" s="41">
        <f t="shared" si="0"/>
        <v>-1.1958072129166916E-4</v>
      </c>
      <c r="E26" s="6"/>
    </row>
    <row r="27" spans="1:5" ht="15.75" customHeight="1" x14ac:dyDescent="0.3">
      <c r="C27" s="48">
        <v>626.41999999999996</v>
      </c>
      <c r="D27" s="41">
        <f t="shared" si="0"/>
        <v>1.8745473869699068E-2</v>
      </c>
      <c r="E27" s="6"/>
    </row>
    <row r="28" spans="1:5" ht="15.75" customHeight="1" x14ac:dyDescent="0.3">
      <c r="C28" s="48">
        <v>643.76</v>
      </c>
      <c r="D28" s="41">
        <f t="shared" si="0"/>
        <v>4.6945477887611359E-2</v>
      </c>
      <c r="E28" s="6"/>
    </row>
    <row r="29" spans="1:5" ht="15.75" customHeight="1" x14ac:dyDescent="0.3">
      <c r="C29" s="48">
        <v>619.26</v>
      </c>
      <c r="D29" s="41">
        <f t="shared" si="0"/>
        <v>7.1011815531909529E-3</v>
      </c>
      <c r="E29" s="6"/>
    </row>
    <row r="30" spans="1:5" ht="15.75" customHeight="1" x14ac:dyDescent="0.3">
      <c r="C30" s="48">
        <v>595.70000000000005</v>
      </c>
      <c r="D30" s="41">
        <f t="shared" si="0"/>
        <v>-3.1214394840235273E-2</v>
      </c>
      <c r="E30" s="6"/>
    </row>
    <row r="31" spans="1:5" ht="15.75" customHeight="1" x14ac:dyDescent="0.3">
      <c r="C31" s="48">
        <v>618.07000000000005</v>
      </c>
      <c r="D31" s="41">
        <f t="shared" si="0"/>
        <v>5.165887159804915E-3</v>
      </c>
      <c r="E31" s="6"/>
    </row>
    <row r="32" spans="1:5" ht="15.75" customHeight="1" x14ac:dyDescent="0.3">
      <c r="C32" s="48">
        <v>602.63</v>
      </c>
      <c r="D32" s="41">
        <f t="shared" si="0"/>
        <v>-1.9944151019927869E-2</v>
      </c>
      <c r="E32" s="6"/>
    </row>
    <row r="33" spans="1:7" ht="15.75" customHeight="1" x14ac:dyDescent="0.3">
      <c r="C33" s="48">
        <v>630.66</v>
      </c>
      <c r="D33" s="41">
        <f t="shared" si="0"/>
        <v>2.5640976582268164E-2</v>
      </c>
      <c r="E33" s="6"/>
    </row>
    <row r="34" spans="1:7" ht="15.75" customHeight="1" x14ac:dyDescent="0.3">
      <c r="C34" s="48">
        <v>624.29999999999995</v>
      </c>
      <c r="D34" s="41">
        <f t="shared" si="0"/>
        <v>1.5297722513414519E-2</v>
      </c>
      <c r="E34" s="6"/>
    </row>
    <row r="35" spans="1:7" ht="15.75" customHeight="1" x14ac:dyDescent="0.3">
      <c r="C35" s="48">
        <v>594.99</v>
      </c>
      <c r="D35" s="41">
        <f t="shared" si="0"/>
        <v>-3.2369066285028739E-2</v>
      </c>
      <c r="E35" s="6"/>
    </row>
    <row r="36" spans="1:7" ht="15.75" customHeight="1" x14ac:dyDescent="0.3">
      <c r="C36" s="48">
        <v>587.86</v>
      </c>
      <c r="D36" s="41">
        <f t="shared" si="0"/>
        <v>-4.3964569667249855E-2</v>
      </c>
      <c r="E36" s="6"/>
    </row>
    <row r="37" spans="1:7" ht="15.75" customHeight="1" x14ac:dyDescent="0.3">
      <c r="C37" s="48">
        <v>627.94000000000005</v>
      </c>
      <c r="D37" s="41">
        <f t="shared" si="0"/>
        <v>2.1217446540242855E-2</v>
      </c>
      <c r="E37" s="6"/>
    </row>
    <row r="38" spans="1:7" ht="15.75" customHeight="1" x14ac:dyDescent="0.3">
      <c r="C38" s="48">
        <v>621.1</v>
      </c>
      <c r="D38" s="41">
        <f t="shared" si="0"/>
        <v>1.0093569522796456E-2</v>
      </c>
      <c r="E38" s="6"/>
    </row>
    <row r="39" spans="1:7" ht="15.75" customHeight="1" x14ac:dyDescent="0.3">
      <c r="C39" s="48">
        <v>638.62</v>
      </c>
      <c r="D39" s="41">
        <f t="shared" si="0"/>
        <v>3.8586307146430937E-2</v>
      </c>
      <c r="E39" s="6"/>
    </row>
    <row r="40" spans="1:7" ht="15.75" customHeight="1" x14ac:dyDescent="0.3">
      <c r="C40" s="48">
        <v>634</v>
      </c>
      <c r="D40" s="41">
        <f t="shared" si="0"/>
        <v>3.1072811266225936E-2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10453.19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614.89352941176469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1">
        <f>C46</f>
        <v>614.89352941176469</v>
      </c>
      <c r="C49" s="46">
        <f>-IF(C46&lt;=80,10%,IF(C46&lt;250,7.5%,5%))</f>
        <v>-0.05</v>
      </c>
      <c r="D49" s="34">
        <f>IF(C46&lt;=80,C46*0.9,IF(C46&lt;250,C46*0.925,C46*0.95))</f>
        <v>584.14885294117641</v>
      </c>
    </row>
    <row r="50" spans="1:6" ht="17.25" customHeight="1" x14ac:dyDescent="0.3">
      <c r="B50" s="462"/>
      <c r="C50" s="47">
        <f>IF(C46&lt;=80, 10%, IF(C46&lt;250, 7.5%, 5%))</f>
        <v>0.05</v>
      </c>
      <c r="D50" s="34">
        <f>IF(C46&lt;=80, C46*1.1, IF(C46&lt;250, C46*1.075, C46*1.05))</f>
        <v>645.63820588235296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7" zoomScale="60" zoomScaleNormal="60" zoomScaleSheetLayoutView="40" zoomScalePageLayoutView="55" workbookViewId="0">
      <selection activeCell="C120" sqref="C120:D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7" t="s">
        <v>43</v>
      </c>
      <c r="B1" s="497"/>
      <c r="C1" s="497"/>
      <c r="D1" s="497"/>
      <c r="E1" s="497"/>
      <c r="F1" s="497"/>
      <c r="G1" s="497"/>
      <c r="H1" s="497"/>
      <c r="I1" s="497"/>
    </row>
    <row r="2" spans="1:9" ht="18.75" customHeight="1" x14ac:dyDescent="0.25">
      <c r="A2" s="497"/>
      <c r="B2" s="497"/>
      <c r="C2" s="497"/>
      <c r="D2" s="497"/>
      <c r="E2" s="497"/>
      <c r="F2" s="497"/>
      <c r="G2" s="497"/>
      <c r="H2" s="497"/>
      <c r="I2" s="497"/>
    </row>
    <row r="3" spans="1:9" ht="18.75" customHeight="1" x14ac:dyDescent="0.25">
      <c r="A3" s="497"/>
      <c r="B3" s="497"/>
      <c r="C3" s="497"/>
      <c r="D3" s="497"/>
      <c r="E3" s="497"/>
      <c r="F3" s="497"/>
      <c r="G3" s="497"/>
      <c r="H3" s="497"/>
      <c r="I3" s="497"/>
    </row>
    <row r="4" spans="1:9" ht="18.75" customHeight="1" x14ac:dyDescent="0.25">
      <c r="A4" s="497"/>
      <c r="B4" s="497"/>
      <c r="C4" s="497"/>
      <c r="D4" s="497"/>
      <c r="E4" s="497"/>
      <c r="F4" s="497"/>
      <c r="G4" s="497"/>
      <c r="H4" s="497"/>
      <c r="I4" s="497"/>
    </row>
    <row r="5" spans="1:9" ht="18.75" customHeight="1" x14ac:dyDescent="0.25">
      <c r="A5" s="497"/>
      <c r="B5" s="497"/>
      <c r="C5" s="497"/>
      <c r="D5" s="497"/>
      <c r="E5" s="497"/>
      <c r="F5" s="497"/>
      <c r="G5" s="497"/>
      <c r="H5" s="497"/>
      <c r="I5" s="497"/>
    </row>
    <row r="6" spans="1:9" ht="18.75" customHeight="1" x14ac:dyDescent="0.25">
      <c r="A6" s="497"/>
      <c r="B6" s="497"/>
      <c r="C6" s="497"/>
      <c r="D6" s="497"/>
      <c r="E6" s="497"/>
      <c r="F6" s="497"/>
      <c r="G6" s="497"/>
      <c r="H6" s="497"/>
      <c r="I6" s="497"/>
    </row>
    <row r="7" spans="1:9" ht="18.75" customHeight="1" x14ac:dyDescent="0.25">
      <c r="A7" s="497"/>
      <c r="B7" s="497"/>
      <c r="C7" s="497"/>
      <c r="D7" s="497"/>
      <c r="E7" s="497"/>
      <c r="F7" s="497"/>
      <c r="G7" s="497"/>
      <c r="H7" s="497"/>
      <c r="I7" s="497"/>
    </row>
    <row r="8" spans="1:9" x14ac:dyDescent="0.25">
      <c r="A8" s="498" t="s">
        <v>44</v>
      </c>
      <c r="B8" s="498"/>
      <c r="C8" s="498"/>
      <c r="D8" s="498"/>
      <c r="E8" s="498"/>
      <c r="F8" s="498"/>
      <c r="G8" s="498"/>
      <c r="H8" s="498"/>
      <c r="I8" s="498"/>
    </row>
    <row r="9" spans="1:9" x14ac:dyDescent="0.25">
      <c r="A9" s="498"/>
      <c r="B9" s="498"/>
      <c r="C9" s="498"/>
      <c r="D9" s="498"/>
      <c r="E9" s="498"/>
      <c r="F9" s="498"/>
      <c r="G9" s="498"/>
      <c r="H9" s="498"/>
      <c r="I9" s="498"/>
    </row>
    <row r="10" spans="1:9" x14ac:dyDescent="0.25">
      <c r="A10" s="498"/>
      <c r="B10" s="498"/>
      <c r="C10" s="498"/>
      <c r="D10" s="498"/>
      <c r="E10" s="498"/>
      <c r="F10" s="498"/>
      <c r="G10" s="498"/>
      <c r="H10" s="498"/>
      <c r="I10" s="498"/>
    </row>
    <row r="11" spans="1:9" x14ac:dyDescent="0.25">
      <c r="A11" s="498"/>
      <c r="B11" s="498"/>
      <c r="C11" s="498"/>
      <c r="D11" s="498"/>
      <c r="E11" s="498"/>
      <c r="F11" s="498"/>
      <c r="G11" s="498"/>
      <c r="H11" s="498"/>
      <c r="I11" s="498"/>
    </row>
    <row r="12" spans="1:9" x14ac:dyDescent="0.25">
      <c r="A12" s="498"/>
      <c r="B12" s="498"/>
      <c r="C12" s="498"/>
      <c r="D12" s="498"/>
      <c r="E12" s="498"/>
      <c r="F12" s="498"/>
      <c r="G12" s="498"/>
      <c r="H12" s="498"/>
      <c r="I12" s="498"/>
    </row>
    <row r="13" spans="1:9" x14ac:dyDescent="0.25">
      <c r="A13" s="498"/>
      <c r="B13" s="498"/>
      <c r="C13" s="498"/>
      <c r="D13" s="498"/>
      <c r="E13" s="498"/>
      <c r="F13" s="498"/>
      <c r="G13" s="498"/>
      <c r="H13" s="498"/>
      <c r="I13" s="498"/>
    </row>
    <row r="14" spans="1:9" x14ac:dyDescent="0.25">
      <c r="A14" s="498"/>
      <c r="B14" s="498"/>
      <c r="C14" s="498"/>
      <c r="D14" s="498"/>
      <c r="E14" s="498"/>
      <c r="F14" s="498"/>
      <c r="G14" s="498"/>
      <c r="H14" s="498"/>
      <c r="I14" s="498"/>
    </row>
    <row r="15" spans="1:9" ht="19.5" customHeight="1" x14ac:dyDescent="0.3">
      <c r="A15" s="51"/>
    </row>
    <row r="16" spans="1:9" ht="19.5" customHeight="1" x14ac:dyDescent="0.3">
      <c r="A16" s="470" t="s">
        <v>29</v>
      </c>
      <c r="B16" s="471"/>
      <c r="C16" s="471"/>
      <c r="D16" s="471"/>
      <c r="E16" s="471"/>
      <c r="F16" s="471"/>
      <c r="G16" s="471"/>
      <c r="H16" s="472"/>
    </row>
    <row r="17" spans="1:14" ht="20.25" customHeight="1" x14ac:dyDescent="0.25">
      <c r="A17" s="473" t="s">
        <v>45</v>
      </c>
      <c r="B17" s="473"/>
      <c r="C17" s="473"/>
      <c r="D17" s="473"/>
      <c r="E17" s="473"/>
      <c r="F17" s="473"/>
      <c r="G17" s="473"/>
      <c r="H17" s="473"/>
    </row>
    <row r="18" spans="1:14" ht="26.25" customHeight="1" x14ac:dyDescent="0.4">
      <c r="A18" s="53" t="s">
        <v>31</v>
      </c>
      <c r="B18" s="469" t="s">
        <v>4</v>
      </c>
      <c r="C18" s="469"/>
      <c r="D18" s="217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0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474" t="s">
        <v>8</v>
      </c>
      <c r="C20" s="474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474" t="s">
        <v>10</v>
      </c>
      <c r="C21" s="474"/>
      <c r="D21" s="474"/>
      <c r="E21" s="474"/>
      <c r="F21" s="474"/>
      <c r="G21" s="474"/>
      <c r="H21" s="474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469" t="s">
        <v>124</v>
      </c>
      <c r="C26" s="469"/>
    </row>
    <row r="27" spans="1:14" ht="26.25" customHeight="1" x14ac:dyDescent="0.4">
      <c r="A27" s="62" t="s">
        <v>46</v>
      </c>
      <c r="B27" s="475" t="s">
        <v>127</v>
      </c>
      <c r="C27" s="475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6" t="s">
        <v>48</v>
      </c>
      <c r="D29" s="477"/>
      <c r="E29" s="477"/>
      <c r="F29" s="477"/>
      <c r="G29" s="478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79" t="s">
        <v>51</v>
      </c>
      <c r="D31" s="480"/>
      <c r="E31" s="480"/>
      <c r="F31" s="480"/>
      <c r="G31" s="480"/>
      <c r="H31" s="481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79" t="s">
        <v>53</v>
      </c>
      <c r="D32" s="480"/>
      <c r="E32" s="480"/>
      <c r="F32" s="480"/>
      <c r="G32" s="480"/>
      <c r="H32" s="481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2" t="s">
        <v>57</v>
      </c>
      <c r="E36" s="483"/>
      <c r="F36" s="482" t="s">
        <v>58</v>
      </c>
      <c r="G36" s="484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5">
        <v>23277728</v>
      </c>
      <c r="E38" s="85">
        <f>IF(ISBLANK(D38),"-",$D$48/$D$45*D38)</f>
        <v>13779374.004923176</v>
      </c>
      <c r="F38" s="265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0">
        <v>23289179</v>
      </c>
      <c r="E39" s="90">
        <f>IF(ISBLANK(D39),"-",$D$48/$D$45*D39)</f>
        <v>13786152.484838843</v>
      </c>
      <c r="F39" s="270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0">
        <v>23200370</v>
      </c>
      <c r="E40" s="90">
        <f>IF(ISBLANK(D40),"-",$D$48/$D$45*D40)</f>
        <v>13733581.528343294</v>
      </c>
      <c r="F40" s="270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275"/>
      <c r="E41" s="94" t="str">
        <f>IF(ISBLANK(D41),"-",$D$48/$D$45*D41)</f>
        <v>-</v>
      </c>
      <c r="F41" s="275"/>
      <c r="G41" s="95" t="str">
        <f>IF(ISBLANK(F41),"-",$D$48/$F$45*F41)</f>
        <v>-</v>
      </c>
      <c r="I41" s="96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7" t="s">
        <v>69</v>
      </c>
      <c r="D42" s="98">
        <f>AVERAGE(D38:D41)</f>
        <v>23255759</v>
      </c>
      <c r="E42" s="99">
        <f>AVERAGE(E38:E41)</f>
        <v>13766369.339368438</v>
      </c>
      <c r="F42" s="98">
        <f>AVERAGE(F38:F41)</f>
        <v>23081555.333333332</v>
      </c>
      <c r="G42" s="100">
        <f>AVERAGE(G38:G41)</f>
        <v>13702064.60606567</v>
      </c>
      <c r="H42" s="101"/>
    </row>
    <row r="43" spans="1:14" ht="26.25" customHeight="1" x14ac:dyDescent="0.4">
      <c r="A43" s="77" t="s">
        <v>70</v>
      </c>
      <c r="B43" s="78">
        <v>1</v>
      </c>
      <c r="C43" s="102" t="s">
        <v>71</v>
      </c>
      <c r="D43" s="103">
        <v>14.12</v>
      </c>
      <c r="E43" s="92"/>
      <c r="F43" s="103">
        <v>14.08</v>
      </c>
      <c r="H43" s="101"/>
    </row>
    <row r="44" spans="1:14" ht="26.25" customHeight="1" x14ac:dyDescent="0.4">
      <c r="A44" s="77" t="s">
        <v>72</v>
      </c>
      <c r="B44" s="78">
        <v>1</v>
      </c>
      <c r="C44" s="104" t="s">
        <v>73</v>
      </c>
      <c r="D44" s="105">
        <f>D43*$B$34</f>
        <v>14.12</v>
      </c>
      <c r="E44" s="106"/>
      <c r="F44" s="105">
        <f>F43*$B$34</f>
        <v>14.08</v>
      </c>
      <c r="H44" s="101"/>
    </row>
    <row r="45" spans="1:14" ht="19.5" customHeight="1" x14ac:dyDescent="0.3">
      <c r="A45" s="77" t="s">
        <v>74</v>
      </c>
      <c r="B45" s="107">
        <f>(B44/B43)*(B42/B41)*(B40/B39)*(B38/B37)*B36</f>
        <v>83.333333333333343</v>
      </c>
      <c r="C45" s="104" t="s">
        <v>75</v>
      </c>
      <c r="D45" s="108">
        <f>D44*$B$30/100</f>
        <v>14.077639999999999</v>
      </c>
      <c r="E45" s="109"/>
      <c r="F45" s="108">
        <f>F44*$B$30/100</f>
        <v>14.03776</v>
      </c>
      <c r="H45" s="101"/>
    </row>
    <row r="46" spans="1:14" ht="19.5" customHeight="1" x14ac:dyDescent="0.3">
      <c r="A46" s="487" t="s">
        <v>76</v>
      </c>
      <c r="B46" s="488"/>
      <c r="C46" s="104" t="s">
        <v>77</v>
      </c>
      <c r="D46" s="110">
        <f>D45/$B$45</f>
        <v>0.16893167999999997</v>
      </c>
      <c r="E46" s="111"/>
      <c r="F46" s="112">
        <f>F45/$B$45</f>
        <v>0.16845311999999998</v>
      </c>
      <c r="H46" s="101"/>
    </row>
    <row r="47" spans="1:14" ht="27" customHeight="1" x14ac:dyDescent="0.4">
      <c r="A47" s="489"/>
      <c r="B47" s="490"/>
      <c r="C47" s="113" t="s">
        <v>78</v>
      </c>
      <c r="D47" s="114">
        <v>0.1</v>
      </c>
      <c r="E47" s="115"/>
      <c r="F47" s="111"/>
      <c r="H47" s="101"/>
    </row>
    <row r="48" spans="1:14" ht="18.75" x14ac:dyDescent="0.3">
      <c r="C48" s="116" t="s">
        <v>79</v>
      </c>
      <c r="D48" s="108">
        <f>D47*$B$45</f>
        <v>8.3333333333333339</v>
      </c>
      <c r="F48" s="117"/>
      <c r="H48" s="101"/>
    </row>
    <row r="49" spans="1:12" ht="19.5" customHeight="1" x14ac:dyDescent="0.3">
      <c r="C49" s="118" t="s">
        <v>80</v>
      </c>
      <c r="D49" s="119">
        <f>D48/B34</f>
        <v>8.3333333333333339</v>
      </c>
      <c r="F49" s="117"/>
      <c r="H49" s="101"/>
    </row>
    <row r="50" spans="1:12" ht="18.75" x14ac:dyDescent="0.3">
      <c r="C50" s="75" t="s">
        <v>81</v>
      </c>
      <c r="D50" s="120">
        <f>AVERAGE(E38:E41,G38:G41)</f>
        <v>13734216.972717054</v>
      </c>
      <c r="F50" s="121"/>
      <c r="H50" s="101"/>
    </row>
    <row r="51" spans="1:12" ht="18.75" x14ac:dyDescent="0.3">
      <c r="C51" s="77" t="s">
        <v>82</v>
      </c>
      <c r="D51" s="122">
        <f>STDEV(E38:E41,G38:G41)/D50</f>
        <v>8.1317950693827416E-3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83</v>
      </c>
    </row>
    <row r="55" spans="1:12" ht="18.75" x14ac:dyDescent="0.3">
      <c r="A55" s="52" t="s">
        <v>84</v>
      </c>
      <c r="B55" s="127" t="str">
        <f>B21</f>
        <v>sulfadoxine BP 500mg pyrimethamine BP 25mg</v>
      </c>
    </row>
    <row r="56" spans="1:12" ht="26.25" customHeight="1" x14ac:dyDescent="0.4">
      <c r="A56" s="128" t="s">
        <v>85</v>
      </c>
      <c r="B56" s="129">
        <v>25</v>
      </c>
      <c r="C56" s="52" t="str">
        <f>B20</f>
        <v>sulfadoxine &amp; Pyrimethamine</v>
      </c>
      <c r="H56" s="130"/>
    </row>
    <row r="57" spans="1:12" ht="18.75" x14ac:dyDescent="0.3">
      <c r="A57" s="127" t="s">
        <v>86</v>
      </c>
      <c r="B57" s="218">
        <f>Uniformity!C46</f>
        <v>614.89352941176469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87</v>
      </c>
      <c r="B59" s="76">
        <v>250</v>
      </c>
      <c r="C59" s="52"/>
      <c r="D59" s="131" t="s">
        <v>88</v>
      </c>
      <c r="E59" s="132" t="s">
        <v>60</v>
      </c>
      <c r="F59" s="132" t="s">
        <v>61</v>
      </c>
      <c r="G59" s="132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91" t="s">
        <v>92</v>
      </c>
      <c r="D60" s="494">
        <v>582.26</v>
      </c>
      <c r="E60" s="133">
        <v>1</v>
      </c>
      <c r="F60" s="134">
        <v>13028334</v>
      </c>
      <c r="G60" s="219">
        <f>IF(ISBLANK(F60),"-",(F60/$D$50*$D$47*$B$68)*($B$57/$D$60))</f>
        <v>25.044245668070023</v>
      </c>
      <c r="H60" s="135">
        <f t="shared" ref="H60:H71" si="0">IF(ISBLANK(F60),"-",G60/$B$56)</f>
        <v>1.0017698267228008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2"/>
      <c r="D61" s="495"/>
      <c r="E61" s="136">
        <v>2</v>
      </c>
      <c r="F61" s="89">
        <v>13036033</v>
      </c>
      <c r="G61" s="220">
        <f>IF(ISBLANK(F61),"-",(F61/$D$50*$D$47*$B$68)*($B$57/$D$60))</f>
        <v>25.059045384395883</v>
      </c>
      <c r="H61" s="137">
        <f t="shared" si="0"/>
        <v>1.0023618153758354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2"/>
      <c r="D62" s="495"/>
      <c r="E62" s="136">
        <v>3</v>
      </c>
      <c r="F62" s="138">
        <v>12960594</v>
      </c>
      <c r="G62" s="220">
        <f>IF(ISBLANK(F62),"-",(F62/$D$50*$D$47*$B$68)*($B$57/$D$60))</f>
        <v>24.914029694058687</v>
      </c>
      <c r="H62" s="137">
        <f t="shared" si="0"/>
        <v>0.99656118776234748</v>
      </c>
      <c r="L62" s="65"/>
    </row>
    <row r="63" spans="1:12" ht="27" customHeight="1" x14ac:dyDescent="0.4">
      <c r="A63" s="77" t="s">
        <v>95</v>
      </c>
      <c r="B63" s="78">
        <v>1</v>
      </c>
      <c r="C63" s="493"/>
      <c r="D63" s="496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91" t="s">
        <v>97</v>
      </c>
      <c r="D64" s="494">
        <v>595.85</v>
      </c>
      <c r="E64" s="133">
        <v>1</v>
      </c>
      <c r="F64" s="134">
        <v>13468034</v>
      </c>
      <c r="G64" s="221">
        <f>IF(ISBLANK(F64),"-",(F64/$D$50*$D$47*$B$68)*($B$57/$D$64))</f>
        <v>25.298996091031906</v>
      </c>
      <c r="H64" s="141">
        <f t="shared" si="0"/>
        <v>1.0119598436412762</v>
      </c>
    </row>
    <row r="65" spans="1:8" ht="26.25" customHeight="1" x14ac:dyDescent="0.4">
      <c r="A65" s="77" t="s">
        <v>98</v>
      </c>
      <c r="B65" s="78">
        <v>1</v>
      </c>
      <c r="C65" s="492"/>
      <c r="D65" s="495"/>
      <c r="E65" s="136">
        <v>2</v>
      </c>
      <c r="F65" s="89">
        <v>13462815</v>
      </c>
      <c r="G65" s="222">
        <f>IF(ISBLANK(F65),"-",(F65/$D$50*$D$47*$B$68)*($B$57/$D$64))</f>
        <v>25.289192473028042</v>
      </c>
      <c r="H65" s="142">
        <f t="shared" si="0"/>
        <v>1.0115676989211217</v>
      </c>
    </row>
    <row r="66" spans="1:8" ht="26.25" customHeight="1" x14ac:dyDescent="0.4">
      <c r="A66" s="77" t="s">
        <v>99</v>
      </c>
      <c r="B66" s="78">
        <v>1</v>
      </c>
      <c r="C66" s="492"/>
      <c r="D66" s="495"/>
      <c r="E66" s="136">
        <v>3</v>
      </c>
      <c r="F66" s="89">
        <v>13370264</v>
      </c>
      <c r="G66" s="222">
        <f>IF(ISBLANK(F66),"-",(F66/$D$50*$D$47*$B$68)*($B$57/$D$64))</f>
        <v>25.115340269564559</v>
      </c>
      <c r="H66" s="142">
        <f t="shared" si="0"/>
        <v>1.0046136107825823</v>
      </c>
    </row>
    <row r="67" spans="1:8" ht="27" customHeight="1" x14ac:dyDescent="0.4">
      <c r="A67" s="77" t="s">
        <v>100</v>
      </c>
      <c r="B67" s="78">
        <v>1</v>
      </c>
      <c r="C67" s="493"/>
      <c r="D67" s="496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250</v>
      </c>
      <c r="C68" s="491" t="s">
        <v>102</v>
      </c>
      <c r="D68" s="494">
        <v>630.84</v>
      </c>
      <c r="E68" s="133">
        <v>1</v>
      </c>
      <c r="F68" s="134">
        <v>14174182</v>
      </c>
      <c r="G68" s="221">
        <f>IF(ISBLANK(F68),"-",(F68/$D$50*$D$47*$B$68)*($B$57/$D$68))</f>
        <v>25.148657680754425</v>
      </c>
      <c r="H68" s="137">
        <f t="shared" si="0"/>
        <v>1.0059463072301771</v>
      </c>
    </row>
    <row r="69" spans="1:8" ht="27" customHeight="1" x14ac:dyDescent="0.4">
      <c r="A69" s="123" t="s">
        <v>103</v>
      </c>
      <c r="B69" s="145">
        <f>(D47*B68)/B56*B57</f>
        <v>614.89352941176469</v>
      </c>
      <c r="C69" s="492"/>
      <c r="D69" s="495"/>
      <c r="E69" s="136">
        <v>2</v>
      </c>
      <c r="F69" s="89">
        <v>14075170</v>
      </c>
      <c r="G69" s="222">
        <f>IF(ISBLANK(F69),"-",(F69/$D$50*$D$47*$B$68)*($B$57/$D$68))</f>
        <v>24.972984834569239</v>
      </c>
      <c r="H69" s="137">
        <f t="shared" si="0"/>
        <v>0.99891939338276958</v>
      </c>
    </row>
    <row r="70" spans="1:8" ht="26.25" customHeight="1" x14ac:dyDescent="0.4">
      <c r="A70" s="504" t="s">
        <v>76</v>
      </c>
      <c r="B70" s="505"/>
      <c r="C70" s="492"/>
      <c r="D70" s="495"/>
      <c r="E70" s="136">
        <v>3</v>
      </c>
      <c r="F70" s="89">
        <v>13555666</v>
      </c>
      <c r="G70" s="222">
        <f>IF(ISBLANK(F70),"-",(F70/$D$50*$D$47*$B$68)*($B$57/$D$68))</f>
        <v>24.051250637859848</v>
      </c>
      <c r="H70" s="137">
        <f t="shared" si="0"/>
        <v>0.96205002551439389</v>
      </c>
    </row>
    <row r="71" spans="1:8" ht="27" customHeight="1" x14ac:dyDescent="0.4">
      <c r="A71" s="506"/>
      <c r="B71" s="507"/>
      <c r="C71" s="503"/>
      <c r="D71" s="496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69</v>
      </c>
      <c r="G72" s="228">
        <f>AVERAGE(G60:G71)</f>
        <v>24.988193637036957</v>
      </c>
      <c r="H72" s="150">
        <f>AVERAGE(H60:H71)</f>
        <v>0.99952774548147816</v>
      </c>
    </row>
    <row r="73" spans="1:8" ht="26.25" customHeight="1" x14ac:dyDescent="0.4">
      <c r="C73" s="147"/>
      <c r="D73" s="147"/>
      <c r="E73" s="147"/>
      <c r="F73" s="151" t="s">
        <v>82</v>
      </c>
      <c r="G73" s="224">
        <f>STDEV(G60:G71)/G72</f>
        <v>1.4979508961293969E-2</v>
      </c>
      <c r="H73" s="224">
        <f>STDEV(H60:H71)/H72</f>
        <v>1.4979508961293984E-2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1" t="s">
        <v>104</v>
      </c>
      <c r="B76" s="155" t="s">
        <v>105</v>
      </c>
      <c r="C76" s="499" t="str">
        <f>B20</f>
        <v>sulfadoxine &amp; Pyrimethamine</v>
      </c>
      <c r="D76" s="499"/>
      <c r="E76" s="156" t="s">
        <v>106</v>
      </c>
      <c r="F76" s="156"/>
      <c r="G76" s="157">
        <f>H72</f>
        <v>0.99952774548147816</v>
      </c>
      <c r="H76" s="158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85" t="str">
        <f>B26</f>
        <v>Pyrimethamine</v>
      </c>
      <c r="C79" s="485"/>
    </row>
    <row r="80" spans="1:8" ht="26.25" customHeight="1" x14ac:dyDescent="0.4">
      <c r="A80" s="62" t="s">
        <v>46</v>
      </c>
      <c r="B80" s="485" t="str">
        <f>B27</f>
        <v>P21-2</v>
      </c>
      <c r="C80" s="485"/>
    </row>
    <row r="81" spans="1:12" ht="27" customHeight="1" x14ac:dyDescent="0.4">
      <c r="A81" s="62" t="s">
        <v>5</v>
      </c>
      <c r="B81" s="159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6" t="s">
        <v>48</v>
      </c>
      <c r="D82" s="477"/>
      <c r="E82" s="477"/>
      <c r="F82" s="477"/>
      <c r="G82" s="478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79" t="s">
        <v>109</v>
      </c>
      <c r="D84" s="480"/>
      <c r="E84" s="480"/>
      <c r="F84" s="480"/>
      <c r="G84" s="480"/>
      <c r="H84" s="481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79" t="s">
        <v>110</v>
      </c>
      <c r="D85" s="480"/>
      <c r="E85" s="480"/>
      <c r="F85" s="480"/>
      <c r="G85" s="480"/>
      <c r="H85" s="481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6">
        <v>25</v>
      </c>
      <c r="D89" s="160" t="s">
        <v>57</v>
      </c>
      <c r="E89" s="161"/>
      <c r="F89" s="482" t="s">
        <v>58</v>
      </c>
      <c r="G89" s="484"/>
    </row>
    <row r="90" spans="1:12" ht="27" customHeight="1" x14ac:dyDescent="0.4">
      <c r="A90" s="77" t="s">
        <v>59</v>
      </c>
      <c r="B90" s="258">
        <v>3</v>
      </c>
      <c r="C90" s="162" t="s">
        <v>60</v>
      </c>
      <c r="D90" s="80" t="s">
        <v>61</v>
      </c>
      <c r="E90" s="81" t="s">
        <v>62</v>
      </c>
      <c r="F90" s="80" t="s">
        <v>61</v>
      </c>
      <c r="G90" s="163" t="s">
        <v>62</v>
      </c>
      <c r="I90" s="83" t="s">
        <v>63</v>
      </c>
    </row>
    <row r="91" spans="1:12" ht="26.25" customHeight="1" x14ac:dyDescent="0.4">
      <c r="A91" s="77" t="s">
        <v>64</v>
      </c>
      <c r="B91" s="258">
        <v>10</v>
      </c>
      <c r="C91" s="164">
        <v>1</v>
      </c>
      <c r="D91" s="265">
        <v>6139871</v>
      </c>
      <c r="E91" s="85">
        <f>IF(ISBLANK(D91),"-",$D$101/$D$98*D91)</f>
        <v>3634529.0593214966</v>
      </c>
      <c r="F91" s="265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8">
        <v>5</v>
      </c>
      <c r="C92" s="148">
        <v>2</v>
      </c>
      <c r="D92" s="270">
        <v>6161668</v>
      </c>
      <c r="E92" s="90">
        <f>IF(ISBLANK(D92),"-",$D$101/$D$98*D92)</f>
        <v>3647431.9085680083</v>
      </c>
      <c r="F92" s="270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8">
        <v>20</v>
      </c>
      <c r="C93" s="148">
        <v>3</v>
      </c>
      <c r="D93" s="270"/>
      <c r="E93" s="90" t="str">
        <f>IF(ISBLANK(D93),"-",$D$101/$D$98*D93)</f>
        <v>-</v>
      </c>
      <c r="F93" s="270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5">
        <v>4</v>
      </c>
      <c r="D94" s="275"/>
      <c r="E94" s="94" t="str">
        <f>IF(ISBLANK(D94),"-",$D$101/$D$98*D94)</f>
        <v>-</v>
      </c>
      <c r="F94" s="348"/>
      <c r="G94" s="95" t="str">
        <f>IF(ISBLANK(F94),"-",$D$101/$F$98*F94)</f>
        <v>-</v>
      </c>
      <c r="I94" s="96"/>
    </row>
    <row r="95" spans="1:12" ht="27" customHeight="1" x14ac:dyDescent="0.4">
      <c r="A95" s="77" t="s">
        <v>68</v>
      </c>
      <c r="B95" s="78">
        <v>1</v>
      </c>
      <c r="C95" s="166" t="s">
        <v>69</v>
      </c>
      <c r="D95" s="167">
        <f>AVERAGE(D91:D94)</f>
        <v>6150769.5</v>
      </c>
      <c r="E95" s="99">
        <f>AVERAGE(E91:E94)</f>
        <v>3640980.4839447523</v>
      </c>
      <c r="F95" s="168">
        <f>AVERAGE(F91:F94)</f>
        <v>5947036.333333333</v>
      </c>
      <c r="G95" s="169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0" t="s">
        <v>111</v>
      </c>
      <c r="D96" s="171">
        <f>D43</f>
        <v>14.12</v>
      </c>
      <c r="E96" s="92"/>
      <c r="F96" s="103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2" t="s">
        <v>112</v>
      </c>
      <c r="D97" s="173">
        <f>D96*$B$87</f>
        <v>14.12</v>
      </c>
      <c r="E97" s="106"/>
      <c r="F97" s="105">
        <f>F96*$B$87</f>
        <v>14.08</v>
      </c>
    </row>
    <row r="98" spans="1:10" ht="19.5" customHeight="1" x14ac:dyDescent="0.3">
      <c r="A98" s="77" t="s">
        <v>74</v>
      </c>
      <c r="B98" s="174">
        <f>(B97/B96)*(B95/B94)*(B93/B92)*(B91/B90)*B89</f>
        <v>333.33333333333337</v>
      </c>
      <c r="C98" s="172" t="s">
        <v>113</v>
      </c>
      <c r="D98" s="175">
        <f>D97*$B$83/100</f>
        <v>14.077639999999999</v>
      </c>
      <c r="E98" s="109"/>
      <c r="F98" s="108">
        <f>F97*$B$83/100</f>
        <v>14.03776</v>
      </c>
    </row>
    <row r="99" spans="1:10" ht="19.5" customHeight="1" x14ac:dyDescent="0.3">
      <c r="A99" s="487" t="s">
        <v>76</v>
      </c>
      <c r="B99" s="501"/>
      <c r="C99" s="172" t="s">
        <v>114</v>
      </c>
      <c r="D99" s="176">
        <f>D98/$B$98</f>
        <v>4.2232919999999993E-2</v>
      </c>
      <c r="E99" s="109"/>
      <c r="F99" s="112">
        <f>F98/$B$98</f>
        <v>4.2113279999999996E-2</v>
      </c>
      <c r="G99" s="177"/>
      <c r="H99" s="101"/>
    </row>
    <row r="100" spans="1:10" ht="19.5" customHeight="1" x14ac:dyDescent="0.3">
      <c r="A100" s="489"/>
      <c r="B100" s="502"/>
      <c r="C100" s="172" t="s">
        <v>78</v>
      </c>
      <c r="D100" s="178">
        <f>$B$56/$B$116</f>
        <v>2.5000000000000001E-2</v>
      </c>
      <c r="F100" s="117"/>
      <c r="G100" s="179"/>
      <c r="H100" s="101"/>
    </row>
    <row r="101" spans="1:10" ht="18.75" x14ac:dyDescent="0.3">
      <c r="C101" s="172" t="s">
        <v>79</v>
      </c>
      <c r="D101" s="173">
        <f>D100*$B$98</f>
        <v>8.3333333333333339</v>
      </c>
      <c r="F101" s="117"/>
      <c r="G101" s="177"/>
      <c r="H101" s="101"/>
    </row>
    <row r="102" spans="1:10" ht="19.5" customHeight="1" x14ac:dyDescent="0.3">
      <c r="C102" s="180" t="s">
        <v>80</v>
      </c>
      <c r="D102" s="181">
        <f>D101/B34</f>
        <v>8.3333333333333339</v>
      </c>
      <c r="F102" s="121"/>
      <c r="G102" s="177"/>
      <c r="H102" s="101"/>
      <c r="J102" s="182"/>
    </row>
    <row r="103" spans="1:10" ht="18.75" x14ac:dyDescent="0.3">
      <c r="C103" s="183" t="s">
        <v>115</v>
      </c>
      <c r="D103" s="184">
        <f>AVERAGE(E91:E94,G91:G94)</f>
        <v>3574620.576643765</v>
      </c>
      <c r="F103" s="121"/>
      <c r="G103" s="185"/>
      <c r="H103" s="101"/>
      <c r="J103" s="186"/>
    </row>
    <row r="104" spans="1:10" ht="18.75" x14ac:dyDescent="0.3">
      <c r="C104" s="151" t="s">
        <v>82</v>
      </c>
      <c r="D104" s="187">
        <f>STDEV(E91:E94,G91:G94)/D103</f>
        <v>1.7221806852977441E-2</v>
      </c>
      <c r="F104" s="121"/>
      <c r="G104" s="177"/>
      <c r="H104" s="101"/>
      <c r="J104" s="186"/>
    </row>
    <row r="105" spans="1:10" ht="19.5" customHeight="1" x14ac:dyDescent="0.3">
      <c r="C105" s="153" t="s">
        <v>19</v>
      </c>
      <c r="D105" s="188">
        <f>COUNT(E91:E94,G91:G94)</f>
        <v>5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116</v>
      </c>
      <c r="B107" s="76">
        <v>1000</v>
      </c>
      <c r="C107" s="189" t="s">
        <v>117</v>
      </c>
      <c r="D107" s="190" t="s">
        <v>61</v>
      </c>
      <c r="E107" s="191" t="s">
        <v>118</v>
      </c>
      <c r="F107" s="192" t="s">
        <v>119</v>
      </c>
    </row>
    <row r="108" spans="1:10" ht="26.25" customHeight="1" x14ac:dyDescent="0.4">
      <c r="A108" s="77" t="s">
        <v>120</v>
      </c>
      <c r="B108" s="78">
        <v>1</v>
      </c>
      <c r="C108" s="193">
        <v>1</v>
      </c>
      <c r="D108" s="194">
        <v>3175445</v>
      </c>
      <c r="E108" s="225">
        <f t="shared" ref="E108:E113" si="1">IF(ISBLANK(D108),"-",D108/$D$103*$D$100*$B$116)</f>
        <v>22.208266107653913</v>
      </c>
      <c r="F108" s="195">
        <f t="shared" ref="F108:F113" si="2">IF(ISBLANK(D108), "-", E108/$B$56)</f>
        <v>0.88833064430615649</v>
      </c>
    </row>
    <row r="109" spans="1:10" ht="26.25" customHeight="1" x14ac:dyDescent="0.4">
      <c r="A109" s="77" t="s">
        <v>93</v>
      </c>
      <c r="B109" s="78">
        <v>1</v>
      </c>
      <c r="C109" s="193">
        <v>2</v>
      </c>
      <c r="D109" s="194">
        <v>3380603</v>
      </c>
      <c r="E109" s="226">
        <f t="shared" si="1"/>
        <v>23.643089717609072</v>
      </c>
      <c r="F109" s="196">
        <f t="shared" si="2"/>
        <v>0.94572358870436291</v>
      </c>
    </row>
    <row r="110" spans="1:10" ht="26.25" customHeight="1" x14ac:dyDescent="0.4">
      <c r="A110" s="77" t="s">
        <v>94</v>
      </c>
      <c r="B110" s="78">
        <v>1</v>
      </c>
      <c r="C110" s="193">
        <v>3</v>
      </c>
      <c r="D110" s="194">
        <v>3248891</v>
      </c>
      <c r="E110" s="226">
        <f t="shared" si="1"/>
        <v>22.721929015543278</v>
      </c>
      <c r="F110" s="196">
        <f t="shared" si="2"/>
        <v>0.90887716062173107</v>
      </c>
    </row>
    <row r="111" spans="1:10" ht="26.25" customHeight="1" x14ac:dyDescent="0.4">
      <c r="A111" s="77" t="s">
        <v>95</v>
      </c>
      <c r="B111" s="78">
        <v>1</v>
      </c>
      <c r="C111" s="193">
        <v>4</v>
      </c>
      <c r="D111" s="194">
        <v>3386724</v>
      </c>
      <c r="E111" s="226">
        <f t="shared" si="1"/>
        <v>23.685898456807809</v>
      </c>
      <c r="F111" s="196">
        <f t="shared" si="2"/>
        <v>0.94743593827231232</v>
      </c>
    </row>
    <row r="112" spans="1:10" ht="26.25" customHeight="1" x14ac:dyDescent="0.4">
      <c r="A112" s="77" t="s">
        <v>96</v>
      </c>
      <c r="B112" s="78">
        <v>1</v>
      </c>
      <c r="C112" s="193">
        <v>5</v>
      </c>
      <c r="D112" s="194">
        <v>3176375</v>
      </c>
      <c r="E112" s="226">
        <f t="shared" si="1"/>
        <v>22.214770294462411</v>
      </c>
      <c r="F112" s="196">
        <f t="shared" si="2"/>
        <v>0.88859081177849641</v>
      </c>
    </row>
    <row r="113" spans="1:10" ht="26.25" customHeight="1" x14ac:dyDescent="0.4">
      <c r="A113" s="77" t="s">
        <v>98</v>
      </c>
      <c r="B113" s="78">
        <v>1</v>
      </c>
      <c r="C113" s="197">
        <v>6</v>
      </c>
      <c r="D113" s="198">
        <v>3075448</v>
      </c>
      <c r="E113" s="227">
        <f t="shared" si="1"/>
        <v>21.50891216325649</v>
      </c>
      <c r="F113" s="199">
        <f t="shared" si="2"/>
        <v>0.86035648653025953</v>
      </c>
    </row>
    <row r="114" spans="1:10" ht="26.25" customHeight="1" x14ac:dyDescent="0.4">
      <c r="A114" s="77" t="s">
        <v>99</v>
      </c>
      <c r="B114" s="78">
        <v>1</v>
      </c>
      <c r="C114" s="193"/>
      <c r="D114" s="148"/>
      <c r="E114" s="51"/>
      <c r="F114" s="200"/>
    </row>
    <row r="115" spans="1:10" ht="26.25" customHeight="1" x14ac:dyDescent="0.4">
      <c r="A115" s="77" t="s">
        <v>100</v>
      </c>
      <c r="B115" s="78">
        <v>1</v>
      </c>
      <c r="C115" s="193"/>
      <c r="D115" s="201" t="s">
        <v>69</v>
      </c>
      <c r="E115" s="229">
        <f>AVERAGE(E108:E113)</f>
        <v>22.663810959222161</v>
      </c>
      <c r="F115" s="202">
        <f>AVERAGE(F108:F113)</f>
        <v>0.90655243836888655</v>
      </c>
    </row>
    <row r="116" spans="1:10" ht="27" customHeight="1" x14ac:dyDescent="0.4">
      <c r="A116" s="77" t="s">
        <v>101</v>
      </c>
      <c r="B116" s="107">
        <f>(B115/B114)*(B113/B112)*(B111/B110)*(B109/B108)*B107</f>
        <v>1000</v>
      </c>
      <c r="C116" s="203"/>
      <c r="D116" s="166" t="s">
        <v>82</v>
      </c>
      <c r="E116" s="204">
        <f>STDEV(E108:E113)/E115</f>
        <v>3.8211701685693884E-2</v>
      </c>
      <c r="F116" s="204">
        <f>STDEV(F108:F113)/F115</f>
        <v>3.8211701685693884E-2</v>
      </c>
      <c r="I116" s="51"/>
    </row>
    <row r="117" spans="1:10" ht="27" customHeight="1" x14ac:dyDescent="0.4">
      <c r="A117" s="487" t="s">
        <v>76</v>
      </c>
      <c r="B117" s="488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1"/>
      <c r="J117" s="186"/>
    </row>
    <row r="118" spans="1:10" ht="19.5" customHeight="1" x14ac:dyDescent="0.3">
      <c r="A118" s="489"/>
      <c r="B118" s="490"/>
      <c r="C118" s="51"/>
      <c r="D118" s="51"/>
      <c r="E118" s="51"/>
      <c r="F118" s="148"/>
      <c r="G118" s="51"/>
      <c r="H118" s="51"/>
      <c r="I118" s="51"/>
    </row>
    <row r="119" spans="1:10" ht="18.75" x14ac:dyDescent="0.3">
      <c r="A119" s="216"/>
      <c r="B119" s="73"/>
      <c r="C119" s="51"/>
      <c r="D119" s="51"/>
      <c r="E119" s="51"/>
      <c r="F119" s="148"/>
      <c r="G119" s="51"/>
      <c r="H119" s="51"/>
      <c r="I119" s="51"/>
    </row>
    <row r="120" spans="1:10" ht="26.25" customHeight="1" x14ac:dyDescent="0.4">
      <c r="A120" s="61" t="s">
        <v>104</v>
      </c>
      <c r="B120" s="155" t="s">
        <v>121</v>
      </c>
      <c r="C120" s="499" t="str">
        <f>B20</f>
        <v>sulfadoxine &amp; Pyrimethamine</v>
      </c>
      <c r="D120" s="499"/>
      <c r="E120" s="156" t="s">
        <v>122</v>
      </c>
      <c r="F120" s="156"/>
      <c r="G120" s="157">
        <f>F115</f>
        <v>0.90655243836888655</v>
      </c>
      <c r="H120" s="51"/>
      <c r="I120" s="51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500" t="s">
        <v>24</v>
      </c>
      <c r="C122" s="500"/>
      <c r="E122" s="162" t="s">
        <v>25</v>
      </c>
      <c r="F122" s="210"/>
      <c r="G122" s="500" t="s">
        <v>26</v>
      </c>
      <c r="H122" s="500"/>
    </row>
    <row r="123" spans="1:10" ht="69.95" customHeight="1" x14ac:dyDescent="0.3">
      <c r="A123" s="211" t="s">
        <v>27</v>
      </c>
      <c r="B123" s="212"/>
      <c r="C123" s="212"/>
      <c r="E123" s="212"/>
      <c r="F123" s="51"/>
      <c r="G123" s="213"/>
      <c r="H123" s="213"/>
    </row>
    <row r="124" spans="1:10" ht="69.95" customHeight="1" x14ac:dyDescent="0.3">
      <c r="A124" s="211" t="s">
        <v>28</v>
      </c>
      <c r="B124" s="214"/>
      <c r="C124" s="214"/>
      <c r="E124" s="214"/>
      <c r="F124" s="51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1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1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1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1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1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1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1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1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0" zoomScale="60" zoomScaleNormal="60" zoomScaleSheetLayoutView="40" zoomScalePageLayoutView="55" workbookViewId="0">
      <selection activeCell="H107" sqref="H10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7" t="s">
        <v>43</v>
      </c>
      <c r="B1" s="497"/>
      <c r="C1" s="497"/>
      <c r="D1" s="497"/>
      <c r="E1" s="497"/>
      <c r="F1" s="497"/>
      <c r="G1" s="497"/>
      <c r="H1" s="497"/>
      <c r="I1" s="497"/>
    </row>
    <row r="2" spans="1:9" ht="18.75" customHeight="1" x14ac:dyDescent="0.25">
      <c r="A2" s="497"/>
      <c r="B2" s="497"/>
      <c r="C2" s="497"/>
      <c r="D2" s="497"/>
      <c r="E2" s="497"/>
      <c r="F2" s="497"/>
      <c r="G2" s="497"/>
      <c r="H2" s="497"/>
      <c r="I2" s="497"/>
    </row>
    <row r="3" spans="1:9" ht="18.75" customHeight="1" x14ac:dyDescent="0.25">
      <c r="A3" s="497"/>
      <c r="B3" s="497"/>
      <c r="C3" s="497"/>
      <c r="D3" s="497"/>
      <c r="E3" s="497"/>
      <c r="F3" s="497"/>
      <c r="G3" s="497"/>
      <c r="H3" s="497"/>
      <c r="I3" s="497"/>
    </row>
    <row r="4" spans="1:9" ht="18.75" customHeight="1" x14ac:dyDescent="0.25">
      <c r="A4" s="497"/>
      <c r="B4" s="497"/>
      <c r="C4" s="497"/>
      <c r="D4" s="497"/>
      <c r="E4" s="497"/>
      <c r="F4" s="497"/>
      <c r="G4" s="497"/>
      <c r="H4" s="497"/>
      <c r="I4" s="497"/>
    </row>
    <row r="5" spans="1:9" ht="18.75" customHeight="1" x14ac:dyDescent="0.25">
      <c r="A5" s="497"/>
      <c r="B5" s="497"/>
      <c r="C5" s="497"/>
      <c r="D5" s="497"/>
      <c r="E5" s="497"/>
      <c r="F5" s="497"/>
      <c r="G5" s="497"/>
      <c r="H5" s="497"/>
      <c r="I5" s="497"/>
    </row>
    <row r="6" spans="1:9" ht="18.75" customHeight="1" x14ac:dyDescent="0.25">
      <c r="A6" s="497"/>
      <c r="B6" s="497"/>
      <c r="C6" s="497"/>
      <c r="D6" s="497"/>
      <c r="E6" s="497"/>
      <c r="F6" s="497"/>
      <c r="G6" s="497"/>
      <c r="H6" s="497"/>
      <c r="I6" s="497"/>
    </row>
    <row r="7" spans="1:9" ht="18.75" customHeight="1" x14ac:dyDescent="0.25">
      <c r="A7" s="497"/>
      <c r="B7" s="497"/>
      <c r="C7" s="497"/>
      <c r="D7" s="497"/>
      <c r="E7" s="497"/>
      <c r="F7" s="497"/>
      <c r="G7" s="497"/>
      <c r="H7" s="497"/>
      <c r="I7" s="497"/>
    </row>
    <row r="8" spans="1:9" x14ac:dyDescent="0.25">
      <c r="A8" s="498" t="s">
        <v>44</v>
      </c>
      <c r="B8" s="498"/>
      <c r="C8" s="498"/>
      <c r="D8" s="498"/>
      <c r="E8" s="498"/>
      <c r="F8" s="498"/>
      <c r="G8" s="498"/>
      <c r="H8" s="498"/>
      <c r="I8" s="498"/>
    </row>
    <row r="9" spans="1:9" x14ac:dyDescent="0.25">
      <c r="A9" s="498"/>
      <c r="B9" s="498"/>
      <c r="C9" s="498"/>
      <c r="D9" s="498"/>
      <c r="E9" s="498"/>
      <c r="F9" s="498"/>
      <c r="G9" s="498"/>
      <c r="H9" s="498"/>
      <c r="I9" s="498"/>
    </row>
    <row r="10" spans="1:9" x14ac:dyDescent="0.25">
      <c r="A10" s="498"/>
      <c r="B10" s="498"/>
      <c r="C10" s="498"/>
      <c r="D10" s="498"/>
      <c r="E10" s="498"/>
      <c r="F10" s="498"/>
      <c r="G10" s="498"/>
      <c r="H10" s="498"/>
      <c r="I10" s="498"/>
    </row>
    <row r="11" spans="1:9" x14ac:dyDescent="0.25">
      <c r="A11" s="498"/>
      <c r="B11" s="498"/>
      <c r="C11" s="498"/>
      <c r="D11" s="498"/>
      <c r="E11" s="498"/>
      <c r="F11" s="498"/>
      <c r="G11" s="498"/>
      <c r="H11" s="498"/>
      <c r="I11" s="498"/>
    </row>
    <row r="12" spans="1:9" x14ac:dyDescent="0.25">
      <c r="A12" s="498"/>
      <c r="B12" s="498"/>
      <c r="C12" s="498"/>
      <c r="D12" s="498"/>
      <c r="E12" s="498"/>
      <c r="F12" s="498"/>
      <c r="G12" s="498"/>
      <c r="H12" s="498"/>
      <c r="I12" s="498"/>
    </row>
    <row r="13" spans="1:9" x14ac:dyDescent="0.25">
      <c r="A13" s="498"/>
      <c r="B13" s="498"/>
      <c r="C13" s="498"/>
      <c r="D13" s="498"/>
      <c r="E13" s="498"/>
      <c r="F13" s="498"/>
      <c r="G13" s="498"/>
      <c r="H13" s="498"/>
      <c r="I13" s="498"/>
    </row>
    <row r="14" spans="1:9" x14ac:dyDescent="0.25">
      <c r="A14" s="498"/>
      <c r="B14" s="498"/>
      <c r="C14" s="498"/>
      <c r="D14" s="498"/>
      <c r="E14" s="498"/>
      <c r="F14" s="498"/>
      <c r="G14" s="498"/>
      <c r="H14" s="498"/>
      <c r="I14" s="498"/>
    </row>
    <row r="15" spans="1:9" ht="19.5" customHeight="1" x14ac:dyDescent="0.3">
      <c r="A15" s="231"/>
    </row>
    <row r="16" spans="1:9" ht="19.5" customHeight="1" x14ac:dyDescent="0.3">
      <c r="A16" s="470" t="s">
        <v>29</v>
      </c>
      <c r="B16" s="471"/>
      <c r="C16" s="471"/>
      <c r="D16" s="471"/>
      <c r="E16" s="471"/>
      <c r="F16" s="471"/>
      <c r="G16" s="471"/>
      <c r="H16" s="472"/>
    </row>
    <row r="17" spans="1:14" ht="20.25" customHeight="1" x14ac:dyDescent="0.25">
      <c r="A17" s="473" t="s">
        <v>45</v>
      </c>
      <c r="B17" s="473"/>
      <c r="C17" s="473"/>
      <c r="D17" s="473"/>
      <c r="E17" s="473"/>
      <c r="F17" s="473"/>
      <c r="G17" s="473"/>
      <c r="H17" s="473"/>
    </row>
    <row r="18" spans="1:14" ht="26.25" customHeight="1" x14ac:dyDescent="0.4">
      <c r="A18" s="233" t="s">
        <v>31</v>
      </c>
      <c r="B18" s="469" t="s">
        <v>4</v>
      </c>
      <c r="C18" s="469"/>
      <c r="D18" s="400"/>
      <c r="E18" s="234"/>
      <c r="F18" s="235"/>
      <c r="G18" s="235"/>
      <c r="H18" s="235"/>
    </row>
    <row r="19" spans="1:14" ht="26.25" customHeight="1" x14ac:dyDescent="0.4">
      <c r="A19" s="233" t="s">
        <v>32</v>
      </c>
      <c r="B19" s="236" t="s">
        <v>6</v>
      </c>
      <c r="C19" s="413">
        <v>29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33</v>
      </c>
      <c r="B20" s="474" t="s">
        <v>8</v>
      </c>
      <c r="C20" s="474"/>
      <c r="D20" s="235"/>
      <c r="E20" s="235"/>
      <c r="F20" s="235"/>
      <c r="G20" s="235"/>
      <c r="H20" s="235"/>
    </row>
    <row r="21" spans="1:14" ht="26.25" customHeight="1" x14ac:dyDescent="0.4">
      <c r="A21" s="233" t="s">
        <v>34</v>
      </c>
      <c r="B21" s="474" t="s">
        <v>10</v>
      </c>
      <c r="C21" s="474"/>
      <c r="D21" s="474"/>
      <c r="E21" s="474"/>
      <c r="F21" s="474"/>
      <c r="G21" s="474"/>
      <c r="H21" s="474"/>
      <c r="I21" s="237"/>
    </row>
    <row r="22" spans="1:14" ht="26.25" customHeight="1" x14ac:dyDescent="0.4">
      <c r="A22" s="233" t="s">
        <v>35</v>
      </c>
      <c r="B22" s="238">
        <v>42437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36</v>
      </c>
      <c r="B23" s="238">
        <v>42453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3</v>
      </c>
      <c r="B26" s="469" t="s">
        <v>126</v>
      </c>
      <c r="C26" s="469"/>
    </row>
    <row r="27" spans="1:14" ht="26.25" customHeight="1" x14ac:dyDescent="0.4">
      <c r="A27" s="242" t="s">
        <v>46</v>
      </c>
      <c r="B27" s="475" t="s">
        <v>128</v>
      </c>
      <c r="C27" s="475"/>
    </row>
    <row r="28" spans="1:14" ht="27" customHeight="1" x14ac:dyDescent="0.4">
      <c r="A28" s="242" t="s">
        <v>5</v>
      </c>
      <c r="B28" s="243">
        <v>99.9</v>
      </c>
    </row>
    <row r="29" spans="1:14" s="4" customFormat="1" ht="27" customHeight="1" x14ac:dyDescent="0.4">
      <c r="A29" s="242" t="s">
        <v>47</v>
      </c>
      <c r="B29" s="244">
        <v>0</v>
      </c>
      <c r="C29" s="476" t="s">
        <v>48</v>
      </c>
      <c r="D29" s="477"/>
      <c r="E29" s="477"/>
      <c r="F29" s="477"/>
      <c r="G29" s="478"/>
      <c r="I29" s="245"/>
      <c r="J29" s="245"/>
      <c r="K29" s="245"/>
      <c r="L29" s="245"/>
    </row>
    <row r="30" spans="1:14" s="4" customFormat="1" ht="19.5" customHeight="1" x14ac:dyDescent="0.3">
      <c r="A30" s="242" t="s">
        <v>49</v>
      </c>
      <c r="B30" s="246">
        <f>B28-B29</f>
        <v>99.9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4" customFormat="1" ht="27" customHeight="1" x14ac:dyDescent="0.4">
      <c r="A31" s="242" t="s">
        <v>50</v>
      </c>
      <c r="B31" s="249">
        <v>1</v>
      </c>
      <c r="C31" s="479" t="s">
        <v>51</v>
      </c>
      <c r="D31" s="480"/>
      <c r="E31" s="480"/>
      <c r="F31" s="480"/>
      <c r="G31" s="480"/>
      <c r="H31" s="481"/>
      <c r="I31" s="245"/>
      <c r="J31" s="245"/>
      <c r="K31" s="245"/>
      <c r="L31" s="245"/>
    </row>
    <row r="32" spans="1:14" s="4" customFormat="1" ht="27" customHeight="1" x14ac:dyDescent="0.4">
      <c r="A32" s="242" t="s">
        <v>52</v>
      </c>
      <c r="B32" s="249">
        <v>1</v>
      </c>
      <c r="C32" s="479" t="s">
        <v>53</v>
      </c>
      <c r="D32" s="480"/>
      <c r="E32" s="480"/>
      <c r="F32" s="480"/>
      <c r="G32" s="480"/>
      <c r="H32" s="481"/>
      <c r="I32" s="245"/>
      <c r="J32" s="245"/>
      <c r="K32" s="245"/>
      <c r="L32" s="250"/>
      <c r="M32" s="250"/>
      <c r="N32" s="251"/>
    </row>
    <row r="33" spans="1:14" s="4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4" customFormat="1" ht="18.75" x14ac:dyDescent="0.3">
      <c r="A34" s="242" t="s">
        <v>54</v>
      </c>
      <c r="B34" s="254">
        <f>B31/B32</f>
        <v>1</v>
      </c>
      <c r="C34" s="232" t="s">
        <v>55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4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4" customFormat="1" ht="27" customHeight="1" x14ac:dyDescent="0.4">
      <c r="A36" s="255" t="s">
        <v>56</v>
      </c>
      <c r="B36" s="256">
        <v>10</v>
      </c>
      <c r="C36" s="232"/>
      <c r="D36" s="482" t="s">
        <v>57</v>
      </c>
      <c r="E36" s="483"/>
      <c r="F36" s="482" t="s">
        <v>58</v>
      </c>
      <c r="G36" s="484"/>
      <c r="J36" s="245"/>
      <c r="K36" s="245"/>
      <c r="L36" s="250"/>
      <c r="M36" s="250"/>
      <c r="N36" s="251"/>
    </row>
    <row r="37" spans="1:14" s="4" customFormat="1" ht="27" customHeight="1" x14ac:dyDescent="0.4">
      <c r="A37" s="257" t="s">
        <v>59</v>
      </c>
      <c r="B37" s="258">
        <v>1</v>
      </c>
      <c r="C37" s="259" t="s">
        <v>60</v>
      </c>
      <c r="D37" s="260" t="s">
        <v>61</v>
      </c>
      <c r="E37" s="261" t="s">
        <v>62</v>
      </c>
      <c r="F37" s="260" t="s">
        <v>61</v>
      </c>
      <c r="G37" s="262" t="s">
        <v>62</v>
      </c>
      <c r="I37" s="263" t="s">
        <v>63</v>
      </c>
      <c r="J37" s="245"/>
      <c r="K37" s="245"/>
      <c r="L37" s="250"/>
      <c r="M37" s="250"/>
      <c r="N37" s="251"/>
    </row>
    <row r="38" spans="1:14" s="4" customFormat="1" ht="26.25" customHeight="1" x14ac:dyDescent="0.4">
      <c r="A38" s="257" t="s">
        <v>64</v>
      </c>
      <c r="B38" s="258">
        <v>1</v>
      </c>
      <c r="C38" s="264">
        <v>1</v>
      </c>
      <c r="D38" s="265">
        <v>377954127</v>
      </c>
      <c r="E38" s="266">
        <f>IF(ISBLANK(D38),"-",$D$48/$D$45*D38)</f>
        <v>393891160.29095203</v>
      </c>
      <c r="F38" s="265">
        <v>380856483</v>
      </c>
      <c r="G38" s="267">
        <f>IF(ISBLANK(F38),"-",$D$48/$F$45*F38)</f>
        <v>391816773.60814047</v>
      </c>
      <c r="I38" s="268"/>
      <c r="J38" s="245"/>
      <c r="K38" s="245"/>
      <c r="L38" s="250"/>
      <c r="M38" s="250"/>
      <c r="N38" s="251"/>
    </row>
    <row r="39" spans="1:14" s="4" customFormat="1" ht="26.25" customHeight="1" x14ac:dyDescent="0.4">
      <c r="A39" s="257" t="s">
        <v>65</v>
      </c>
      <c r="B39" s="258">
        <v>1</v>
      </c>
      <c r="C39" s="269">
        <v>2</v>
      </c>
      <c r="D39" s="270">
        <v>376876042</v>
      </c>
      <c r="E39" s="271">
        <f>IF(ISBLANK(D39),"-",$D$48/$D$45*D39)</f>
        <v>392767616.13253021</v>
      </c>
      <c r="F39" s="270">
        <v>378286526</v>
      </c>
      <c r="G39" s="272">
        <f>IF(ISBLANK(F39),"-",$D$48/$F$45*F39)</f>
        <v>389172858.36710292</v>
      </c>
      <c r="I39" s="486">
        <f>ABS((F43/D43*D42)-F42)/D42</f>
        <v>1.0247585516996036E-2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66</v>
      </c>
      <c r="B40" s="258">
        <v>1</v>
      </c>
      <c r="C40" s="269">
        <v>3</v>
      </c>
      <c r="D40" s="270">
        <v>380033532</v>
      </c>
      <c r="E40" s="271">
        <f>IF(ISBLANK(D40),"-",$D$48/$D$45*D40)</f>
        <v>396058246.69020915</v>
      </c>
      <c r="F40" s="270">
        <v>378860258</v>
      </c>
      <c r="G40" s="272">
        <f>IF(ISBLANK(F40),"-",$D$48/$F$45*F40)</f>
        <v>389763101.23072708</v>
      </c>
      <c r="I40" s="486"/>
      <c r="L40" s="250"/>
      <c r="M40" s="250"/>
      <c r="N40" s="273"/>
    </row>
    <row r="41" spans="1:14" ht="27" customHeight="1" x14ac:dyDescent="0.4">
      <c r="A41" s="257" t="s">
        <v>67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68</v>
      </c>
      <c r="B42" s="258">
        <v>1</v>
      </c>
      <c r="C42" s="279" t="s">
        <v>69</v>
      </c>
      <c r="D42" s="280">
        <f>AVERAGE(D38:D41)</f>
        <v>378287900.33333331</v>
      </c>
      <c r="E42" s="281">
        <f>AVERAGE(E38:E41)</f>
        <v>394239007.7045638</v>
      </c>
      <c r="F42" s="280">
        <f>AVERAGE(F38:F41)</f>
        <v>379334422.33333331</v>
      </c>
      <c r="G42" s="282">
        <f>AVERAGE(G38:G41)</f>
        <v>390250911.06865674</v>
      </c>
      <c r="H42" s="283"/>
    </row>
    <row r="43" spans="1:14" ht="26.25" customHeight="1" x14ac:dyDescent="0.4">
      <c r="A43" s="257" t="s">
        <v>70</v>
      </c>
      <c r="B43" s="258">
        <v>1</v>
      </c>
      <c r="C43" s="284" t="s">
        <v>71</v>
      </c>
      <c r="D43" s="285">
        <v>19.21</v>
      </c>
      <c r="E43" s="273"/>
      <c r="F43" s="285">
        <v>19.46</v>
      </c>
      <c r="H43" s="283"/>
    </row>
    <row r="44" spans="1:14" ht="26.25" customHeight="1" x14ac:dyDescent="0.4">
      <c r="A44" s="257" t="s">
        <v>72</v>
      </c>
      <c r="B44" s="258">
        <v>1</v>
      </c>
      <c r="C44" s="286" t="s">
        <v>73</v>
      </c>
      <c r="D44" s="287">
        <f>D43*$B$34</f>
        <v>19.21</v>
      </c>
      <c r="E44" s="288"/>
      <c r="F44" s="287">
        <f>F43*$B$34</f>
        <v>19.46</v>
      </c>
      <c r="H44" s="283"/>
    </row>
    <row r="45" spans="1:14" ht="19.5" customHeight="1" x14ac:dyDescent="0.3">
      <c r="A45" s="257" t="s">
        <v>74</v>
      </c>
      <c r="B45" s="289">
        <f>(B44/B43)*(B42/B41)*(B40/B39)*(B38/B37)*B36</f>
        <v>10</v>
      </c>
      <c r="C45" s="286" t="s">
        <v>75</v>
      </c>
      <c r="D45" s="290">
        <f>D44*$B$30/100</f>
        <v>19.190790000000003</v>
      </c>
      <c r="E45" s="291"/>
      <c r="F45" s="290">
        <f>F44*$B$30/100</f>
        <v>19.440540000000002</v>
      </c>
      <c r="H45" s="283"/>
    </row>
    <row r="46" spans="1:14" ht="19.5" customHeight="1" x14ac:dyDescent="0.3">
      <c r="A46" s="487" t="s">
        <v>76</v>
      </c>
      <c r="B46" s="488"/>
      <c r="C46" s="286" t="s">
        <v>77</v>
      </c>
      <c r="D46" s="292">
        <f>D45/$B$45</f>
        <v>1.9190790000000004</v>
      </c>
      <c r="E46" s="293"/>
      <c r="F46" s="294">
        <f>F45/$B$45</f>
        <v>1.9440540000000002</v>
      </c>
      <c r="H46" s="283"/>
    </row>
    <row r="47" spans="1:14" ht="27" customHeight="1" x14ac:dyDescent="0.4">
      <c r="A47" s="489"/>
      <c r="B47" s="490"/>
      <c r="C47" s="295" t="s">
        <v>78</v>
      </c>
      <c r="D47" s="296">
        <v>2</v>
      </c>
      <c r="E47" s="297"/>
      <c r="F47" s="293"/>
      <c r="H47" s="283"/>
    </row>
    <row r="48" spans="1:14" ht="18.75" x14ac:dyDescent="0.3">
      <c r="C48" s="298" t="s">
        <v>79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80</v>
      </c>
      <c r="D49" s="301">
        <f>D48/B34</f>
        <v>20</v>
      </c>
      <c r="F49" s="299"/>
      <c r="H49" s="283"/>
    </row>
    <row r="50" spans="1:12" ht="18.75" x14ac:dyDescent="0.3">
      <c r="C50" s="255" t="s">
        <v>81</v>
      </c>
      <c r="D50" s="302">
        <f>AVERAGE(E38:E41,G38:G41)</f>
        <v>392244959.38661027</v>
      </c>
      <c r="F50" s="303"/>
      <c r="H50" s="283"/>
    </row>
    <row r="51" spans="1:12" ht="18.75" x14ac:dyDescent="0.3">
      <c r="C51" s="257" t="s">
        <v>82</v>
      </c>
      <c r="D51" s="304">
        <f>STDEV(E38:E41,G38:G41)/D50</f>
        <v>6.5798021633165348E-3</v>
      </c>
      <c r="F51" s="303"/>
      <c r="H51" s="283"/>
    </row>
    <row r="52" spans="1:12" ht="19.5" customHeight="1" x14ac:dyDescent="0.3">
      <c r="C52" s="305" t="s">
        <v>19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83</v>
      </c>
    </row>
    <row r="55" spans="1:12" ht="18.75" x14ac:dyDescent="0.3">
      <c r="A55" s="232" t="s">
        <v>84</v>
      </c>
      <c r="B55" s="309" t="str">
        <f>B21</f>
        <v>sulfadoxine BP 500mg pyrimethamine BP 25mg</v>
      </c>
    </row>
    <row r="56" spans="1:12" ht="26.25" customHeight="1" x14ac:dyDescent="0.4">
      <c r="A56" s="310" t="s">
        <v>85</v>
      </c>
      <c r="B56" s="311">
        <v>500</v>
      </c>
      <c r="C56" s="232" t="str">
        <f>B20</f>
        <v>sulfadoxine &amp; Pyrimethamine</v>
      </c>
      <c r="H56" s="312"/>
    </row>
    <row r="57" spans="1:12" ht="18.75" x14ac:dyDescent="0.3">
      <c r="A57" s="309" t="s">
        <v>86</v>
      </c>
      <c r="B57" s="401">
        <f>Uniformity!C46</f>
        <v>614.89352941176469</v>
      </c>
      <c r="H57" s="312"/>
    </row>
    <row r="58" spans="1:12" ht="19.5" customHeight="1" x14ac:dyDescent="0.3">
      <c r="H58" s="312"/>
    </row>
    <row r="59" spans="1:12" s="4" customFormat="1" ht="27" customHeight="1" x14ac:dyDescent="0.4">
      <c r="A59" s="255" t="s">
        <v>87</v>
      </c>
      <c r="B59" s="256">
        <v>250</v>
      </c>
      <c r="C59" s="232"/>
      <c r="D59" s="313" t="s">
        <v>88</v>
      </c>
      <c r="E59" s="314" t="s">
        <v>60</v>
      </c>
      <c r="F59" s="314" t="s">
        <v>61</v>
      </c>
      <c r="G59" s="314" t="s">
        <v>89</v>
      </c>
      <c r="H59" s="259" t="s">
        <v>90</v>
      </c>
      <c r="L59" s="245"/>
    </row>
    <row r="60" spans="1:12" s="4" customFormat="1" ht="26.25" customHeight="1" x14ac:dyDescent="0.4">
      <c r="A60" s="257" t="s">
        <v>91</v>
      </c>
      <c r="B60" s="258">
        <v>1</v>
      </c>
      <c r="C60" s="491" t="s">
        <v>92</v>
      </c>
      <c r="D60" s="494">
        <f>Pyrimethamine!D60</f>
        <v>582.26</v>
      </c>
      <c r="E60" s="315">
        <v>1</v>
      </c>
      <c r="F60" s="316">
        <v>358255291</v>
      </c>
      <c r="G60" s="402">
        <f>IF(ISBLANK(F60),"-",(F60/$D$50*$D$47*$B$68)*($B$57/$D$60))</f>
        <v>482.2677412305502</v>
      </c>
      <c r="H60" s="317">
        <f t="shared" ref="H60:H71" si="0">IF(ISBLANK(F60),"-",G60/$B$56)</f>
        <v>0.96453548246110044</v>
      </c>
      <c r="L60" s="245"/>
    </row>
    <row r="61" spans="1:12" s="4" customFormat="1" ht="26.25" customHeight="1" x14ac:dyDescent="0.4">
      <c r="A61" s="257" t="s">
        <v>93</v>
      </c>
      <c r="B61" s="258">
        <v>1</v>
      </c>
      <c r="C61" s="492"/>
      <c r="D61" s="495"/>
      <c r="E61" s="318">
        <v>2</v>
      </c>
      <c r="F61" s="270">
        <v>358336643</v>
      </c>
      <c r="G61" s="403">
        <f>IF(ISBLANK(F61),"-",(F61/$D$50*$D$47*$B$68)*($B$57/$D$60))</f>
        <v>482.37725376608063</v>
      </c>
      <c r="H61" s="319">
        <f t="shared" si="0"/>
        <v>0.9647545075321613</v>
      </c>
      <c r="L61" s="245"/>
    </row>
    <row r="62" spans="1:12" s="4" customFormat="1" ht="26.25" customHeight="1" x14ac:dyDescent="0.4">
      <c r="A62" s="257" t="s">
        <v>94</v>
      </c>
      <c r="B62" s="258">
        <v>1</v>
      </c>
      <c r="C62" s="492"/>
      <c r="D62" s="495"/>
      <c r="E62" s="318">
        <v>3</v>
      </c>
      <c r="F62" s="320">
        <v>356348885</v>
      </c>
      <c r="G62" s="403">
        <f>IF(ISBLANK(F62),"-",(F62/$D$50*$D$47*$B$68)*($B$57/$D$60))</f>
        <v>479.70142012215274</v>
      </c>
      <c r="H62" s="319">
        <f t="shared" si="0"/>
        <v>0.95940284024430544</v>
      </c>
      <c r="L62" s="245"/>
    </row>
    <row r="63" spans="1:12" ht="27" customHeight="1" x14ac:dyDescent="0.4">
      <c r="A63" s="257" t="s">
        <v>95</v>
      </c>
      <c r="B63" s="258">
        <v>1</v>
      </c>
      <c r="C63" s="493"/>
      <c r="D63" s="496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96</v>
      </c>
      <c r="B64" s="258">
        <v>1</v>
      </c>
      <c r="C64" s="491" t="s">
        <v>97</v>
      </c>
      <c r="D64" s="494">
        <f>Pyrimethamine!D64</f>
        <v>595.85</v>
      </c>
      <c r="E64" s="315">
        <v>1</v>
      </c>
      <c r="F64" s="316">
        <v>368748164</v>
      </c>
      <c r="G64" s="404">
        <f>IF(ISBLANK(F64),"-",(F64/$D$50*$D$47*$B$68)*($B$57/$D$64))</f>
        <v>485.07118746106863</v>
      </c>
      <c r="H64" s="323">
        <f t="shared" si="0"/>
        <v>0.97014237492213728</v>
      </c>
    </row>
    <row r="65" spans="1:8" ht="26.25" customHeight="1" x14ac:dyDescent="0.4">
      <c r="A65" s="257" t="s">
        <v>98</v>
      </c>
      <c r="B65" s="258">
        <v>1</v>
      </c>
      <c r="C65" s="492"/>
      <c r="D65" s="495"/>
      <c r="E65" s="318">
        <v>2</v>
      </c>
      <c r="F65" s="270">
        <v>368720239</v>
      </c>
      <c r="G65" s="405">
        <f>IF(ISBLANK(F65),"-",(F65/$D$50*$D$47*$B$68)*($B$57/$D$64))</f>
        <v>485.03445341265223</v>
      </c>
      <c r="H65" s="324">
        <f t="shared" si="0"/>
        <v>0.97006890682530444</v>
      </c>
    </row>
    <row r="66" spans="1:8" ht="26.25" customHeight="1" x14ac:dyDescent="0.4">
      <c r="A66" s="257" t="s">
        <v>99</v>
      </c>
      <c r="B66" s="258">
        <v>1</v>
      </c>
      <c r="C66" s="492"/>
      <c r="D66" s="495"/>
      <c r="E66" s="318">
        <v>3</v>
      </c>
      <c r="F66" s="270">
        <v>366879358</v>
      </c>
      <c r="G66" s="405">
        <f>IF(ISBLANK(F66),"-",(F66/$D$50*$D$47*$B$68)*($B$57/$D$64))</f>
        <v>482.61285943654093</v>
      </c>
      <c r="H66" s="324">
        <f t="shared" si="0"/>
        <v>0.96522571887308184</v>
      </c>
    </row>
    <row r="67" spans="1:8" ht="27" customHeight="1" x14ac:dyDescent="0.4">
      <c r="A67" s="257" t="s">
        <v>100</v>
      </c>
      <c r="B67" s="258">
        <v>1</v>
      </c>
      <c r="C67" s="493"/>
      <c r="D67" s="496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101</v>
      </c>
      <c r="B68" s="326">
        <f>(B67/B66)*(B65/B64)*(B63/B62)*(B61/B60)*B59</f>
        <v>250</v>
      </c>
      <c r="C68" s="491" t="s">
        <v>102</v>
      </c>
      <c r="D68" s="494">
        <f>Pyrimethamine!D68</f>
        <v>630.84</v>
      </c>
      <c r="E68" s="315">
        <v>1</v>
      </c>
      <c r="F68" s="316">
        <v>387527173</v>
      </c>
      <c r="G68" s="404">
        <f>IF(ISBLANK(F68),"-",(F68/$D$50*$D$47*$B$68)*($B$57/$D$68))</f>
        <v>481.49911484171741</v>
      </c>
      <c r="H68" s="319">
        <f t="shared" si="0"/>
        <v>0.96299822968343485</v>
      </c>
    </row>
    <row r="69" spans="1:8" ht="27" customHeight="1" x14ac:dyDescent="0.4">
      <c r="A69" s="305" t="s">
        <v>103</v>
      </c>
      <c r="B69" s="327">
        <f>(D47*B68)/B56*B57</f>
        <v>614.89352941176469</v>
      </c>
      <c r="C69" s="492"/>
      <c r="D69" s="495"/>
      <c r="E69" s="318">
        <v>2</v>
      </c>
      <c r="F69" s="270">
        <v>385304904</v>
      </c>
      <c r="G69" s="405">
        <f>IF(ISBLANK(F69),"-",(F69/$D$50*$D$47*$B$68)*($B$57/$D$68))</f>
        <v>478.73796509276764</v>
      </c>
      <c r="H69" s="319">
        <f t="shared" si="0"/>
        <v>0.95747593018553523</v>
      </c>
    </row>
    <row r="70" spans="1:8" ht="26.25" customHeight="1" x14ac:dyDescent="0.4">
      <c r="A70" s="504" t="s">
        <v>76</v>
      </c>
      <c r="B70" s="505"/>
      <c r="C70" s="492"/>
      <c r="D70" s="495"/>
      <c r="E70" s="318">
        <v>3</v>
      </c>
      <c r="F70" s="270">
        <v>384191973</v>
      </c>
      <c r="G70" s="405">
        <f>IF(ISBLANK(F70),"-",(F70/$D$50*$D$47*$B$68)*($B$57/$D$68))</f>
        <v>477.35515808279337</v>
      </c>
      <c r="H70" s="319">
        <f t="shared" si="0"/>
        <v>0.95471031616558677</v>
      </c>
    </row>
    <row r="71" spans="1:8" ht="27" customHeight="1" x14ac:dyDescent="0.4">
      <c r="A71" s="506"/>
      <c r="B71" s="507"/>
      <c r="C71" s="503"/>
      <c r="D71" s="496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69</v>
      </c>
      <c r="G72" s="411">
        <f>AVERAGE(G60:G71)</f>
        <v>481.6285726051471</v>
      </c>
      <c r="H72" s="332">
        <f>AVERAGE(H60:H71)</f>
        <v>0.96325714521029426</v>
      </c>
    </row>
    <row r="73" spans="1:8" ht="26.25" customHeight="1" x14ac:dyDescent="0.4">
      <c r="C73" s="329"/>
      <c r="D73" s="329"/>
      <c r="E73" s="329"/>
      <c r="F73" s="333" t="s">
        <v>82</v>
      </c>
      <c r="G73" s="407">
        <f>STDEV(G60:G71)/G72</f>
        <v>5.4804713626641268E-3</v>
      </c>
      <c r="H73" s="407">
        <f>STDEV(H60:H71)/H72</f>
        <v>5.480471362664132E-3</v>
      </c>
    </row>
    <row r="74" spans="1:8" ht="27" customHeight="1" x14ac:dyDescent="0.4">
      <c r="A74" s="329"/>
      <c r="B74" s="329"/>
      <c r="C74" s="330"/>
      <c r="D74" s="330"/>
      <c r="E74" s="334"/>
      <c r="F74" s="335" t="s">
        <v>19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1" t="s">
        <v>104</v>
      </c>
      <c r="B76" s="337" t="s">
        <v>105</v>
      </c>
      <c r="C76" s="499" t="str">
        <f>B20</f>
        <v>sulfadoxine &amp; Pyrimethamine</v>
      </c>
      <c r="D76" s="499"/>
      <c r="E76" s="338" t="s">
        <v>106</v>
      </c>
      <c r="F76" s="338"/>
      <c r="G76" s="339">
        <f>H72</f>
        <v>0.96325714521029426</v>
      </c>
      <c r="H76" s="340"/>
    </row>
    <row r="77" spans="1:8" ht="18.75" x14ac:dyDescent="0.3">
      <c r="A77" s="240" t="s">
        <v>107</v>
      </c>
      <c r="B77" s="240" t="s">
        <v>108</v>
      </c>
    </row>
    <row r="78" spans="1:8" ht="18.75" x14ac:dyDescent="0.3">
      <c r="A78" s="240"/>
      <c r="B78" s="240"/>
    </row>
    <row r="79" spans="1:8" ht="26.25" customHeight="1" x14ac:dyDescent="0.4">
      <c r="A79" s="241" t="s">
        <v>3</v>
      </c>
      <c r="B79" s="485" t="str">
        <f>B26</f>
        <v>Sulfadoxine</v>
      </c>
      <c r="C79" s="485"/>
    </row>
    <row r="80" spans="1:8" ht="26.25" customHeight="1" x14ac:dyDescent="0.4">
      <c r="A80" s="242" t="s">
        <v>46</v>
      </c>
      <c r="B80" s="485" t="str">
        <f>B27</f>
        <v>S18-1</v>
      </c>
      <c r="C80" s="485"/>
    </row>
    <row r="81" spans="1:12" ht="27" customHeight="1" x14ac:dyDescent="0.4">
      <c r="A81" s="242" t="s">
        <v>5</v>
      </c>
      <c r="B81" s="341">
        <f>B28</f>
        <v>99.9</v>
      </c>
    </row>
    <row r="82" spans="1:12" s="4" customFormat="1" ht="27" customHeight="1" x14ac:dyDescent="0.4">
      <c r="A82" s="242" t="s">
        <v>47</v>
      </c>
      <c r="B82" s="244">
        <v>0</v>
      </c>
      <c r="C82" s="476" t="s">
        <v>48</v>
      </c>
      <c r="D82" s="477"/>
      <c r="E82" s="477"/>
      <c r="F82" s="477"/>
      <c r="G82" s="478"/>
      <c r="I82" s="245"/>
      <c r="J82" s="245"/>
      <c r="K82" s="245"/>
      <c r="L82" s="245"/>
    </row>
    <row r="83" spans="1:12" s="4" customFormat="1" ht="19.5" customHeight="1" x14ac:dyDescent="0.3">
      <c r="A83" s="242" t="s">
        <v>49</v>
      </c>
      <c r="B83" s="246">
        <f>B81-B82</f>
        <v>99.9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4" customFormat="1" ht="27" customHeight="1" x14ac:dyDescent="0.4">
      <c r="A84" s="242" t="s">
        <v>50</v>
      </c>
      <c r="B84" s="249">
        <v>1</v>
      </c>
      <c r="C84" s="479" t="s">
        <v>109</v>
      </c>
      <c r="D84" s="480"/>
      <c r="E84" s="480"/>
      <c r="F84" s="480"/>
      <c r="G84" s="480"/>
      <c r="H84" s="481"/>
      <c r="I84" s="245"/>
      <c r="J84" s="245"/>
      <c r="K84" s="245"/>
      <c r="L84" s="245"/>
    </row>
    <row r="85" spans="1:12" s="4" customFormat="1" ht="27" customHeight="1" x14ac:dyDescent="0.4">
      <c r="A85" s="242" t="s">
        <v>52</v>
      </c>
      <c r="B85" s="249">
        <v>1</v>
      </c>
      <c r="C85" s="479" t="s">
        <v>110</v>
      </c>
      <c r="D85" s="480"/>
      <c r="E85" s="480"/>
      <c r="F85" s="480"/>
      <c r="G85" s="480"/>
      <c r="H85" s="481"/>
      <c r="I85" s="245"/>
      <c r="J85" s="245"/>
      <c r="K85" s="245"/>
      <c r="L85" s="245"/>
    </row>
    <row r="86" spans="1:12" s="4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4" customFormat="1" ht="18.75" x14ac:dyDescent="0.3">
      <c r="A87" s="242" t="s">
        <v>54</v>
      </c>
      <c r="B87" s="254">
        <f>B84/B85</f>
        <v>1</v>
      </c>
      <c r="C87" s="232" t="s">
        <v>55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56</v>
      </c>
      <c r="B89" s="256">
        <v>10</v>
      </c>
      <c r="D89" s="342" t="s">
        <v>57</v>
      </c>
      <c r="E89" s="343"/>
      <c r="F89" s="482" t="s">
        <v>58</v>
      </c>
      <c r="G89" s="484"/>
    </row>
    <row r="90" spans="1:12" ht="27" customHeight="1" x14ac:dyDescent="0.4">
      <c r="A90" s="257" t="s">
        <v>59</v>
      </c>
      <c r="B90" s="258">
        <v>5</v>
      </c>
      <c r="C90" s="344" t="s">
        <v>60</v>
      </c>
      <c r="D90" s="260" t="s">
        <v>61</v>
      </c>
      <c r="E90" s="261" t="s">
        <v>62</v>
      </c>
      <c r="F90" s="260" t="s">
        <v>61</v>
      </c>
      <c r="G90" s="345" t="s">
        <v>62</v>
      </c>
      <c r="I90" s="263" t="s">
        <v>63</v>
      </c>
    </row>
    <row r="91" spans="1:12" ht="26.25" customHeight="1" x14ac:dyDescent="0.4">
      <c r="A91" s="257" t="s">
        <v>64</v>
      </c>
      <c r="B91" s="258">
        <v>20</v>
      </c>
      <c r="C91" s="346">
        <v>1</v>
      </c>
      <c r="D91" s="265">
        <v>100988632</v>
      </c>
      <c r="E91" s="266">
        <f>IF(ISBLANK(D91),"-",$D$101/$D$98*D91)</f>
        <v>105246977.32610276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65</v>
      </c>
      <c r="B92" s="258">
        <v>1</v>
      </c>
      <c r="C92" s="330">
        <v>2</v>
      </c>
      <c r="D92" s="270">
        <v>104148970</v>
      </c>
      <c r="E92" s="271">
        <f>IF(ISBLANK(D92),"-",$D$101/$D$98*D92)</f>
        <v>108540575.97420429</v>
      </c>
      <c r="F92" s="270">
        <v>102291611</v>
      </c>
      <c r="G92" s="272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7" t="s">
        <v>66</v>
      </c>
      <c r="B93" s="258">
        <v>1</v>
      </c>
      <c r="C93" s="330">
        <v>3</v>
      </c>
      <c r="D93" s="270">
        <v>99958425</v>
      </c>
      <c r="E93" s="271">
        <f>IF(ISBLANK(D93),"-",$D$101/$D$98*D93)</f>
        <v>104173330.0192436</v>
      </c>
      <c r="F93" s="270">
        <v>101180961</v>
      </c>
      <c r="G93" s="272">
        <f>IF(ISBLANK(F93),"-",$D$101/$F$98*F93)</f>
        <v>104092747.42368266</v>
      </c>
      <c r="I93" s="486"/>
    </row>
    <row r="94" spans="1:12" ht="27" customHeight="1" x14ac:dyDescent="0.4">
      <c r="A94" s="257" t="s">
        <v>67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68</v>
      </c>
      <c r="B95" s="258">
        <v>1</v>
      </c>
      <c r="C95" s="349" t="s">
        <v>69</v>
      </c>
      <c r="D95" s="350">
        <f>AVERAGE(D91:D94)</f>
        <v>101698675.66666667</v>
      </c>
      <c r="E95" s="281">
        <f>AVERAGE(E91:E94)</f>
        <v>105986961.10651688</v>
      </c>
      <c r="F95" s="351">
        <f>AVERAGE(F91:F94)</f>
        <v>101736286</v>
      </c>
      <c r="G95" s="352">
        <f>AVERAGE(G91:G94)</f>
        <v>104664053.57052837</v>
      </c>
    </row>
    <row r="96" spans="1:12" ht="26.25" customHeight="1" x14ac:dyDescent="0.4">
      <c r="A96" s="257" t="s">
        <v>70</v>
      </c>
      <c r="B96" s="243">
        <v>1</v>
      </c>
      <c r="C96" s="353" t="s">
        <v>111</v>
      </c>
      <c r="D96" s="354">
        <f>D43</f>
        <v>19.21</v>
      </c>
      <c r="E96" s="273"/>
      <c r="F96" s="285">
        <f>F43</f>
        <v>19.46</v>
      </c>
    </row>
    <row r="97" spans="1:10" ht="26.25" customHeight="1" x14ac:dyDescent="0.4">
      <c r="A97" s="257" t="s">
        <v>72</v>
      </c>
      <c r="B97" s="243">
        <v>1</v>
      </c>
      <c r="C97" s="355" t="s">
        <v>112</v>
      </c>
      <c r="D97" s="356">
        <f>D96*$B$87</f>
        <v>19.21</v>
      </c>
      <c r="E97" s="288"/>
      <c r="F97" s="287">
        <f>F96*$B$87</f>
        <v>19.46</v>
      </c>
    </row>
    <row r="98" spans="1:10" ht="19.5" customHeight="1" x14ac:dyDescent="0.3">
      <c r="A98" s="257" t="s">
        <v>74</v>
      </c>
      <c r="B98" s="357">
        <f>(B97/B96)*(B95/B94)*(B93/B92)*(B91/B90)*B89</f>
        <v>40</v>
      </c>
      <c r="C98" s="355" t="s">
        <v>113</v>
      </c>
      <c r="D98" s="358">
        <f>D97*$B$83/100</f>
        <v>19.190790000000003</v>
      </c>
      <c r="E98" s="291"/>
      <c r="F98" s="290">
        <f>F97*$B$83/100</f>
        <v>19.440540000000002</v>
      </c>
    </row>
    <row r="99" spans="1:10" ht="19.5" customHeight="1" x14ac:dyDescent="0.3">
      <c r="A99" s="487" t="s">
        <v>76</v>
      </c>
      <c r="B99" s="501"/>
      <c r="C99" s="355" t="s">
        <v>114</v>
      </c>
      <c r="D99" s="359">
        <f>D98/$B$98</f>
        <v>0.47976975000000011</v>
      </c>
      <c r="E99" s="291"/>
      <c r="F99" s="294">
        <f>F98/$B$98</f>
        <v>0.48601350000000004</v>
      </c>
      <c r="G99" s="360"/>
      <c r="H99" s="283"/>
    </row>
    <row r="100" spans="1:10" ht="19.5" customHeight="1" x14ac:dyDescent="0.3">
      <c r="A100" s="489"/>
      <c r="B100" s="502"/>
      <c r="C100" s="355" t="s">
        <v>78</v>
      </c>
      <c r="D100" s="361">
        <f>$B$56/$B$116</f>
        <v>0.5</v>
      </c>
      <c r="F100" s="299"/>
      <c r="G100" s="362"/>
      <c r="H100" s="283"/>
    </row>
    <row r="101" spans="1:10" ht="18.75" x14ac:dyDescent="0.3">
      <c r="C101" s="355" t="s">
        <v>79</v>
      </c>
      <c r="D101" s="356">
        <f>D100*$B$98</f>
        <v>20</v>
      </c>
      <c r="F101" s="299"/>
      <c r="G101" s="360"/>
      <c r="H101" s="283"/>
    </row>
    <row r="102" spans="1:10" ht="19.5" customHeight="1" x14ac:dyDescent="0.3">
      <c r="C102" s="363" t="s">
        <v>80</v>
      </c>
      <c r="D102" s="364">
        <f>D101/B34</f>
        <v>20</v>
      </c>
      <c r="F102" s="303"/>
      <c r="G102" s="360"/>
      <c r="H102" s="283"/>
      <c r="J102" s="365"/>
    </row>
    <row r="103" spans="1:10" ht="18.75" x14ac:dyDescent="0.3">
      <c r="C103" s="366" t="s">
        <v>115</v>
      </c>
      <c r="D103" s="367">
        <f>AVERAGE(E91:E94,G91:G94)</f>
        <v>105457798.09212148</v>
      </c>
      <c r="F103" s="303"/>
      <c r="G103" s="368"/>
      <c r="H103" s="283"/>
      <c r="J103" s="369"/>
    </row>
    <row r="104" spans="1:10" ht="18.75" x14ac:dyDescent="0.3">
      <c r="C104" s="333" t="s">
        <v>82</v>
      </c>
      <c r="D104" s="370">
        <f>STDEV(E91:E94,G91:G94)/D103</f>
        <v>1.7167366134376666E-2</v>
      </c>
      <c r="F104" s="303"/>
      <c r="G104" s="360"/>
      <c r="H104" s="283"/>
      <c r="J104" s="369"/>
    </row>
    <row r="105" spans="1:10" ht="19.5" customHeight="1" x14ac:dyDescent="0.3">
      <c r="C105" s="335" t="s">
        <v>19</v>
      </c>
      <c r="D105" s="371">
        <f>COUNT(E91:E94,G91:G94)</f>
        <v>5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116</v>
      </c>
      <c r="B107" s="256">
        <v>1000</v>
      </c>
      <c r="C107" s="372" t="s">
        <v>117</v>
      </c>
      <c r="D107" s="373" t="s">
        <v>61</v>
      </c>
      <c r="E107" s="374" t="s">
        <v>118</v>
      </c>
      <c r="F107" s="375" t="s">
        <v>119</v>
      </c>
    </row>
    <row r="108" spans="1:10" ht="26.25" customHeight="1" x14ac:dyDescent="0.4">
      <c r="A108" s="257" t="s">
        <v>120</v>
      </c>
      <c r="B108" s="258">
        <v>1</v>
      </c>
      <c r="C108" s="376">
        <v>1</v>
      </c>
      <c r="D108" s="377">
        <v>93697251</v>
      </c>
      <c r="E108" s="408">
        <f t="shared" ref="E108:E113" si="1">IF(ISBLANK(D108),"-",D108/$D$103*$D$100*$B$116)</f>
        <v>444.24050518365561</v>
      </c>
      <c r="F108" s="378">
        <f t="shared" ref="F108:F113" si="2">IF(ISBLANK(D108), "-", E108/$B$56)</f>
        <v>0.8884810103673112</v>
      </c>
    </row>
    <row r="109" spans="1:10" ht="26.25" customHeight="1" x14ac:dyDescent="0.4">
      <c r="A109" s="257" t="s">
        <v>93</v>
      </c>
      <c r="B109" s="258">
        <v>1</v>
      </c>
      <c r="C109" s="376">
        <v>2</v>
      </c>
      <c r="D109" s="377">
        <v>101062888</v>
      </c>
      <c r="E109" s="409">
        <f t="shared" si="1"/>
        <v>479.16270692337821</v>
      </c>
      <c r="F109" s="379">
        <f t="shared" si="2"/>
        <v>0.9583254138467564</v>
      </c>
    </row>
    <row r="110" spans="1:10" ht="26.25" customHeight="1" x14ac:dyDescent="0.4">
      <c r="A110" s="257" t="s">
        <v>94</v>
      </c>
      <c r="B110" s="258">
        <v>1</v>
      </c>
      <c r="C110" s="376">
        <v>3</v>
      </c>
      <c r="D110" s="377">
        <v>96291678</v>
      </c>
      <c r="E110" s="409">
        <f t="shared" si="1"/>
        <v>456.5412882785846</v>
      </c>
      <c r="F110" s="379">
        <f t="shared" si="2"/>
        <v>0.91308257655716918</v>
      </c>
    </row>
    <row r="111" spans="1:10" ht="26.25" customHeight="1" x14ac:dyDescent="0.4">
      <c r="A111" s="257" t="s">
        <v>95</v>
      </c>
      <c r="B111" s="258">
        <v>1</v>
      </c>
      <c r="C111" s="376">
        <v>4</v>
      </c>
      <c r="D111" s="377">
        <v>102539085</v>
      </c>
      <c r="E111" s="409">
        <f t="shared" si="1"/>
        <v>486.16170096036012</v>
      </c>
      <c r="F111" s="379">
        <f t="shared" si="2"/>
        <v>0.9723234019207202</v>
      </c>
    </row>
    <row r="112" spans="1:10" ht="26.25" customHeight="1" x14ac:dyDescent="0.4">
      <c r="A112" s="257" t="s">
        <v>96</v>
      </c>
      <c r="B112" s="258">
        <v>1</v>
      </c>
      <c r="C112" s="376">
        <v>5</v>
      </c>
      <c r="D112" s="377">
        <v>95635566</v>
      </c>
      <c r="E112" s="409">
        <f t="shared" si="1"/>
        <v>453.43050836533979</v>
      </c>
      <c r="F112" s="379">
        <f t="shared" si="2"/>
        <v>0.90686101673067954</v>
      </c>
    </row>
    <row r="113" spans="1:10" ht="26.25" customHeight="1" x14ac:dyDescent="0.4">
      <c r="A113" s="257" t="s">
        <v>98</v>
      </c>
      <c r="B113" s="258">
        <v>1</v>
      </c>
      <c r="C113" s="380">
        <v>6</v>
      </c>
      <c r="D113" s="381">
        <v>94024859</v>
      </c>
      <c r="E113" s="410">
        <f t="shared" si="1"/>
        <v>445.79377106786183</v>
      </c>
      <c r="F113" s="382">
        <f t="shared" si="2"/>
        <v>0.89158754213572367</v>
      </c>
    </row>
    <row r="114" spans="1:10" ht="26.25" customHeight="1" x14ac:dyDescent="0.4">
      <c r="A114" s="257" t="s">
        <v>99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100</v>
      </c>
      <c r="B115" s="258">
        <v>1</v>
      </c>
      <c r="C115" s="376"/>
      <c r="D115" s="384" t="s">
        <v>69</v>
      </c>
      <c r="E115" s="412">
        <f>AVERAGE(E108:E113)</f>
        <v>460.88841346319668</v>
      </c>
      <c r="F115" s="385">
        <f>AVERAGE(F108:F113)</f>
        <v>0.92177682692639318</v>
      </c>
    </row>
    <row r="116" spans="1:10" ht="27" customHeight="1" x14ac:dyDescent="0.4">
      <c r="A116" s="257" t="s">
        <v>101</v>
      </c>
      <c r="B116" s="289">
        <f>(B115/B114)*(B113/B112)*(B111/B110)*(B109/B108)*B107</f>
        <v>1000</v>
      </c>
      <c r="C116" s="386"/>
      <c r="D116" s="349" t="s">
        <v>82</v>
      </c>
      <c r="E116" s="387">
        <f>STDEV(E108:E113)/E115</f>
        <v>3.8229105515245457E-2</v>
      </c>
      <c r="F116" s="387">
        <f>STDEV(F108:F113)/F115</f>
        <v>3.822910551524545E-2</v>
      </c>
      <c r="I116" s="231"/>
    </row>
    <row r="117" spans="1:10" ht="27" customHeight="1" x14ac:dyDescent="0.4">
      <c r="A117" s="487" t="s">
        <v>76</v>
      </c>
      <c r="B117" s="488"/>
      <c r="C117" s="388"/>
      <c r="D117" s="389" t="s">
        <v>19</v>
      </c>
      <c r="E117" s="390">
        <f>COUNT(E108:E113)</f>
        <v>6</v>
      </c>
      <c r="F117" s="390">
        <f>COUNT(F108:F113)</f>
        <v>6</v>
      </c>
      <c r="I117" s="231"/>
      <c r="J117" s="369"/>
    </row>
    <row r="118" spans="1:10" ht="19.5" customHeight="1" x14ac:dyDescent="0.3">
      <c r="A118" s="489"/>
      <c r="B118" s="490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399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104</v>
      </c>
      <c r="B120" s="337" t="s">
        <v>121</v>
      </c>
      <c r="C120" s="499" t="str">
        <f>B20</f>
        <v>sulfadoxine &amp; Pyrimethamine</v>
      </c>
      <c r="D120" s="499"/>
      <c r="E120" s="338" t="s">
        <v>122</v>
      </c>
      <c r="F120" s="338"/>
      <c r="G120" s="339">
        <f>F115</f>
        <v>0.92177682692639318</v>
      </c>
      <c r="H120" s="231"/>
      <c r="I120" s="231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ht="18.75" x14ac:dyDescent="0.3">
      <c r="B122" s="500" t="s">
        <v>24</v>
      </c>
      <c r="C122" s="500"/>
      <c r="E122" s="344" t="s">
        <v>25</v>
      </c>
      <c r="F122" s="393"/>
      <c r="G122" s="500" t="s">
        <v>26</v>
      </c>
      <c r="H122" s="500"/>
    </row>
    <row r="123" spans="1:10" ht="69.95" customHeight="1" x14ac:dyDescent="0.3">
      <c r="A123" s="394" t="s">
        <v>27</v>
      </c>
      <c r="B123" s="395"/>
      <c r="C123" s="395"/>
      <c r="E123" s="395"/>
      <c r="F123" s="231"/>
      <c r="G123" s="396"/>
      <c r="H123" s="396"/>
    </row>
    <row r="124" spans="1:10" ht="69.95" customHeight="1" x14ac:dyDescent="0.3">
      <c r="A124" s="394" t="s">
        <v>28</v>
      </c>
      <c r="B124" s="397"/>
      <c r="C124" s="397"/>
      <c r="E124" s="397"/>
      <c r="F124" s="231"/>
      <c r="G124" s="398"/>
      <c r="H124" s="398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2016-03-22T06:37:46Z</cp:lastPrinted>
  <dcterms:created xsi:type="dcterms:W3CDTF">2005-07-05T10:19:27Z</dcterms:created>
  <dcterms:modified xsi:type="dcterms:W3CDTF">2016-04-21T09:58:26Z</dcterms:modified>
</cp:coreProperties>
</file>