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" sheetId="1" r:id="rId1"/>
    <sheet name="Uniformity" sheetId="6" r:id="rId2"/>
    <sheet name="Artesunate" sheetId="3" r:id="rId3"/>
    <sheet name="Sodium Chloride" sheetId="4" r:id="rId4"/>
    <sheet name="Sodium Bicarbonate" sheetId="7" r:id="rId5"/>
  </sheets>
  <externalReferences>
    <externalReference r:id="rId6"/>
  </externalReferences>
  <definedNames>
    <definedName name="_xlnm.Print_Area" localSheetId="4">'Sodium Bicarbonate'!$A$1:$I$63</definedName>
    <definedName name="_xlnm.Print_Area" localSheetId="3">'Sodium Chloride'!$A$1:$I$64</definedName>
    <definedName name="_xlnm.Print_Area" localSheetId="1">Uniformity!$A$10:$G$52</definedName>
  </definedNames>
  <calcPr calcId="145621"/>
</workbook>
</file>

<file path=xl/calcChain.xml><?xml version="1.0" encoding="utf-8"?>
<calcChain xmlns="http://schemas.openxmlformats.org/spreadsheetml/2006/main">
  <c r="B21" i="1" l="1"/>
  <c r="D57" i="7" l="1"/>
  <c r="B57" i="7"/>
  <c r="D55" i="7"/>
  <c r="E52" i="7" s="1"/>
  <c r="I54" i="7"/>
  <c r="H54" i="7"/>
  <c r="G54" i="7"/>
  <c r="F54" i="7"/>
  <c r="E54" i="7"/>
  <c r="E53" i="7"/>
  <c r="E51" i="7"/>
  <c r="E47" i="7"/>
  <c r="B47" i="7"/>
  <c r="G37" i="7"/>
  <c r="F37" i="7"/>
  <c r="E37" i="7"/>
  <c r="C37" i="7"/>
  <c r="C36" i="7"/>
  <c r="E36" i="7" s="1"/>
  <c r="F36" i="7" s="1"/>
  <c r="E35" i="7"/>
  <c r="F35" i="7" s="1"/>
  <c r="C35" i="7"/>
  <c r="C34" i="7"/>
  <c r="E34" i="7" s="1"/>
  <c r="C43" i="6"/>
  <c r="B43" i="6"/>
  <c r="C42" i="6"/>
  <c r="B42" i="6"/>
  <c r="D28" i="6"/>
  <c r="D27" i="6"/>
  <c r="D26" i="6"/>
  <c r="D25" i="6"/>
  <c r="D24" i="6"/>
  <c r="D23" i="6"/>
  <c r="D22" i="6"/>
  <c r="D21" i="6"/>
  <c r="D42" i="6" s="1"/>
  <c r="D58" i="4"/>
  <c r="B57" i="4"/>
  <c r="D56" i="4"/>
  <c r="D57" i="4" s="1"/>
  <c r="I55" i="4"/>
  <c r="H55" i="4"/>
  <c r="G55" i="4"/>
  <c r="F55" i="4"/>
  <c r="E55" i="4"/>
  <c r="E52" i="4"/>
  <c r="C48" i="4"/>
  <c r="E46" i="4"/>
  <c r="B44" i="4"/>
  <c r="C37" i="4"/>
  <c r="E37" i="4" s="1"/>
  <c r="C36" i="4"/>
  <c r="E36" i="4" s="1"/>
  <c r="C35" i="4"/>
  <c r="E35" i="4" s="1"/>
  <c r="C34" i="4"/>
  <c r="E34" i="4" s="1"/>
  <c r="C76" i="3"/>
  <c r="H71" i="3"/>
  <c r="G71" i="3"/>
  <c r="B68" i="3"/>
  <c r="B69" i="3" s="1"/>
  <c r="H67" i="3"/>
  <c r="G67" i="3"/>
  <c r="H63" i="3"/>
  <c r="G63" i="3"/>
  <c r="C56" i="3"/>
  <c r="B55" i="3"/>
  <c r="B45" i="3"/>
  <c r="D48" i="3" s="1"/>
  <c r="F42" i="3"/>
  <c r="D42" i="3"/>
  <c r="G41" i="3"/>
  <c r="E41" i="3"/>
  <c r="B34" i="3"/>
  <c r="F44" i="3" s="1"/>
  <c r="B30" i="3"/>
  <c r="B53" i="1"/>
  <c r="E51" i="1"/>
  <c r="D51" i="1"/>
  <c r="C51" i="1"/>
  <c r="B51" i="1"/>
  <c r="B52" i="1" s="1"/>
  <c r="E40" i="7" l="1"/>
  <c r="D49" i="3"/>
  <c r="G34" i="7"/>
  <c r="G35" i="7"/>
  <c r="G36" i="7"/>
  <c r="D56" i="7"/>
  <c r="F34" i="7"/>
  <c r="F38" i="7" s="1"/>
  <c r="E38" i="7"/>
  <c r="E39" i="7" s="1"/>
  <c r="F37" i="4"/>
  <c r="G37" i="4"/>
  <c r="D43" i="6"/>
  <c r="E23" i="6" s="1"/>
  <c r="F45" i="3"/>
  <c r="E40" i="4"/>
  <c r="E38" i="4"/>
  <c r="E39" i="4" s="1"/>
  <c r="G34" i="4"/>
  <c r="F34" i="4"/>
  <c r="G35" i="4"/>
  <c r="F35" i="4"/>
  <c r="G36" i="4"/>
  <c r="F36" i="4"/>
  <c r="D44" i="3"/>
  <c r="D45" i="3" s="1"/>
  <c r="E54" i="4"/>
  <c r="E53" i="4"/>
  <c r="E26" i="6" l="1"/>
  <c r="E25" i="6"/>
  <c r="E28" i="6"/>
  <c r="G38" i="7"/>
  <c r="G38" i="4"/>
  <c r="F52" i="4" s="1"/>
  <c r="G52" i="4" s="1"/>
  <c r="H52" i="4" s="1"/>
  <c r="F38" i="4"/>
  <c r="C47" i="6"/>
  <c r="D48" i="6"/>
  <c r="B47" i="6"/>
  <c r="C48" i="6"/>
  <c r="D47" i="6"/>
  <c r="E24" i="6"/>
  <c r="E22" i="6"/>
  <c r="E21" i="6"/>
  <c r="E27" i="6"/>
  <c r="F46" i="3"/>
  <c r="G40" i="3"/>
  <c r="G38" i="3"/>
  <c r="G39" i="3"/>
  <c r="D46" i="3"/>
  <c r="E38" i="3"/>
  <c r="E40" i="3"/>
  <c r="E39" i="3"/>
  <c r="F51" i="7" l="1"/>
  <c r="G51" i="7" s="1"/>
  <c r="F53" i="7"/>
  <c r="G53" i="7" s="1"/>
  <c r="H53" i="7" s="1"/>
  <c r="I53" i="7" s="1"/>
  <c r="F52" i="7"/>
  <c r="G52" i="7" s="1"/>
  <c r="H52" i="7" s="1"/>
  <c r="I52" i="7" s="1"/>
  <c r="F53" i="4"/>
  <c r="G53" i="4" s="1"/>
  <c r="H53" i="4" s="1"/>
  <c r="I53" i="4" s="1"/>
  <c r="F54" i="4"/>
  <c r="G54" i="4" s="1"/>
  <c r="H54" i="4" s="1"/>
  <c r="I54" i="4" s="1"/>
  <c r="G42" i="3"/>
  <c r="D52" i="3"/>
  <c r="D50" i="3"/>
  <c r="E42" i="3"/>
  <c r="I52" i="4"/>
  <c r="D51" i="3" l="1"/>
  <c r="G66" i="3"/>
  <c r="H66" i="3" s="1"/>
  <c r="G70" i="3"/>
  <c r="H70" i="3" s="1"/>
  <c r="G62" i="3"/>
  <c r="H62" i="3" s="1"/>
  <c r="G69" i="3"/>
  <c r="H69" i="3" s="1"/>
  <c r="G64" i="3"/>
  <c r="H64" i="3" s="1"/>
  <c r="G61" i="3"/>
  <c r="H61" i="3" s="1"/>
  <c r="G60" i="3"/>
  <c r="H60" i="3" s="1"/>
  <c r="G68" i="3"/>
  <c r="H68" i="3" s="1"/>
  <c r="G65" i="3"/>
  <c r="H65" i="3" s="1"/>
  <c r="G57" i="7"/>
  <c r="G55" i="7"/>
  <c r="H51" i="7"/>
  <c r="H58" i="4"/>
  <c r="H56" i="4"/>
  <c r="H57" i="4" s="1"/>
  <c r="G56" i="4"/>
  <c r="G58" i="4"/>
  <c r="I58" i="4"/>
  <c r="I56" i="4"/>
  <c r="I57" i="4" s="1"/>
  <c r="H72" i="3" l="1"/>
  <c r="H74" i="3"/>
  <c r="H55" i="7"/>
  <c r="H56" i="7" s="1"/>
  <c r="H57" i="7"/>
  <c r="I51" i="7"/>
  <c r="G76" i="3" l="1"/>
  <c r="H73" i="3"/>
  <c r="I57" i="7"/>
  <c r="I55" i="7"/>
  <c r="I56" i="7" s="1"/>
</calcChain>
</file>

<file path=xl/sharedStrings.xml><?xml version="1.0" encoding="utf-8"?>
<sst xmlns="http://schemas.openxmlformats.org/spreadsheetml/2006/main" count="311" uniqueCount="160">
  <si>
    <t>HPLC System Suitability Report</t>
  </si>
  <si>
    <t>Analysis Data</t>
  </si>
  <si>
    <t>Assay</t>
  </si>
  <si>
    <t>Sample(s)</t>
  </si>
  <si>
    <t>Reference Substance:</t>
  </si>
  <si>
    <t>ARTSUN 30 mg INJECTION</t>
  </si>
  <si>
    <t>% age Purity:</t>
  </si>
  <si>
    <t>NDQA201511509</t>
  </si>
  <si>
    <t>Weight (mg):</t>
  </si>
  <si>
    <t xml:space="preserve">ARTESUNATE </t>
  </si>
  <si>
    <t>Standard Conc (mg/mL):</t>
  </si>
  <si>
    <t>Each vial contains: ARTESUNATE 30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</si>
  <si>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</si>
  <si>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</si>
  <si>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</si>
  <si>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</si>
  <si>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</si>
  <si>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</si>
  <si>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</si>
  <si>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</si>
  <si>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</si>
  <si>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</si>
  <si>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</si>
  <si>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</si>
  <si>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</si>
  <si>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</si>
  <si>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</si>
  <si>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</si>
  <si>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</si>
  <si>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</si>
  <si>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</si>
  <si>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</si>
  <si>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</si>
  <si>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</si>
  <si>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</si>
  <si>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</si>
  <si>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</si>
  <si>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</si>
  <si>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</si>
  <si>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</si>
  <si>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</si>
  <si>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</si>
  <si>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</si>
  <si>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</si>
  <si>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</si>
  <si>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</si>
  <si>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</si>
  <si>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</si>
  <si>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</si>
  <si>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</si>
  <si>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</si>
  <si>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</si>
  <si>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</si>
  <si>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</si>
  <si>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</si>
  <si>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</si>
  <si>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</si>
  <si>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</si>
  <si>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</si>
  <si>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</si>
  <si>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</si>
  <si>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</si>
  <si>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</si>
  <si>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</si>
  <si>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</si>
  <si>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</si>
  <si>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</si>
  <si>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</si>
  <si>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</si>
  <si>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</si>
  <si>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</si>
  <si>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</si>
  <si>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</si>
  <si>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</si>
  <si>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</si>
  <si>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</si>
  <si>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</si>
  <si>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</si>
  <si>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</si>
  <si>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</si>
  <si>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</si>
  <si>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</si>
  <si>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</si>
  <si>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</si>
  <si>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</si>
  <si>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</si>
  <si>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</si>
  <si>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</si>
  <si>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</si>
  <si>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</si>
  <si>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</si>
  <si>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</si>
  <si>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</si>
  <si>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</si>
  <si>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</si>
  <si>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</si>
  <si>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</si>
  <si>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</si>
  <si>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</si>
  <si>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</si>
  <si>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</si>
  <si>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</si>
  <si>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</si>
  <si>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</si>
  <si>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</si>
  <si>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</si>
  <si>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</si>
  <si>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</si>
  <si>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</si>
  <si>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</si>
  <si>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National Quality Control Laoboratory</t>
  </si>
  <si>
    <t>Standardisation of Silver Nitrate</t>
  </si>
  <si>
    <t>Sodium Chloride</t>
  </si>
  <si>
    <t>NQCL-WRS-S4-1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</si>
  <si>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</si>
  <si>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</si>
  <si>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</si>
  <si>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</si>
  <si>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</si>
  <si>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</si>
  <si>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</si>
  <si>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</si>
  <si>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</si>
  <si>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</si>
  <si>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</si>
  <si>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</si>
  <si>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</si>
  <si>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</si>
  <si>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</si>
  <si>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</si>
  <si>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Each</t>
  </si>
  <si>
    <t>contains</t>
  </si>
  <si>
    <t>Each mL of 0.1 M Silver Nitrate VS is Equivalent to</t>
  </si>
  <si>
    <t>Actual Amount (mg)</t>
  </si>
  <si>
    <t>Sample</t>
  </si>
  <si>
    <t>Volume (mL)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</si>
  <si>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</si>
  <si>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</si>
  <si>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</si>
  <si>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</si>
  <si>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</si>
  <si>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</si>
  <si>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</si>
  <si>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Standardisation of the Volumetric Solutions</t>
  </si>
  <si>
    <t>Volumetric Solution:</t>
  </si>
  <si>
    <t>Each mL of</t>
  </si>
  <si>
    <t>is equivalent to</t>
  </si>
  <si>
    <t>Artesunate</t>
  </si>
  <si>
    <t>A15-1</t>
  </si>
  <si>
    <t>ARTESUN 30 mg INJECTION</t>
  </si>
  <si>
    <t>RUTTO/JOYFRIDA</t>
  </si>
  <si>
    <t>ARTESUNATE INJECTION</t>
  </si>
  <si>
    <t>Sodium Bicarbonate</t>
  </si>
  <si>
    <t>O.5M HCL</t>
  </si>
  <si>
    <t>SODIUM CARBONATE</t>
  </si>
  <si>
    <t xml:space="preserve"> </t>
  </si>
  <si>
    <t>Weight/Volume (mg/mL)</t>
  </si>
  <si>
    <t>Each vial contains: Sodium Chloride 0.9%</t>
  </si>
  <si>
    <t>SODIUM CHLORIDE</t>
  </si>
  <si>
    <t>20/04/2016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</si>
</sst>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  <numFmt numFmtId="173" formatCode="0.00\ &quot;M&quot;"/>
    <numFmt numFmtId="174" formatCode="0\ &quot;mL&quot;"/>
    <numFmt numFmtId="175" formatCode="0.000\ &quot;mg&quot;"/>
    <numFmt numFmtId="176" formatCode="General\ &quot;VS&quot;"/>
    <numFmt numFmtId="177" formatCode="0.0"/>
    <numFmt numFmtId="178" formatCode="0.0\ &quot;mL&quot;"/>
  </numFmts>
  <fonts count="3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color rgb="FF000000"/>
      <name val="Arial"/>
      <family val="2"/>
    </font>
    <font>
      <b/>
      <sz val="72"/>
      <color rgb="FF000000"/>
      <name val="Book Antiqua"/>
      <family val="1"/>
    </font>
    <font>
      <b/>
      <sz val="10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2" fillId="2" borderId="0"/>
    <xf numFmtId="0" fontId="23" fillId="2" borderId="0"/>
  </cellStyleXfs>
  <cellXfs count="54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4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39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2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 applyProtection="1">
      <protection locked="0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/>
    <xf numFmtId="0" fontId="12" fillId="2" borderId="0" xfId="0" applyFont="1" applyFill="1" applyAlignment="1">
      <alignment vertical="center" wrapText="1"/>
    </xf>
    <xf numFmtId="0" fontId="11" fillId="2" borderId="0" xfId="0" applyFont="1" applyFill="1"/>
    <xf numFmtId="0" fontId="11" fillId="2" borderId="0" xfId="0" applyFont="1" applyFill="1"/>
    <xf numFmtId="0" fontId="11" fillId="3" borderId="0" xfId="0" applyFont="1" applyFill="1" applyProtection="1">
      <protection locked="0"/>
    </xf>
    <xf numFmtId="0" fontId="17" fillId="2" borderId="9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1" fillId="3" borderId="0" xfId="0" applyFont="1" applyFill="1" applyAlignment="1" applyProtection="1">
      <alignment vertical="center"/>
      <protection locked="0"/>
    </xf>
    <xf numFmtId="170" fontId="11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center" vertical="center"/>
    </xf>
    <xf numFmtId="0" fontId="11" fillId="2" borderId="35" xfId="0" applyFont="1" applyFill="1" applyBorder="1" applyAlignment="1">
      <alignment horizontal="right" vertical="center"/>
    </xf>
    <xf numFmtId="0" fontId="1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2" fontId="12" fillId="2" borderId="3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 vertical="center"/>
    </xf>
    <xf numFmtId="0" fontId="11" fillId="2" borderId="7" xfId="0" applyFont="1" applyFill="1" applyBorder="1" applyAlignment="1" applyProtection="1">
      <alignment vertical="center"/>
      <protection locked="0"/>
    </xf>
    <xf numFmtId="0" fontId="11" fillId="2" borderId="7" xfId="0" applyFont="1" applyFill="1" applyBorder="1" applyAlignment="1">
      <alignment vertical="center"/>
    </xf>
    <xf numFmtId="0" fontId="11" fillId="2" borderId="7" xfId="0" applyFont="1" applyFill="1" applyBorder="1" applyAlignment="1">
      <alignment vertical="center"/>
    </xf>
    <xf numFmtId="0" fontId="12" fillId="2" borderId="11" xfId="0" applyFont="1" applyFill="1" applyBorder="1" applyAlignment="1" applyProtection="1">
      <alignment vertical="center"/>
      <protection locked="0"/>
    </xf>
    <xf numFmtId="0" fontId="12" fillId="2" borderId="11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0" fontId="12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3" borderId="0" xfId="0" applyFont="1" applyFill="1" applyAlignment="1" applyProtection="1">
      <alignment vertical="center"/>
      <protection locked="0"/>
    </xf>
    <xf numFmtId="0" fontId="11" fillId="3" borderId="0" xfId="0" applyFont="1" applyFill="1" applyAlignment="1" applyProtection="1">
      <alignment horizontal="left" vertical="center"/>
      <protection locked="0"/>
    </xf>
    <xf numFmtId="170" fontId="11" fillId="3" borderId="0" xfId="0" applyNumberFormat="1" applyFont="1" applyFill="1" applyAlignment="1" applyProtection="1">
      <alignment horizontal="left" vertical="center"/>
      <protection locked="0"/>
    </xf>
    <xf numFmtId="2" fontId="11" fillId="2" borderId="55" xfId="0" applyNumberFormat="1" applyFont="1" applyFill="1" applyBorder="1"/>
    <xf numFmtId="2" fontId="11" fillId="8" borderId="55" xfId="0" applyNumberFormat="1" applyFont="1" applyFill="1" applyBorder="1"/>
    <xf numFmtId="164" fontId="11" fillId="8" borderId="55" xfId="0" applyNumberFormat="1" applyFont="1" applyFill="1" applyBorder="1"/>
    <xf numFmtId="0" fontId="11" fillId="2" borderId="0" xfId="0" applyFont="1" applyFill="1" applyAlignment="1">
      <alignment vertical="center"/>
    </xf>
    <xf numFmtId="2" fontId="11" fillId="2" borderId="56" xfId="0" applyNumberFormat="1" applyFont="1" applyFill="1" applyBorder="1"/>
    <xf numFmtId="0" fontId="17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right"/>
    </xf>
    <xf numFmtId="0" fontId="11" fillId="2" borderId="0" xfId="0" applyFont="1" applyFill="1"/>
    <xf numFmtId="0" fontId="11" fillId="2" borderId="44" xfId="0" applyFont="1" applyFill="1" applyBorder="1" applyAlignment="1">
      <alignment horizontal="right"/>
    </xf>
    <xf numFmtId="0" fontId="11" fillId="2" borderId="50" xfId="0" applyFont="1" applyFill="1" applyBorder="1" applyAlignment="1">
      <alignment horizontal="right"/>
    </xf>
    <xf numFmtId="10" fontId="11" fillId="6" borderId="17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right"/>
    </xf>
    <xf numFmtId="0" fontId="11" fillId="7" borderId="18" xfId="0" applyFont="1" applyFill="1" applyBorder="1" applyAlignment="1">
      <alignment horizontal="center"/>
    </xf>
    <xf numFmtId="164" fontId="12" fillId="7" borderId="28" xfId="0" applyNumberFormat="1" applyFont="1" applyFill="1" applyBorder="1" applyAlignment="1">
      <alignment horizontal="center"/>
    </xf>
    <xf numFmtId="0" fontId="11" fillId="2" borderId="0" xfId="0" applyFont="1" applyFill="1"/>
    <xf numFmtId="2" fontId="12" fillId="2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Continuous"/>
    </xf>
    <xf numFmtId="0" fontId="11" fillId="2" borderId="28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right"/>
    </xf>
    <xf numFmtId="2" fontId="14" fillId="3" borderId="28" xfId="0" applyNumberFormat="1" applyFont="1" applyFill="1" applyBorder="1" applyAlignment="1" applyProtection="1">
      <alignment horizontal="center"/>
      <protection locked="0"/>
    </xf>
    <xf numFmtId="2" fontId="14" fillId="3" borderId="17" xfId="0" applyNumberFormat="1" applyFont="1" applyFill="1" applyBorder="1" applyAlignment="1" applyProtection="1">
      <alignment horizontal="center"/>
      <protection locked="0"/>
    </xf>
    <xf numFmtId="2" fontId="14" fillId="3" borderId="18" xfId="0" applyNumberFormat="1" applyFont="1" applyFill="1" applyBorder="1" applyAlignment="1" applyProtection="1">
      <alignment horizontal="center"/>
      <protection locked="0"/>
    </xf>
    <xf numFmtId="2" fontId="12" fillId="2" borderId="10" xfId="0" applyNumberFormat="1" applyFont="1" applyFill="1" applyBorder="1" applyAlignment="1">
      <alignment horizontal="center" vertical="center"/>
    </xf>
    <xf numFmtId="166" fontId="11" fillId="2" borderId="49" xfId="0" applyNumberFormat="1" applyFont="1" applyFill="1" applyBorder="1" applyAlignment="1">
      <alignment horizontal="center"/>
    </xf>
    <xf numFmtId="166" fontId="11" fillId="2" borderId="11" xfId="0" applyNumberFormat="1" applyFont="1" applyFill="1" applyBorder="1" applyAlignment="1">
      <alignment horizontal="center"/>
    </xf>
    <xf numFmtId="166" fontId="11" fillId="2" borderId="57" xfId="0" applyNumberFormat="1" applyFont="1" applyFill="1" applyBorder="1" applyAlignment="1">
      <alignment horizontal="center"/>
    </xf>
    <xf numFmtId="2" fontId="12" fillId="2" borderId="34" xfId="0" applyNumberFormat="1" applyFont="1" applyFill="1" applyBorder="1" applyAlignment="1">
      <alignment horizontal="center" vertical="center"/>
    </xf>
    <xf numFmtId="2" fontId="14" fillId="3" borderId="0" xfId="0" applyNumberFormat="1" applyFont="1" applyFill="1" applyAlignment="1" applyProtection="1">
      <alignment horizontal="center"/>
      <protection locked="0"/>
    </xf>
    <xf numFmtId="2" fontId="14" fillId="2" borderId="0" xfId="0" applyNumberFormat="1" applyFont="1" applyFill="1" applyAlignment="1" applyProtection="1">
      <alignment horizontal="center"/>
      <protection locked="0"/>
    </xf>
    <xf numFmtId="2" fontId="14" fillId="3" borderId="0" xfId="0" applyNumberFormat="1" applyFont="1" applyFill="1" applyAlignment="1" applyProtection="1">
      <alignment horizontal="left"/>
      <protection locked="0"/>
    </xf>
    <xf numFmtId="2" fontId="12" fillId="2" borderId="34" xfId="0" applyNumberFormat="1" applyFont="1" applyFill="1" applyBorder="1" applyAlignment="1">
      <alignment horizontal="center" vertical="center"/>
    </xf>
    <xf numFmtId="2" fontId="12" fillId="2" borderId="12" xfId="0" applyNumberFormat="1" applyFont="1" applyFill="1" applyBorder="1" applyAlignment="1">
      <alignment horizontal="center" vertical="center"/>
    </xf>
    <xf numFmtId="2" fontId="12" fillId="2" borderId="0" xfId="0" applyNumberFormat="1" applyFont="1" applyFill="1" applyAlignment="1">
      <alignment horizontal="center" vertical="center"/>
    </xf>
    <xf numFmtId="0" fontId="11" fillId="2" borderId="20" xfId="0" applyFont="1" applyFill="1" applyBorder="1" applyAlignment="1">
      <alignment horizontal="center"/>
    </xf>
    <xf numFmtId="0" fontId="11" fillId="2" borderId="50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4" fillId="3" borderId="20" xfId="0" applyNumberFormat="1" applyFont="1" applyFill="1" applyBorder="1" applyAlignment="1" applyProtection="1">
      <alignment horizontal="center"/>
      <protection locked="0"/>
    </xf>
    <xf numFmtId="2" fontId="14" fillId="3" borderId="50" xfId="0" applyNumberFormat="1" applyFont="1" applyFill="1" applyBorder="1" applyAlignment="1" applyProtection="1">
      <alignment horizontal="center"/>
      <protection locked="0"/>
    </xf>
    <xf numFmtId="2" fontId="14" fillId="3" borderId="24" xfId="0" applyNumberFormat="1" applyFont="1" applyFill="1" applyBorder="1" applyAlignment="1" applyProtection="1">
      <alignment horizontal="center"/>
      <protection locked="0"/>
    </xf>
    <xf numFmtId="166" fontId="12" fillId="7" borderId="14" xfId="0" applyNumberFormat="1" applyFont="1" applyFill="1" applyBorder="1" applyAlignment="1">
      <alignment horizontal="center"/>
    </xf>
    <xf numFmtId="2" fontId="14" fillId="3" borderId="23" xfId="0" applyNumberFormat="1" applyFont="1" applyFill="1" applyBorder="1" applyAlignment="1" applyProtection="1">
      <alignment horizontal="center"/>
      <protection locked="0"/>
    </xf>
    <xf numFmtId="2" fontId="14" fillId="3" borderId="58" xfId="0" applyNumberFormat="1" applyFont="1" applyFill="1" applyBorder="1" applyAlignment="1" applyProtection="1">
      <alignment horizontal="center"/>
      <protection locked="0"/>
    </xf>
    <xf numFmtId="2" fontId="14" fillId="3" borderId="27" xfId="0" applyNumberFormat="1" applyFont="1" applyFill="1" applyBorder="1" applyAlignment="1" applyProtection="1">
      <alignment horizontal="center"/>
      <protection locked="0"/>
    </xf>
    <xf numFmtId="0" fontId="11" fillId="2" borderId="20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8" xfId="0" applyFont="1" applyFill="1" applyBorder="1" applyAlignment="1">
      <alignment horizontal="center"/>
    </xf>
    <xf numFmtId="2" fontId="12" fillId="2" borderId="33" xfId="0" applyNumberFormat="1" applyFont="1" applyFill="1" applyBorder="1" applyAlignment="1">
      <alignment horizontal="center" vertical="center"/>
    </xf>
    <xf numFmtId="2" fontId="14" fillId="7" borderId="14" xfId="0" applyNumberFormat="1" applyFont="1" applyFill="1" applyBorder="1" applyAlignment="1">
      <alignment horizontal="center"/>
    </xf>
    <xf numFmtId="2" fontId="11" fillId="2" borderId="49" xfId="0" applyNumberFormat="1" applyFont="1" applyFill="1" applyBorder="1" applyAlignment="1">
      <alignment horizontal="center"/>
    </xf>
    <xf numFmtId="166" fontId="11" fillId="2" borderId="28" xfId="0" applyNumberFormat="1" applyFont="1" applyFill="1" applyBorder="1" applyAlignment="1">
      <alignment horizontal="center" vertical="center"/>
    </xf>
    <xf numFmtId="166" fontId="11" fillId="2" borderId="17" xfId="0" applyNumberFormat="1" applyFont="1" applyFill="1" applyBorder="1" applyAlignment="1">
      <alignment horizontal="center" vertical="center"/>
    </xf>
    <xf numFmtId="166" fontId="11" fillId="2" borderId="18" xfId="0" applyNumberFormat="1" applyFont="1" applyFill="1" applyBorder="1" applyAlignment="1">
      <alignment horizontal="center" vertical="center"/>
    </xf>
    <xf numFmtId="0" fontId="11" fillId="2" borderId="57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173" fontId="14" fillId="3" borderId="0" xfId="0" applyNumberFormat="1" applyFont="1" applyFill="1" applyAlignment="1" applyProtection="1">
      <alignment horizontal="center"/>
      <protection locked="0"/>
    </xf>
    <xf numFmtId="164" fontId="11" fillId="2" borderId="49" xfId="0" applyNumberFormat="1" applyFont="1" applyFill="1" applyBorder="1" applyAlignment="1">
      <alignment horizontal="center"/>
    </xf>
    <xf numFmtId="164" fontId="11" fillId="2" borderId="11" xfId="0" applyNumberFormat="1" applyFont="1" applyFill="1" applyBorder="1" applyAlignment="1">
      <alignment horizontal="center"/>
    </xf>
    <xf numFmtId="164" fontId="11" fillId="2" borderId="57" xfId="0" applyNumberFormat="1" applyFont="1" applyFill="1" applyBorder="1" applyAlignment="1">
      <alignment horizontal="center"/>
    </xf>
    <xf numFmtId="164" fontId="11" fillId="2" borderId="28" xfId="0" applyNumberFormat="1" applyFont="1" applyFill="1" applyBorder="1" applyAlignment="1">
      <alignment horizontal="center"/>
    </xf>
    <xf numFmtId="164" fontId="11" fillId="2" borderId="17" xfId="0" applyNumberFormat="1" applyFont="1" applyFill="1" applyBorder="1" applyAlignment="1">
      <alignment horizontal="center"/>
    </xf>
    <xf numFmtId="164" fontId="11" fillId="2" borderId="18" xfId="0" applyNumberFormat="1" applyFont="1" applyFill="1" applyBorder="1" applyAlignment="1">
      <alignment horizontal="center"/>
    </xf>
    <xf numFmtId="2" fontId="11" fillId="2" borderId="59" xfId="0" applyNumberFormat="1" applyFont="1" applyFill="1" applyBorder="1"/>
    <xf numFmtId="10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10" fontId="11" fillId="2" borderId="17" xfId="0" applyNumberFormat="1" applyFont="1" applyFill="1" applyBorder="1" applyAlignment="1">
      <alignment horizontal="center"/>
    </xf>
    <xf numFmtId="10" fontId="11" fillId="2" borderId="18" xfId="0" applyNumberFormat="1" applyFont="1" applyFill="1" applyBorder="1" applyAlignment="1">
      <alignment horizontal="center"/>
    </xf>
    <xf numFmtId="2" fontId="11" fillId="2" borderId="29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9" xfId="0" applyNumberFormat="1" applyFont="1" applyFill="1" applyBorder="1" applyAlignment="1">
      <alignment horizontal="center"/>
    </xf>
    <xf numFmtId="10" fontId="13" fillId="2" borderId="17" xfId="0" applyNumberFormat="1" applyFont="1" applyFill="1" applyBorder="1" applyAlignment="1">
      <alignment horizontal="center"/>
    </xf>
    <xf numFmtId="2" fontId="11" fillId="2" borderId="11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vertic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2" fontId="14" fillId="2" borderId="0" xfId="0" applyNumberFormat="1" applyFont="1" applyFill="1" applyAlignment="1">
      <alignment horizontal="center"/>
    </xf>
    <xf numFmtId="10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1" fillId="2" borderId="28" xfId="0" applyNumberFormat="1" applyFont="1" applyFill="1" applyBorder="1" applyAlignment="1">
      <alignment horizontal="center"/>
    </xf>
    <xf numFmtId="10" fontId="11" fillId="2" borderId="17" xfId="0" applyNumberFormat="1" applyFont="1" applyFill="1" applyBorder="1" applyAlignment="1">
      <alignment horizontal="center"/>
    </xf>
    <xf numFmtId="10" fontId="14" fillId="7" borderId="14" xfId="0" applyNumberFormat="1" applyFont="1" applyFill="1" applyBorder="1" applyAlignment="1">
      <alignment horizontal="center"/>
    </xf>
    <xf numFmtId="2" fontId="11" fillId="2" borderId="57" xfId="0" applyNumberFormat="1" applyFont="1" applyFill="1" applyBorder="1" applyAlignment="1">
      <alignment horizontal="center"/>
    </xf>
    <xf numFmtId="166" fontId="12" fillId="7" borderId="12" xfId="0" applyNumberFormat="1" applyFont="1" applyFill="1" applyBorder="1" applyAlignment="1">
      <alignment horizontal="center"/>
    </xf>
    <xf numFmtId="10" fontId="12" fillId="7" borderId="53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171" fontId="14" fillId="3" borderId="28" xfId="0" applyNumberFormat="1" applyFont="1" applyFill="1" applyBorder="1" applyAlignment="1" applyProtection="1">
      <alignment horizontal="center"/>
      <protection locked="0"/>
    </xf>
    <xf numFmtId="171" fontId="14" fillId="3" borderId="17" xfId="0" applyNumberFormat="1" applyFont="1" applyFill="1" applyBorder="1" applyAlignment="1" applyProtection="1">
      <alignment horizontal="center"/>
      <protection locked="0"/>
    </xf>
    <xf numFmtId="171" fontId="14" fillId="3" borderId="18" xfId="0" applyNumberFormat="1" applyFont="1" applyFill="1" applyBorder="1" applyAlignment="1" applyProtection="1">
      <alignment horizontal="center"/>
      <protection locked="0"/>
    </xf>
    <xf numFmtId="171" fontId="14" fillId="3" borderId="21" xfId="0" applyNumberFormat="1" applyFont="1" applyFill="1" applyBorder="1" applyAlignment="1" applyProtection="1">
      <alignment horizontal="center"/>
      <protection locked="0"/>
    </xf>
    <xf numFmtId="171" fontId="14" fillId="3" borderId="37" xfId="0" applyNumberFormat="1" applyFont="1" applyFill="1" applyBorder="1" applyAlignment="1" applyProtection="1">
      <alignment horizontal="center"/>
      <protection locked="0"/>
    </xf>
    <xf numFmtId="171" fontId="14" fillId="3" borderId="25" xfId="0" applyNumberFormat="1" applyFont="1" applyFill="1" applyBorder="1" applyAlignment="1" applyProtection="1">
      <alignment horizontal="center"/>
      <protection locked="0"/>
    </xf>
    <xf numFmtId="171" fontId="11" fillId="2" borderId="49" xfId="0" applyNumberFormat="1" applyFont="1" applyFill="1" applyBorder="1" applyAlignment="1">
      <alignment horizontal="center" vertical="center"/>
    </xf>
    <xf numFmtId="171" fontId="11" fillId="2" borderId="11" xfId="0" applyNumberFormat="1" applyFont="1" applyFill="1" applyBorder="1" applyAlignment="1">
      <alignment horizontal="center" vertical="center"/>
    </xf>
    <xf numFmtId="2" fontId="14" fillId="7" borderId="44" xfId="0" applyNumberFormat="1" applyFont="1" applyFill="1" applyBorder="1" applyAlignment="1">
      <alignment horizontal="center"/>
    </xf>
    <xf numFmtId="10" fontId="13" fillId="6" borderId="50" xfId="0" applyNumberFormat="1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2" fontId="12" fillId="2" borderId="12" xfId="0" applyNumberFormat="1" applyFont="1" applyFill="1" applyBorder="1" applyAlignment="1">
      <alignment vertical="center"/>
    </xf>
    <xf numFmtId="174" fontId="14" fillId="3" borderId="0" xfId="0" applyNumberFormat="1" applyFont="1" applyFill="1" applyAlignment="1" applyProtection="1">
      <alignment horizontal="center"/>
      <protection locked="0"/>
    </xf>
    <xf numFmtId="172" fontId="14" fillId="3" borderId="0" xfId="0" applyNumberFormat="1" applyFont="1" applyFill="1" applyAlignment="1" applyProtection="1">
      <alignment horizontal="center"/>
      <protection locked="0"/>
    </xf>
    <xf numFmtId="175" fontId="14" fillId="3" borderId="0" xfId="0" applyNumberFormat="1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vertical="center"/>
      <protection locked="0"/>
    </xf>
    <xf numFmtId="0" fontId="11" fillId="2" borderId="7" xfId="0" applyFont="1" applyFill="1" applyBorder="1" applyAlignment="1" applyProtection="1">
      <alignment vertical="center"/>
      <protection locked="0"/>
    </xf>
    <xf numFmtId="0" fontId="2" fillId="2" borderId="0" xfId="1" applyFont="1" applyFill="1"/>
    <xf numFmtId="0" fontId="2" fillId="2" borderId="0" xfId="1" applyFont="1" applyFill="1" applyAlignment="1">
      <alignment horizontal="center"/>
    </xf>
    <xf numFmtId="10" fontId="2" fillId="2" borderId="0" xfId="1" applyNumberFormat="1" applyFont="1" applyFill="1"/>
    <xf numFmtId="164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1" fillId="2" borderId="0" xfId="1" applyFont="1" applyFill="1"/>
    <xf numFmtId="2" fontId="2" fillId="2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 wrapText="1"/>
    </xf>
    <xf numFmtId="0" fontId="6" fillId="2" borderId="4" xfId="1" applyFont="1" applyFill="1" applyBorder="1"/>
    <xf numFmtId="167" fontId="2" fillId="2" borderId="0" xfId="1" applyNumberFormat="1" applyFont="1" applyFill="1" applyAlignment="1">
      <alignment horizontal="center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10" fillId="2" borderId="0" xfId="1" applyFont="1" applyFill="1" applyAlignment="1">
      <alignment horizontal="left"/>
    </xf>
    <xf numFmtId="164" fontId="1" fillId="2" borderId="12" xfId="1" applyNumberFormat="1" applyFont="1" applyFill="1" applyBorder="1" applyAlignment="1">
      <alignment horizontal="center"/>
    </xf>
    <xf numFmtId="164" fontId="1" fillId="2" borderId="13" xfId="1" applyNumberFormat="1" applyFont="1" applyFill="1" applyBorder="1" applyAlignment="1">
      <alignment horizontal="center"/>
    </xf>
    <xf numFmtId="0" fontId="1" fillId="2" borderId="12" xfId="1" applyFont="1" applyFill="1" applyBorder="1" applyAlignment="1">
      <alignment horizontal="center"/>
    </xf>
    <xf numFmtId="0" fontId="1" fillId="2" borderId="13" xfId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 wrapText="1"/>
    </xf>
    <xf numFmtId="0" fontId="2" fillId="2" borderId="14" xfId="1" applyFont="1" applyFill="1" applyBorder="1" applyAlignment="1">
      <alignment horizontal="center"/>
    </xf>
    <xf numFmtId="2" fontId="2" fillId="3" borderId="15" xfId="1" applyNumberFormat="1" applyFont="1" applyFill="1" applyBorder="1" applyAlignment="1" applyProtection="1">
      <alignment horizontal="center"/>
      <protection locked="0"/>
    </xf>
    <xf numFmtId="2" fontId="2" fillId="3" borderId="14" xfId="1" applyNumberFormat="1" applyFont="1" applyFill="1" applyBorder="1" applyAlignment="1" applyProtection="1">
      <alignment horizontal="center"/>
      <protection locked="0"/>
    </xf>
    <xf numFmtId="2" fontId="2" fillId="2" borderId="14" xfId="1" applyNumberFormat="1" applyFont="1" applyFill="1" applyBorder="1" applyAlignment="1">
      <alignment horizontal="center"/>
    </xf>
    <xf numFmtId="10" fontId="2" fillId="2" borderId="16" xfId="1" applyNumberFormat="1" applyFont="1" applyFill="1" applyBorder="1" applyAlignment="1">
      <alignment horizontal="center"/>
    </xf>
    <xf numFmtId="0" fontId="2" fillId="2" borderId="17" xfId="1" applyFont="1" applyFill="1" applyBorder="1" applyAlignment="1">
      <alignment horizontal="center"/>
    </xf>
    <xf numFmtId="2" fontId="2" fillId="3" borderId="16" xfId="1" applyNumberFormat="1" applyFont="1" applyFill="1" applyBorder="1" applyAlignment="1" applyProtection="1">
      <alignment horizontal="center"/>
      <protection locked="0"/>
    </xf>
    <xf numFmtId="2" fontId="2" fillId="3" borderId="17" xfId="1" applyNumberFormat="1" applyFont="1" applyFill="1" applyBorder="1" applyAlignment="1" applyProtection="1">
      <alignment horizontal="center"/>
      <protection locked="0"/>
    </xf>
    <xf numFmtId="2" fontId="2" fillId="2" borderId="17" xfId="1" applyNumberFormat="1" applyFont="1" applyFill="1" applyBorder="1" applyAlignment="1">
      <alignment horizontal="center"/>
    </xf>
    <xf numFmtId="2" fontId="2" fillId="3" borderId="16" xfId="1" applyNumberFormat="1" applyFont="1" applyFill="1" applyBorder="1" applyAlignment="1" applyProtection="1">
      <alignment horizontal="center" wrapText="1"/>
      <protection locked="0"/>
    </xf>
    <xf numFmtId="166" fontId="2" fillId="2" borderId="0" xfId="1" applyNumberFormat="1" applyFont="1" applyFill="1" applyAlignment="1">
      <alignment horizontal="center"/>
    </xf>
    <xf numFmtId="166" fontId="8" fillId="2" borderId="0" xfId="1" applyNumberFormat="1" applyFont="1" applyFill="1" applyAlignment="1">
      <alignment horizontal="center"/>
    </xf>
    <xf numFmtId="10" fontId="8" fillId="2" borderId="0" xfId="1" applyNumberFormat="1" applyFont="1" applyFill="1" applyAlignment="1">
      <alignment horizontal="center"/>
    </xf>
    <xf numFmtId="164" fontId="8" fillId="2" borderId="0" xfId="1" applyNumberFormat="1" applyFont="1" applyFill="1" applyAlignment="1">
      <alignment horizontal="center"/>
    </xf>
    <xf numFmtId="2" fontId="22" fillId="2" borderId="0" xfId="1" applyNumberFormat="1" applyFill="1" applyAlignment="1">
      <alignment horizontal="center"/>
    </xf>
    <xf numFmtId="164" fontId="22" fillId="2" borderId="0" xfId="1" applyNumberFormat="1" applyFill="1"/>
    <xf numFmtId="10" fontId="22" fillId="2" borderId="0" xfId="1" applyNumberFormat="1" applyFill="1"/>
    <xf numFmtId="2" fontId="22" fillId="2" borderId="0" xfId="1" applyNumberFormat="1" applyFill="1"/>
    <xf numFmtId="0" fontId="22" fillId="2" borderId="0" xfId="1" applyFill="1" applyAlignment="1">
      <alignment horizontal="right"/>
    </xf>
    <xf numFmtId="1" fontId="2" fillId="2" borderId="18" xfId="1" applyNumberFormat="1" applyFont="1" applyFill="1" applyBorder="1" applyAlignment="1">
      <alignment horizontal="center"/>
    </xf>
    <xf numFmtId="2" fontId="2" fillId="3" borderId="19" xfId="1" applyNumberFormat="1" applyFont="1" applyFill="1" applyBorder="1" applyAlignment="1" applyProtection="1">
      <alignment horizontal="center" wrapText="1"/>
      <protection locked="0"/>
    </xf>
    <xf numFmtId="2" fontId="2" fillId="3" borderId="18" xfId="1" applyNumberFormat="1" applyFont="1" applyFill="1" applyBorder="1" applyAlignment="1" applyProtection="1">
      <alignment horizontal="center"/>
      <protection locked="0"/>
    </xf>
    <xf numFmtId="2" fontId="2" fillId="2" borderId="18" xfId="1" applyNumberFormat="1" applyFont="1" applyFill="1" applyBorder="1" applyAlignment="1">
      <alignment horizontal="center"/>
    </xf>
    <xf numFmtId="10" fontId="2" fillId="2" borderId="19" xfId="1" applyNumberFormat="1" applyFont="1" applyFill="1" applyBorder="1" applyAlignment="1">
      <alignment horizontal="center"/>
    </xf>
    <xf numFmtId="0" fontId="2" fillId="2" borderId="20" xfId="1" applyFont="1" applyFill="1" applyBorder="1" applyAlignment="1">
      <alignment horizontal="right"/>
    </xf>
    <xf numFmtId="166" fontId="2" fillId="2" borderId="21" xfId="1" applyNumberFormat="1" applyFont="1" applyFill="1" applyBorder="1" applyAlignment="1">
      <alignment horizontal="center"/>
    </xf>
    <xf numFmtId="166" fontId="2" fillId="2" borderId="22" xfId="1" applyNumberFormat="1" applyFont="1" applyFill="1" applyBorder="1" applyAlignment="1">
      <alignment horizontal="center"/>
    </xf>
    <xf numFmtId="166" fontId="2" fillId="2" borderId="23" xfId="1" applyNumberFormat="1" applyFont="1" applyFill="1" applyBorder="1" applyAlignment="1">
      <alignment horizontal="center"/>
    </xf>
    <xf numFmtId="0" fontId="2" fillId="2" borderId="24" xfId="1" applyFont="1" applyFill="1" applyBorder="1" applyAlignment="1">
      <alignment horizontal="right"/>
    </xf>
    <xf numFmtId="166" fontId="1" fillId="2" borderId="25" xfId="1" applyNumberFormat="1" applyFont="1" applyFill="1" applyBorder="1" applyAlignment="1">
      <alignment horizontal="center"/>
    </xf>
    <xf numFmtId="166" fontId="1" fillId="2" borderId="26" xfId="1" applyNumberFormat="1" applyFont="1" applyFill="1" applyBorder="1" applyAlignment="1">
      <alignment horizontal="center"/>
    </xf>
    <xf numFmtId="166" fontId="1" fillId="2" borderId="27" xfId="1" applyNumberFormat="1" applyFont="1" applyFill="1" applyBorder="1" applyAlignment="1">
      <alignment horizontal="center"/>
    </xf>
    <xf numFmtId="164" fontId="2" fillId="2" borderId="0" xfId="1" applyNumberFormat="1" applyFont="1" applyFill="1"/>
    <xf numFmtId="0" fontId="1" fillId="2" borderId="12" xfId="1" applyFont="1" applyFill="1" applyBorder="1" applyAlignment="1">
      <alignment horizontal="center" vertical="center"/>
    </xf>
    <xf numFmtId="0" fontId="1" fillId="2" borderId="12" xfId="1" applyFont="1" applyFill="1" applyBorder="1" applyAlignment="1">
      <alignment horizontal="center" wrapText="1"/>
    </xf>
    <xf numFmtId="165" fontId="1" fillId="2" borderId="28" xfId="1" applyNumberFormat="1" applyFont="1" applyFill="1" applyBorder="1" applyAlignment="1">
      <alignment horizontal="center"/>
    </xf>
    <xf numFmtId="168" fontId="1" fillId="2" borderId="29" xfId="1" applyNumberFormat="1" applyFont="1" applyFill="1" applyBorder="1" applyAlignment="1">
      <alignment horizontal="center" vertical="center"/>
    </xf>
    <xf numFmtId="165" fontId="1" fillId="2" borderId="18" xfId="1" applyNumberFormat="1" applyFont="1" applyFill="1" applyBorder="1" applyAlignment="1">
      <alignment horizontal="center"/>
    </xf>
    <xf numFmtId="0" fontId="2" fillId="2" borderId="9" xfId="1" applyFont="1" applyFill="1" applyBorder="1"/>
    <xf numFmtId="0" fontId="2" fillId="2" borderId="0" xfId="1" applyFont="1" applyFill="1" applyAlignment="1">
      <alignment horizontal="right"/>
    </xf>
    <xf numFmtId="10" fontId="2" fillId="2" borderId="30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2" fillId="2" borderId="0" xfId="1" applyFill="1"/>
    <xf numFmtId="14" fontId="6" fillId="2" borderId="0" xfId="0" applyNumberFormat="1" applyFont="1" applyFill="1"/>
    <xf numFmtId="0" fontId="25" fillId="2" borderId="0" xfId="2" applyFont="1" applyFill="1"/>
    <xf numFmtId="0" fontId="27" fillId="2" borderId="0" xfId="2" applyFont="1" applyFill="1" applyAlignment="1">
      <alignment horizontal="center"/>
    </xf>
    <xf numFmtId="0" fontId="29" fillId="2" borderId="0" xfId="2" applyFont="1" applyFill="1" applyAlignment="1">
      <alignment vertical="center"/>
    </xf>
    <xf numFmtId="0" fontId="30" fillId="3" borderId="0" xfId="2" applyFont="1" applyFill="1" applyAlignment="1" applyProtection="1">
      <alignment vertical="center"/>
      <protection locked="0"/>
    </xf>
    <xf numFmtId="0" fontId="29" fillId="3" borderId="0" xfId="2" applyFont="1" applyFill="1" applyAlignment="1" applyProtection="1">
      <alignment vertical="center"/>
      <protection locked="0"/>
    </xf>
    <xf numFmtId="0" fontId="31" fillId="3" borderId="0" xfId="2" applyFont="1" applyFill="1" applyAlignment="1" applyProtection="1">
      <alignment horizontal="left" vertical="center"/>
      <protection locked="0"/>
    </xf>
    <xf numFmtId="0" fontId="32" fillId="2" borderId="0" xfId="2" applyFont="1" applyFill="1" applyAlignment="1">
      <alignment vertical="center"/>
    </xf>
    <xf numFmtId="170" fontId="32" fillId="2" borderId="0" xfId="2" applyNumberFormat="1" applyFont="1" applyFill="1" applyAlignment="1">
      <alignment horizontal="left" vertical="center"/>
    </xf>
    <xf numFmtId="0" fontId="27" fillId="2" borderId="0" xfId="2" applyFont="1" applyFill="1" applyAlignment="1">
      <alignment horizontal="left" vertical="center"/>
    </xf>
    <xf numFmtId="0" fontId="29" fillId="2" borderId="0" xfId="2" applyFont="1" applyFill="1" applyAlignment="1">
      <alignment horizontal="left" vertical="center"/>
    </xf>
    <xf numFmtId="0" fontId="29" fillId="2" borderId="0" xfId="2" applyFont="1" applyFill="1" applyAlignment="1">
      <alignment horizontal="right" vertical="center"/>
    </xf>
    <xf numFmtId="176" fontId="30" fillId="3" borderId="0" xfId="2" applyNumberFormat="1" applyFont="1" applyFill="1" applyAlignment="1" applyProtection="1">
      <alignment horizontal="left"/>
      <protection locked="0"/>
    </xf>
    <xf numFmtId="2" fontId="30" fillId="3" borderId="0" xfId="2" applyNumberFormat="1" applyFont="1" applyFill="1" applyAlignment="1" applyProtection="1">
      <alignment horizontal="center"/>
      <protection locked="0"/>
    </xf>
    <xf numFmtId="0" fontId="29" fillId="2" borderId="0" xfId="2" applyFont="1" applyFill="1" applyAlignment="1">
      <alignment horizontal="right"/>
    </xf>
    <xf numFmtId="2" fontId="30" fillId="3" borderId="0" xfId="2" applyNumberFormat="1" applyFont="1" applyFill="1" applyAlignment="1" applyProtection="1">
      <alignment horizontal="left"/>
      <protection locked="0"/>
    </xf>
    <xf numFmtId="0" fontId="32" fillId="2" borderId="0" xfId="2" applyFont="1" applyFill="1"/>
    <xf numFmtId="0" fontId="32" fillId="2" borderId="35" xfId="2" applyFont="1" applyFill="1" applyBorder="1" applyAlignment="1">
      <alignment horizontal="right" vertical="center"/>
    </xf>
    <xf numFmtId="2" fontId="30" fillId="2" borderId="0" xfId="2" applyNumberFormat="1" applyFont="1" applyFill="1" applyAlignment="1" applyProtection="1">
      <alignment horizontal="center"/>
      <protection locked="0"/>
    </xf>
    <xf numFmtId="0" fontId="28" fillId="2" borderId="0" xfId="2" applyFont="1" applyFill="1" applyAlignment="1">
      <alignment vertical="center" wrapText="1"/>
    </xf>
    <xf numFmtId="0" fontId="32" fillId="2" borderId="0" xfId="2" applyFont="1" applyFill="1" applyAlignment="1">
      <alignment horizontal="right" vertical="center"/>
    </xf>
    <xf numFmtId="173" fontId="30" fillId="3" borderId="0" xfId="2" applyNumberFormat="1" applyFont="1" applyFill="1" applyAlignment="1" applyProtection="1">
      <alignment horizontal="center"/>
      <protection locked="0"/>
    </xf>
    <xf numFmtId="2" fontId="32" fillId="2" borderId="0" xfId="2" applyNumberFormat="1" applyFont="1" applyFill="1" applyAlignment="1">
      <alignment horizontal="right"/>
    </xf>
    <xf numFmtId="2" fontId="29" fillId="2" borderId="0" xfId="2" applyNumberFormat="1" applyFont="1" applyFill="1" applyAlignment="1">
      <alignment horizontal="centerContinuous"/>
    </xf>
    <xf numFmtId="0" fontId="29" fillId="2" borderId="0" xfId="2" applyFont="1" applyFill="1" applyAlignment="1">
      <alignment horizontal="center" vertical="center"/>
    </xf>
    <xf numFmtId="2" fontId="29" fillId="2" borderId="31" xfId="2" applyNumberFormat="1" applyFont="1" applyFill="1" applyBorder="1" applyAlignment="1">
      <alignment horizontal="center" vertical="center"/>
    </xf>
    <xf numFmtId="2" fontId="29" fillId="2" borderId="10" xfId="2" applyNumberFormat="1" applyFont="1" applyFill="1" applyBorder="1" applyAlignment="1">
      <alignment horizontal="center" vertical="center"/>
    </xf>
    <xf numFmtId="2" fontId="29" fillId="2" borderId="34" xfId="2" applyNumberFormat="1" applyFont="1" applyFill="1" applyBorder="1" applyAlignment="1">
      <alignment horizontal="center" vertical="center"/>
    </xf>
    <xf numFmtId="0" fontId="32" fillId="2" borderId="28" xfId="2" applyFont="1" applyFill="1" applyBorder="1" applyAlignment="1">
      <alignment horizontal="center"/>
    </xf>
    <xf numFmtId="2" fontId="30" fillId="3" borderId="20" xfId="2" applyNumberFormat="1" applyFont="1" applyFill="1" applyBorder="1" applyAlignment="1" applyProtection="1">
      <alignment horizontal="center"/>
      <protection locked="0"/>
    </xf>
    <xf numFmtId="166" fontId="32" fillId="2" borderId="28" xfId="2" applyNumberFormat="1" applyFont="1" applyFill="1" applyBorder="1" applyAlignment="1">
      <alignment horizontal="center"/>
    </xf>
    <xf numFmtId="177" fontId="30" fillId="3" borderId="29" xfId="2" applyNumberFormat="1" applyFont="1" applyFill="1" applyBorder="1" applyAlignment="1" applyProtection="1">
      <alignment horizontal="center"/>
      <protection locked="0"/>
    </xf>
    <xf numFmtId="164" fontId="32" fillId="2" borderId="49" xfId="2" applyNumberFormat="1" applyFont="1" applyFill="1" applyBorder="1" applyAlignment="1">
      <alignment horizontal="center"/>
    </xf>
    <xf numFmtId="10" fontId="32" fillId="2" borderId="20" xfId="2" applyNumberFormat="1" applyFont="1" applyFill="1" applyBorder="1" applyAlignment="1">
      <alignment horizontal="center"/>
    </xf>
    <xf numFmtId="164" fontId="32" fillId="2" borderId="28" xfId="2" applyNumberFormat="1" applyFont="1" applyFill="1" applyBorder="1" applyAlignment="1">
      <alignment horizontal="center"/>
    </xf>
    <xf numFmtId="0" fontId="32" fillId="2" borderId="17" xfId="2" applyFont="1" applyFill="1" applyBorder="1" applyAlignment="1">
      <alignment horizontal="center"/>
    </xf>
    <xf numFmtId="2" fontId="30" fillId="3" borderId="50" xfId="2" applyNumberFormat="1" applyFont="1" applyFill="1" applyBorder="1" applyAlignment="1" applyProtection="1">
      <alignment horizontal="center"/>
      <protection locked="0"/>
    </xf>
    <xf numFmtId="166" fontId="32" fillId="2" borderId="17" xfId="2" applyNumberFormat="1" applyFont="1" applyFill="1" applyBorder="1" applyAlignment="1">
      <alignment horizontal="center"/>
    </xf>
    <xf numFmtId="177" fontId="30" fillId="3" borderId="16" xfId="2" applyNumberFormat="1" applyFont="1" applyFill="1" applyBorder="1" applyAlignment="1" applyProtection="1">
      <alignment horizontal="center"/>
      <protection locked="0"/>
    </xf>
    <xf numFmtId="164" fontId="32" fillId="2" borderId="11" xfId="2" applyNumberFormat="1" applyFont="1" applyFill="1" applyBorder="1" applyAlignment="1">
      <alignment horizontal="center"/>
    </xf>
    <xf numFmtId="10" fontId="32" fillId="2" borderId="50" xfId="2" applyNumberFormat="1" applyFont="1" applyFill="1" applyBorder="1" applyAlignment="1">
      <alignment horizontal="center"/>
    </xf>
    <xf numFmtId="164" fontId="32" fillId="2" borderId="17" xfId="2" applyNumberFormat="1" applyFont="1" applyFill="1" applyBorder="1" applyAlignment="1">
      <alignment horizontal="center"/>
    </xf>
    <xf numFmtId="0" fontId="32" fillId="2" borderId="18" xfId="2" applyFont="1" applyFill="1" applyBorder="1" applyAlignment="1">
      <alignment horizontal="center"/>
    </xf>
    <xf numFmtId="2" fontId="30" fillId="3" borderId="24" xfId="2" applyNumberFormat="1" applyFont="1" applyFill="1" applyBorder="1" applyAlignment="1" applyProtection="1">
      <alignment horizontal="center"/>
      <protection locked="0"/>
    </xf>
    <xf numFmtId="166" fontId="32" fillId="2" borderId="18" xfId="2" applyNumberFormat="1" applyFont="1" applyFill="1" applyBorder="1" applyAlignment="1">
      <alignment horizontal="center"/>
    </xf>
    <xf numFmtId="177" fontId="30" fillId="3" borderId="19" xfId="2" applyNumberFormat="1" applyFont="1" applyFill="1" applyBorder="1" applyAlignment="1" applyProtection="1">
      <alignment horizontal="center"/>
      <protection locked="0"/>
    </xf>
    <xf numFmtId="164" fontId="32" fillId="2" borderId="57" xfId="2" applyNumberFormat="1" applyFont="1" applyFill="1" applyBorder="1" applyAlignment="1">
      <alignment horizontal="center"/>
    </xf>
    <xf numFmtId="10" fontId="32" fillId="2" borderId="24" xfId="2" applyNumberFormat="1" applyFont="1" applyFill="1" applyBorder="1" applyAlignment="1">
      <alignment horizontal="center"/>
    </xf>
    <xf numFmtId="164" fontId="32" fillId="2" borderId="18" xfId="2" applyNumberFormat="1" applyFont="1" applyFill="1" applyBorder="1" applyAlignment="1">
      <alignment horizontal="center"/>
    </xf>
    <xf numFmtId="0" fontId="32" fillId="2" borderId="20" xfId="2" applyFont="1" applyFill="1" applyBorder="1" applyAlignment="1">
      <alignment horizontal="right"/>
    </xf>
    <xf numFmtId="164" fontId="29" fillId="7" borderId="28" xfId="2" applyNumberFormat="1" applyFont="1" applyFill="1" applyBorder="1" applyAlignment="1">
      <alignment horizontal="center"/>
    </xf>
    <xf numFmtId="10" fontId="29" fillId="7" borderId="53" xfId="2" applyNumberFormat="1" applyFont="1" applyFill="1" applyBorder="1" applyAlignment="1">
      <alignment horizontal="center"/>
    </xf>
    <xf numFmtId="166" fontId="29" fillId="7" borderId="32" xfId="2" applyNumberFormat="1" applyFont="1" applyFill="1" applyBorder="1" applyAlignment="1">
      <alignment horizontal="center"/>
    </xf>
    <xf numFmtId="2" fontId="32" fillId="2" borderId="55" xfId="2" applyNumberFormat="1" applyFont="1" applyFill="1" applyBorder="1"/>
    <xf numFmtId="164" fontId="32" fillId="8" borderId="55" xfId="2" applyNumberFormat="1" applyFont="1" applyFill="1" applyBorder="1"/>
    <xf numFmtId="0" fontId="32" fillId="2" borderId="50" xfId="2" applyFont="1" applyFill="1" applyBorder="1" applyAlignment="1">
      <alignment horizontal="right"/>
    </xf>
    <xf numFmtId="10" fontId="32" fillId="6" borderId="17" xfId="2" applyNumberFormat="1" applyFont="1" applyFill="1" applyBorder="1" applyAlignment="1">
      <alignment horizontal="center"/>
    </xf>
    <xf numFmtId="10" fontId="32" fillId="2" borderId="0" xfId="2" applyNumberFormat="1" applyFont="1" applyFill="1" applyAlignment="1">
      <alignment horizontal="center"/>
    </xf>
    <xf numFmtId="0" fontId="32" fillId="2" borderId="24" xfId="2" applyFont="1" applyFill="1" applyBorder="1" applyAlignment="1">
      <alignment horizontal="right"/>
    </xf>
    <xf numFmtId="0" fontId="32" fillId="7" borderId="18" xfId="2" applyFont="1" applyFill="1" applyBorder="1" applyAlignment="1">
      <alignment horizontal="center"/>
    </xf>
    <xf numFmtId="0" fontId="32" fillId="2" borderId="0" xfId="2" applyFont="1" applyFill="1" applyAlignment="1">
      <alignment horizontal="center"/>
    </xf>
    <xf numFmtId="0" fontId="27" fillId="2" borderId="0" xfId="2" applyFont="1" applyFill="1" applyAlignment="1">
      <alignment vertical="center"/>
    </xf>
    <xf numFmtId="178" fontId="29" fillId="3" borderId="0" xfId="2" applyNumberFormat="1" applyFont="1" applyFill="1" applyAlignment="1" applyProtection="1">
      <alignment horizontal="center" vertical="center"/>
      <protection locked="0"/>
    </xf>
    <xf numFmtId="168" fontId="29" fillId="3" borderId="0" xfId="2" applyNumberFormat="1" applyFont="1" applyFill="1" applyAlignment="1" applyProtection="1">
      <alignment horizontal="center" vertical="center"/>
      <protection locked="0"/>
    </xf>
    <xf numFmtId="0" fontId="32" fillId="2" borderId="0" xfId="2" applyFont="1" applyFill="1" applyAlignment="1">
      <alignment horizontal="center" vertical="center"/>
    </xf>
    <xf numFmtId="2" fontId="32" fillId="2" borderId="0" xfId="2" applyNumberFormat="1" applyFont="1" applyFill="1" applyAlignment="1">
      <alignment horizontal="center"/>
    </xf>
    <xf numFmtId="2" fontId="29" fillId="2" borderId="0" xfId="2" applyNumberFormat="1" applyFont="1" applyFill="1" applyAlignment="1">
      <alignment vertical="center"/>
    </xf>
    <xf numFmtId="2" fontId="29" fillId="2" borderId="12" xfId="2" applyNumberFormat="1" applyFont="1" applyFill="1" applyBorder="1" applyAlignment="1">
      <alignment horizontal="center" vertical="center"/>
    </xf>
    <xf numFmtId="2" fontId="29" fillId="2" borderId="33" xfId="2" applyNumberFormat="1" applyFont="1" applyFill="1" applyBorder="1" applyAlignment="1">
      <alignment horizontal="center" vertical="center"/>
    </xf>
    <xf numFmtId="2" fontId="29" fillId="2" borderId="31" xfId="2" applyNumberFormat="1" applyFont="1" applyFill="1" applyBorder="1" applyAlignment="1">
      <alignment vertical="center"/>
    </xf>
    <xf numFmtId="2" fontId="29" fillId="2" borderId="0" xfId="2" applyNumberFormat="1" applyFont="1" applyFill="1" applyAlignment="1">
      <alignment horizontal="center" vertical="center"/>
    </xf>
    <xf numFmtId="0" fontId="32" fillId="2" borderId="20" xfId="2" applyFont="1" applyFill="1" applyBorder="1" applyAlignment="1">
      <alignment horizontal="center"/>
    </xf>
    <xf numFmtId="0" fontId="32" fillId="2" borderId="60" xfId="2" applyFont="1" applyFill="1" applyBorder="1" applyAlignment="1">
      <alignment horizontal="center" vertical="center"/>
    </xf>
    <xf numFmtId="166" fontId="32" fillId="2" borderId="29" xfId="2" applyNumberFormat="1" applyFont="1" applyFill="1" applyBorder="1" applyAlignment="1">
      <alignment horizontal="center" vertical="center"/>
    </xf>
    <xf numFmtId="2" fontId="32" fillId="2" borderId="49" xfId="2" applyNumberFormat="1" applyFont="1" applyFill="1" applyBorder="1" applyAlignment="1">
      <alignment horizontal="center"/>
    </xf>
    <xf numFmtId="2" fontId="32" fillId="2" borderId="20" xfId="2" applyNumberFormat="1" applyFont="1" applyFill="1" applyBorder="1" applyAlignment="1">
      <alignment horizontal="center"/>
    </xf>
    <xf numFmtId="10" fontId="32" fillId="2" borderId="28" xfId="2" applyNumberFormat="1" applyFont="1" applyFill="1" applyBorder="1" applyAlignment="1">
      <alignment horizontal="center"/>
    </xf>
    <xf numFmtId="0" fontId="32" fillId="2" borderId="50" xfId="2" applyFont="1" applyFill="1" applyBorder="1" applyAlignment="1">
      <alignment horizontal="center"/>
    </xf>
    <xf numFmtId="0" fontId="32" fillId="2" borderId="61" xfId="2" applyFont="1" applyFill="1" applyBorder="1" applyAlignment="1">
      <alignment horizontal="center" vertical="center"/>
    </xf>
    <xf numFmtId="166" fontId="32" fillId="2" borderId="16" xfId="2" applyNumberFormat="1" applyFont="1" applyFill="1" applyBorder="1" applyAlignment="1">
      <alignment horizontal="center" vertical="center"/>
    </xf>
    <xf numFmtId="2" fontId="32" fillId="2" borderId="11" xfId="2" applyNumberFormat="1" applyFont="1" applyFill="1" applyBorder="1" applyAlignment="1">
      <alignment horizontal="center"/>
    </xf>
    <xf numFmtId="2" fontId="32" fillId="2" borderId="50" xfId="2" applyNumberFormat="1" applyFont="1" applyFill="1" applyBorder="1" applyAlignment="1">
      <alignment horizontal="center"/>
    </xf>
    <xf numFmtId="10" fontId="32" fillId="2" borderId="17" xfId="2" applyNumberFormat="1" applyFont="1" applyFill="1" applyBorder="1" applyAlignment="1">
      <alignment horizontal="center"/>
    </xf>
    <xf numFmtId="0" fontId="32" fillId="2" borderId="24" xfId="2" applyFont="1" applyFill="1" applyBorder="1" applyAlignment="1">
      <alignment horizontal="center"/>
    </xf>
    <xf numFmtId="0" fontId="32" fillId="2" borderId="62" xfId="2" applyFont="1" applyFill="1" applyBorder="1" applyAlignment="1">
      <alignment horizontal="center" vertical="center"/>
    </xf>
    <xf numFmtId="166" fontId="32" fillId="2" borderId="19" xfId="2" applyNumberFormat="1" applyFont="1" applyFill="1" applyBorder="1" applyAlignment="1">
      <alignment horizontal="center" vertical="center"/>
    </xf>
    <xf numFmtId="2" fontId="32" fillId="2" borderId="57" xfId="2" applyNumberFormat="1" applyFont="1" applyFill="1" applyBorder="1" applyAlignment="1">
      <alignment horizontal="center"/>
    </xf>
    <xf numFmtId="2" fontId="32" fillId="2" borderId="24" xfId="2" applyNumberFormat="1" applyFont="1" applyFill="1" applyBorder="1" applyAlignment="1">
      <alignment horizontal="center"/>
    </xf>
    <xf numFmtId="10" fontId="32" fillId="2" borderId="18" xfId="2" applyNumberFormat="1" applyFont="1" applyFill="1" applyBorder="1" applyAlignment="1">
      <alignment horizontal="center"/>
    </xf>
    <xf numFmtId="0" fontId="32" fillId="2" borderId="44" xfId="2" applyFont="1" applyFill="1" applyBorder="1" applyAlignment="1">
      <alignment horizontal="right"/>
    </xf>
    <xf numFmtId="166" fontId="29" fillId="7" borderId="14" xfId="2" applyNumberFormat="1" applyFont="1" applyFill="1" applyBorder="1" applyAlignment="1">
      <alignment horizontal="center"/>
    </xf>
    <xf numFmtId="2" fontId="30" fillId="7" borderId="14" xfId="2" applyNumberFormat="1" applyFont="1" applyFill="1" applyBorder="1" applyAlignment="1">
      <alignment horizontal="center"/>
    </xf>
    <xf numFmtId="10" fontId="30" fillId="7" borderId="14" xfId="2" applyNumberFormat="1" applyFont="1" applyFill="1" applyBorder="1" applyAlignment="1">
      <alignment horizontal="center"/>
    </xf>
    <xf numFmtId="2" fontId="30" fillId="2" borderId="0" xfId="2" applyNumberFormat="1" applyFont="1" applyFill="1" applyAlignment="1">
      <alignment horizontal="center"/>
    </xf>
    <xf numFmtId="10" fontId="31" fillId="2" borderId="17" xfId="2" applyNumberFormat="1" applyFont="1" applyFill="1" applyBorder="1" applyAlignment="1">
      <alignment horizontal="center"/>
    </xf>
    <xf numFmtId="10" fontId="31" fillId="6" borderId="17" xfId="2" applyNumberFormat="1" applyFont="1" applyFill="1" applyBorder="1" applyAlignment="1">
      <alignment horizontal="center"/>
    </xf>
    <xf numFmtId="10" fontId="31" fillId="2" borderId="0" xfId="2" applyNumberFormat="1" applyFont="1" applyFill="1" applyAlignment="1">
      <alignment horizontal="center"/>
    </xf>
    <xf numFmtId="0" fontId="31" fillId="7" borderId="18" xfId="2" applyFont="1" applyFill="1" applyBorder="1" applyAlignment="1">
      <alignment horizontal="center"/>
    </xf>
    <xf numFmtId="0" fontId="31" fillId="2" borderId="0" xfId="2" applyFont="1" applyFill="1" applyAlignment="1">
      <alignment horizontal="center"/>
    </xf>
    <xf numFmtId="0" fontId="28" fillId="2" borderId="9" xfId="2" applyFont="1" applyFill="1" applyBorder="1" applyAlignment="1">
      <alignment horizontal="left" vertical="center" wrapText="1"/>
    </xf>
    <xf numFmtId="0" fontId="32" fillId="2" borderId="9" xfId="2" applyFont="1" applyFill="1" applyBorder="1" applyAlignment="1">
      <alignment vertical="center"/>
    </xf>
    <xf numFmtId="0" fontId="29" fillId="2" borderId="10" xfId="2" applyFont="1" applyFill="1" applyBorder="1" applyAlignment="1">
      <alignment horizontal="center" vertical="center"/>
    </xf>
    <xf numFmtId="0" fontId="32" fillId="2" borderId="10" xfId="2" applyFont="1" applyFill="1" applyBorder="1" applyAlignment="1">
      <alignment horizontal="center" vertical="center"/>
    </xf>
    <xf numFmtId="0" fontId="32" fillId="2" borderId="7" xfId="2" applyFont="1" applyFill="1" applyBorder="1" applyAlignment="1" applyProtection="1">
      <alignment vertical="center"/>
      <protection locked="0"/>
    </xf>
    <xf numFmtId="0" fontId="32" fillId="2" borderId="7" xfId="2" applyFont="1" applyFill="1" applyBorder="1" applyAlignment="1">
      <alignment vertical="center"/>
    </xf>
    <xf numFmtId="0" fontId="29" fillId="2" borderId="11" xfId="2" applyFont="1" applyFill="1" applyBorder="1" applyAlignment="1" applyProtection="1">
      <alignment vertical="center"/>
      <protection locked="0"/>
    </xf>
    <xf numFmtId="0" fontId="29" fillId="2" borderId="11" xfId="2" applyFont="1" applyFill="1" applyBorder="1" applyAlignment="1">
      <alignment vertical="center"/>
    </xf>
    <xf numFmtId="0" fontId="32" fillId="2" borderId="11" xfId="2" applyFont="1" applyFill="1" applyBorder="1" applyAlignment="1">
      <alignment vertical="center"/>
    </xf>
    <xf numFmtId="2" fontId="32" fillId="2" borderId="0" xfId="2" applyNumberFormat="1" applyFont="1" applyFill="1" applyAlignment="1">
      <alignment horizontal="center" vertical="center"/>
    </xf>
    <xf numFmtId="0" fontId="23" fillId="2" borderId="0" xfId="2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10" fillId="2" borderId="0" xfId="1" applyFont="1" applyFill="1" applyAlignment="1">
      <alignment horizontal="center"/>
    </xf>
    <xf numFmtId="169" fontId="1" fillId="2" borderId="31" xfId="1" applyNumberFormat="1" applyFont="1" applyFill="1" applyBorder="1" applyAlignment="1">
      <alignment horizontal="center" vertical="center"/>
    </xf>
    <xf numFmtId="169" fontId="1" fillId="2" borderId="32" xfId="1" applyNumberFormat="1" applyFont="1" applyFill="1" applyBorder="1" applyAlignment="1">
      <alignment horizontal="center" vertical="center"/>
    </xf>
    <xf numFmtId="0" fontId="1" fillId="2" borderId="10" xfId="1" applyFont="1" applyFill="1" applyBorder="1" applyAlignment="1">
      <alignment horizontal="center"/>
    </xf>
    <xf numFmtId="0" fontId="2" fillId="2" borderId="0" xfId="1" applyFont="1" applyFill="1" applyAlignment="1">
      <alignment horizontal="left" wrapText="1"/>
    </xf>
    <xf numFmtId="0" fontId="9" fillId="2" borderId="0" xfId="1" applyFont="1" applyFill="1" applyAlignment="1">
      <alignment horizontal="center" wrapText="1"/>
    </xf>
    <xf numFmtId="0" fontId="4" fillId="2" borderId="0" xfId="1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31" xfId="0" applyNumberFormat="1" applyFont="1" applyFill="1" applyBorder="1" applyAlignment="1" applyProtection="1">
      <alignment horizontal="center" vertical="center"/>
      <protection locked="0"/>
    </xf>
    <xf numFmtId="2" fontId="14" fillId="3" borderId="52" xfId="0" applyNumberFormat="1" applyFont="1" applyFill="1" applyBorder="1" applyAlignment="1" applyProtection="1">
      <alignment horizontal="center" vertical="center"/>
      <protection locked="0"/>
    </xf>
    <xf numFmtId="2" fontId="14" fillId="3" borderId="32" xfId="0" applyNumberFormat="1" applyFont="1" applyFill="1" applyBorder="1" applyAlignment="1" applyProtection="1">
      <alignment horizontal="center" vertical="center"/>
      <protection locked="0"/>
    </xf>
    <xf numFmtId="0" fontId="12" fillId="2" borderId="51" xfId="0" applyFont="1" applyFill="1" applyBorder="1" applyAlignment="1">
      <alignment horizontal="center" vertic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51" xfId="0" applyFont="1" applyFill="1" applyBorder="1" applyAlignment="1">
      <alignment horizontal="left" vertical="center" wrapText="1"/>
    </xf>
    <xf numFmtId="0" fontId="17" fillId="2" borderId="5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7" fillId="2" borderId="5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54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2" fontId="12" fillId="2" borderId="54" xfId="0" applyNumberFormat="1" applyFont="1" applyFill="1" applyBorder="1" applyAlignment="1">
      <alignment horizontal="center" vertical="center"/>
    </xf>
    <xf numFmtId="2" fontId="12" fillId="2" borderId="13" xfId="0" applyNumberFormat="1" applyFont="1" applyFill="1" applyBorder="1" applyAlignment="1">
      <alignment horizontal="center" vertical="center"/>
    </xf>
    <xf numFmtId="0" fontId="17" fillId="2" borderId="54" xfId="0" applyFont="1" applyFill="1" applyBorder="1" applyAlignment="1">
      <alignment horizontal="center" vertical="center"/>
    </xf>
    <xf numFmtId="0" fontId="17" fillId="2" borderId="30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4" fillId="2" borderId="0" xfId="2" applyFont="1" applyFill="1" applyAlignment="1">
      <alignment horizontal="center" vertical="center"/>
    </xf>
    <xf numFmtId="0" fontId="26" fillId="2" borderId="0" xfId="2" applyFont="1" applyFill="1" applyAlignment="1">
      <alignment horizontal="center" vertical="center"/>
    </xf>
    <xf numFmtId="0" fontId="28" fillId="2" borderId="54" xfId="2" applyFont="1" applyFill="1" applyBorder="1" applyAlignment="1">
      <alignment horizontal="center" vertical="center"/>
    </xf>
    <xf numFmtId="0" fontId="28" fillId="2" borderId="30" xfId="2" applyFont="1" applyFill="1" applyBorder="1" applyAlignment="1">
      <alignment horizontal="center" vertical="center"/>
    </xf>
    <xf numFmtId="0" fontId="28" fillId="2" borderId="13" xfId="2" applyFont="1" applyFill="1" applyBorder="1" applyAlignment="1">
      <alignment horizontal="center" vertical="center"/>
    </xf>
    <xf numFmtId="0" fontId="27" fillId="2" borderId="10" xfId="2" applyFont="1" applyFill="1" applyBorder="1" applyAlignment="1">
      <alignment horizontal="center" vertical="center"/>
    </xf>
    <xf numFmtId="2" fontId="29" fillId="2" borderId="54" xfId="2" applyNumberFormat="1" applyFont="1" applyFill="1" applyBorder="1" applyAlignment="1">
      <alignment horizontal="center" vertical="center"/>
    </xf>
    <xf numFmtId="2" fontId="29" fillId="2" borderId="13" xfId="2" applyNumberFormat="1" applyFont="1" applyFill="1" applyBorder="1" applyAlignment="1">
      <alignment horizontal="center" vertical="center"/>
    </xf>
    <xf numFmtId="0" fontId="29" fillId="2" borderId="10" xfId="2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36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yfridah\Downloads\NDQA201512643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Artesunate 3"/>
      <sheetName val="Artesunate 4"/>
      <sheetName val="Artesunate 5"/>
    </sheetNames>
    <sheetDataSet>
      <sheetData sheetId="0"/>
      <sheetData sheetId="1">
        <row r="46">
          <cell r="C46" t="str">
            <v>% Deviation from mean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7" workbookViewId="0">
      <selection activeCell="A15" sqref="A15:G6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91" t="s">
        <v>0</v>
      </c>
      <c r="B15" s="491"/>
      <c r="C15" s="491"/>
      <c r="D15" s="491"/>
      <c r="E15" s="49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149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v>20</v>
      </c>
      <c r="C20" s="10"/>
      <c r="D20" s="10"/>
      <c r="E20" s="10"/>
    </row>
    <row r="21" spans="1:6" ht="16.5" customHeight="1" x14ac:dyDescent="0.3">
      <c r="A21" s="7" t="s">
        <v>10</v>
      </c>
      <c r="B21" s="13">
        <f>20/5</f>
        <v>4</v>
      </c>
      <c r="C21" s="10"/>
      <c r="D21" s="10"/>
      <c r="E21" s="10"/>
    </row>
    <row r="22" spans="1:6" ht="15.75" customHeight="1" x14ac:dyDescent="0.25">
      <c r="A22" s="10"/>
      <c r="B22" s="381">
        <v>42471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8043088</v>
      </c>
      <c r="C24" s="18">
        <v>7169.38</v>
      </c>
      <c r="D24" s="19">
        <v>1.1499999999999999</v>
      </c>
      <c r="E24" s="20">
        <v>5.07</v>
      </c>
    </row>
    <row r="25" spans="1:6" ht="16.5" customHeight="1" x14ac:dyDescent="0.3">
      <c r="A25" s="17">
        <v>2</v>
      </c>
      <c r="B25" s="18">
        <v>8023990</v>
      </c>
      <c r="C25" s="18">
        <v>7162.95</v>
      </c>
      <c r="D25" s="19">
        <v>1.1499999999999999</v>
      </c>
      <c r="E25" s="19">
        <v>5.07</v>
      </c>
    </row>
    <row r="26" spans="1:6" ht="16.5" customHeight="1" x14ac:dyDescent="0.3">
      <c r="A26" s="17">
        <v>3</v>
      </c>
      <c r="B26" s="18">
        <v>8082194</v>
      </c>
      <c r="C26" s="18">
        <v>7175.52</v>
      </c>
      <c r="D26" s="19">
        <v>1.1299999999999999</v>
      </c>
      <c r="E26" s="19">
        <v>5.07</v>
      </c>
    </row>
    <row r="27" spans="1:6" ht="16.5" customHeight="1" x14ac:dyDescent="0.3">
      <c r="A27" s="17">
        <v>4</v>
      </c>
      <c r="B27" s="18">
        <v>8110412</v>
      </c>
      <c r="C27" s="18">
        <v>7165.93</v>
      </c>
      <c r="D27" s="19">
        <v>1.1399999999999999</v>
      </c>
      <c r="E27" s="19">
        <v>5.07</v>
      </c>
    </row>
    <row r="28" spans="1:6" ht="16.5" customHeight="1" x14ac:dyDescent="0.3">
      <c r="A28" s="17">
        <v>5</v>
      </c>
      <c r="B28" s="18">
        <v>8124915</v>
      </c>
      <c r="C28" s="18">
        <v>7173.14</v>
      </c>
      <c r="D28" s="19">
        <v>1.1299999999999999</v>
      </c>
      <c r="E28" s="19">
        <v>5.07</v>
      </c>
    </row>
    <row r="29" spans="1:6" ht="16.5" customHeight="1" x14ac:dyDescent="0.3">
      <c r="A29" s="17">
        <v>6</v>
      </c>
      <c r="B29" s="21">
        <v>8133540</v>
      </c>
      <c r="C29" s="21">
        <v>7176.61</v>
      </c>
      <c r="D29" s="22">
        <v>1.1299999999999999</v>
      </c>
      <c r="E29" s="22">
        <v>5.08</v>
      </c>
    </row>
    <row r="30" spans="1:6" ht="16.5" customHeight="1" x14ac:dyDescent="0.3">
      <c r="A30" s="23" t="s">
        <v>17</v>
      </c>
      <c r="B30" s="24">
        <v>8086356.5</v>
      </c>
      <c r="C30" s="25">
        <v>7170.5883333333331</v>
      </c>
      <c r="D30" s="26">
        <v>1.1383333333333332</v>
      </c>
      <c r="E30" s="26">
        <v>5.0716666666666663</v>
      </c>
    </row>
    <row r="31" spans="1:6" ht="16.5" customHeight="1" x14ac:dyDescent="0.3">
      <c r="A31" s="27" t="s">
        <v>18</v>
      </c>
      <c r="B31" s="28">
        <v>5.5500080649276348E-3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0.75" customHeight="1" x14ac:dyDescent="0.3">
      <c r="A38" s="5" t="s">
        <v>1</v>
      </c>
      <c r="B38" s="6" t="s">
        <v>24</v>
      </c>
    </row>
    <row r="39" spans="1:6" ht="16.5" hidden="1" customHeight="1" x14ac:dyDescent="0.3">
      <c r="A39" s="11" t="s">
        <v>4</v>
      </c>
      <c r="B39" s="8"/>
      <c r="C39" s="10"/>
      <c r="D39" s="10"/>
      <c r="E39" s="10"/>
    </row>
    <row r="40" spans="1:6" ht="16.5" hidden="1" customHeight="1" x14ac:dyDescent="0.3">
      <c r="A40" s="11" t="s">
        <v>6</v>
      </c>
      <c r="C40" s="10"/>
      <c r="D40" s="10"/>
      <c r="E40" s="10"/>
    </row>
    <row r="41" spans="1:6" ht="16.5" hidden="1" customHeight="1" x14ac:dyDescent="0.3">
      <c r="A41" s="7" t="s">
        <v>8</v>
      </c>
      <c r="C41" s="10"/>
      <c r="D41" s="10"/>
      <c r="E41" s="10"/>
    </row>
    <row r="42" spans="1:6" ht="16.5" hidden="1" customHeight="1" x14ac:dyDescent="0.3">
      <c r="A42" s="7" t="s">
        <v>10</v>
      </c>
      <c r="B42" s="13"/>
      <c r="C42" s="10"/>
      <c r="D42" s="10"/>
      <c r="E42" s="10"/>
    </row>
    <row r="43" spans="1:6" ht="15.75" hidden="1" customHeight="1" x14ac:dyDescent="0.25">
      <c r="A43" s="10"/>
      <c r="B43" s="10"/>
      <c r="C43" s="10"/>
      <c r="D43" s="10"/>
      <c r="E43" s="10"/>
    </row>
    <row r="44" spans="1:6" ht="16.5" hidden="1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hidden="1" customHeight="1" x14ac:dyDescent="0.3">
      <c r="A45" s="17">
        <v>1</v>
      </c>
      <c r="B45" s="18"/>
      <c r="C45" s="18"/>
      <c r="D45" s="19"/>
      <c r="E45" s="20"/>
    </row>
    <row r="46" spans="1:6" ht="16.5" hidden="1" customHeight="1" x14ac:dyDescent="0.3">
      <c r="A46" s="17">
        <v>2</v>
      </c>
      <c r="B46" s="18"/>
      <c r="C46" s="18"/>
      <c r="D46" s="19"/>
      <c r="E46" s="19"/>
    </row>
    <row r="47" spans="1:6" ht="16.5" hidden="1" customHeight="1" x14ac:dyDescent="0.3">
      <c r="A47" s="17">
        <v>3</v>
      </c>
      <c r="B47" s="18"/>
      <c r="C47" s="18"/>
      <c r="D47" s="19"/>
      <c r="E47" s="19"/>
    </row>
    <row r="48" spans="1:6" ht="16.5" hidden="1" customHeight="1" x14ac:dyDescent="0.3">
      <c r="A48" s="17">
        <v>4</v>
      </c>
      <c r="B48" s="18"/>
      <c r="C48" s="18"/>
      <c r="D48" s="19"/>
      <c r="E48" s="19"/>
    </row>
    <row r="49" spans="1:7" ht="16.5" hidden="1" customHeight="1" x14ac:dyDescent="0.3">
      <c r="A49" s="17">
        <v>5</v>
      </c>
      <c r="B49" s="18"/>
      <c r="C49" s="18"/>
      <c r="D49" s="19"/>
      <c r="E49" s="19"/>
    </row>
    <row r="50" spans="1:7" ht="16.5" hidden="1" customHeight="1" x14ac:dyDescent="0.3">
      <c r="A50" s="17">
        <v>6</v>
      </c>
      <c r="B50" s="21"/>
      <c r="C50" s="21"/>
      <c r="D50" s="22"/>
      <c r="E50" s="22"/>
    </row>
    <row r="51" spans="1:7" ht="16.5" hidden="1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hidden="1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hidden="1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hidden="1" customHeight="1" x14ac:dyDescent="0.25">
      <c r="A54" s="10"/>
      <c r="B54" s="10"/>
      <c r="C54" s="10"/>
      <c r="D54" s="10"/>
      <c r="E54" s="36"/>
    </row>
    <row r="55" spans="1:7" s="2" customFormat="1" ht="16.5" hidden="1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hidden="1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hidden="1" customHeight="1" x14ac:dyDescent="0.3">
      <c r="A57" s="11"/>
      <c r="B57" s="40" t="s">
        <v>23</v>
      </c>
      <c r="C57" s="38"/>
      <c r="D57" s="39"/>
      <c r="E57" s="38"/>
    </row>
    <row r="58" spans="1:7" ht="14.25" hidden="1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92" t="s">
        <v>25</v>
      </c>
      <c r="C59" s="492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 t="s">
        <v>150</v>
      </c>
      <c r="E60" s="49" t="s">
        <v>159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topLeftCell="A4" workbookViewId="0">
      <selection activeCell="E24" sqref="E24"/>
    </sheetView>
  </sheetViews>
  <sheetFormatPr defaultColWidth="9.140625" defaultRowHeight="16.5" x14ac:dyDescent="0.3"/>
  <cols>
    <col min="1" max="1" width="13.140625" style="326" customWidth="1"/>
    <col min="2" max="2" width="17.85546875" style="372" customWidth="1"/>
    <col min="3" max="3" width="18.85546875" style="326" customWidth="1"/>
    <col min="4" max="4" width="19.7109375" style="324" customWidth="1"/>
    <col min="5" max="5" width="18.42578125" style="326" customWidth="1"/>
    <col min="6" max="6" width="6.42578125" style="321" customWidth="1"/>
    <col min="7" max="7" width="17.140625" style="321" customWidth="1"/>
    <col min="8" max="8" width="13.140625" style="321" customWidth="1"/>
    <col min="9" max="9" width="11" style="321" customWidth="1"/>
    <col min="10" max="10" width="15" style="321" customWidth="1"/>
    <col min="11" max="11" width="7.5703125" style="321" customWidth="1"/>
    <col min="12" max="12" width="13.140625" style="321" customWidth="1"/>
    <col min="13" max="13" width="11" style="321" customWidth="1"/>
    <col min="14" max="14" width="12.28515625" style="321" customWidth="1"/>
    <col min="15" max="15" width="6.5703125" style="321" customWidth="1"/>
    <col min="16" max="16" width="9.140625" style="321"/>
    <col min="17" max="16384" width="9.140625" style="380"/>
  </cols>
  <sheetData>
    <row r="1" spans="1:15" ht="15" x14ac:dyDescent="0.3">
      <c r="A1" s="316"/>
      <c r="B1" s="317"/>
      <c r="C1" s="316"/>
      <c r="D1" s="318"/>
      <c r="E1" s="319"/>
      <c r="F1" s="317"/>
      <c r="G1" s="319"/>
      <c r="H1" s="319"/>
      <c r="I1" s="317"/>
      <c r="J1" s="319"/>
      <c r="K1" s="320"/>
      <c r="L1" s="319"/>
      <c r="M1" s="317"/>
      <c r="N1" s="319"/>
      <c r="O1" s="317"/>
    </row>
    <row r="2" spans="1:15" ht="15" x14ac:dyDescent="0.3">
      <c r="A2" s="316"/>
      <c r="B2" s="317"/>
      <c r="C2" s="316"/>
      <c r="D2" s="318"/>
      <c r="E2" s="322"/>
      <c r="F2" s="317"/>
      <c r="G2" s="322"/>
      <c r="H2" s="322"/>
      <c r="I2" s="317"/>
      <c r="J2" s="322"/>
      <c r="K2" s="320"/>
      <c r="L2" s="322"/>
      <c r="M2" s="320"/>
      <c r="N2" s="322"/>
      <c r="O2" s="320"/>
    </row>
    <row r="3" spans="1:15" ht="15" x14ac:dyDescent="0.3">
      <c r="A3" s="316"/>
      <c r="B3" s="317"/>
      <c r="C3" s="316"/>
      <c r="D3" s="318"/>
      <c r="E3" s="322"/>
      <c r="F3" s="317"/>
      <c r="G3" s="322"/>
      <c r="H3" s="322"/>
      <c r="I3" s="317"/>
      <c r="J3" s="322"/>
      <c r="K3" s="320"/>
      <c r="L3" s="322"/>
      <c r="M3" s="320"/>
      <c r="N3" s="322"/>
      <c r="O3" s="320"/>
    </row>
    <row r="4" spans="1:15" ht="15" x14ac:dyDescent="0.3">
      <c r="A4" s="316"/>
      <c r="B4" s="317"/>
      <c r="C4" s="316"/>
      <c r="D4" s="318"/>
      <c r="E4" s="322"/>
      <c r="F4" s="317"/>
      <c r="G4" s="322"/>
      <c r="H4" s="322"/>
      <c r="I4" s="317"/>
      <c r="J4" s="322"/>
      <c r="K4" s="320"/>
      <c r="L4" s="322"/>
      <c r="M4" s="320"/>
      <c r="N4" s="322"/>
      <c r="O4" s="320"/>
    </row>
    <row r="5" spans="1:15" ht="15" x14ac:dyDescent="0.3">
      <c r="A5" s="316"/>
      <c r="B5" s="317"/>
      <c r="C5" s="316"/>
      <c r="D5" s="318"/>
      <c r="E5" s="322"/>
      <c r="F5" s="317"/>
      <c r="G5" s="322"/>
      <c r="H5" s="322"/>
      <c r="I5" s="317"/>
      <c r="J5" s="322"/>
      <c r="K5" s="320"/>
      <c r="L5" s="322"/>
      <c r="M5" s="320"/>
      <c r="N5" s="322"/>
      <c r="O5" s="320"/>
    </row>
    <row r="6" spans="1:15" ht="15" x14ac:dyDescent="0.3">
      <c r="A6" s="316"/>
      <c r="B6" s="317"/>
      <c r="C6" s="316"/>
      <c r="D6" s="318"/>
      <c r="E6" s="322"/>
      <c r="F6" s="317"/>
      <c r="G6" s="322"/>
      <c r="H6" s="322"/>
      <c r="I6" s="317"/>
      <c r="J6" s="322"/>
      <c r="K6" s="320"/>
      <c r="L6" s="322"/>
      <c r="M6" s="320"/>
      <c r="N6" s="322"/>
      <c r="O6" s="320"/>
    </row>
    <row r="7" spans="1:15" ht="15" x14ac:dyDescent="0.3">
      <c r="A7" s="316"/>
      <c r="B7" s="317"/>
      <c r="C7" s="316"/>
      <c r="D7" s="318"/>
      <c r="E7" s="322"/>
      <c r="F7" s="317"/>
      <c r="G7" s="322"/>
      <c r="H7" s="322"/>
      <c r="I7" s="317"/>
      <c r="J7" s="322"/>
      <c r="K7" s="320"/>
      <c r="L7" s="322"/>
      <c r="M7" s="320"/>
      <c r="N7" s="322"/>
      <c r="O7" s="320"/>
    </row>
    <row r="8" spans="1:15" ht="19.5" customHeight="1" x14ac:dyDescent="0.3">
      <c r="A8" s="499" t="s">
        <v>30</v>
      </c>
      <c r="B8" s="499"/>
      <c r="C8" s="499"/>
      <c r="D8" s="499"/>
      <c r="E8" s="499"/>
      <c r="F8" s="499"/>
      <c r="G8" s="499"/>
      <c r="H8" s="322"/>
      <c r="I8" s="317"/>
      <c r="J8" s="322"/>
      <c r="K8" s="320"/>
      <c r="L8" s="322"/>
      <c r="M8" s="320"/>
      <c r="N8" s="322"/>
      <c r="O8" s="320"/>
    </row>
    <row r="9" spans="1:15" ht="19.5" customHeight="1" x14ac:dyDescent="0.3">
      <c r="A9" s="323"/>
      <c r="B9" s="323"/>
      <c r="C9" s="323"/>
      <c r="D9" s="323"/>
      <c r="E9" s="323"/>
      <c r="F9" s="323"/>
      <c r="G9" s="323"/>
      <c r="H9" s="322"/>
      <c r="I9" s="317"/>
      <c r="J9" s="322"/>
      <c r="K9" s="320"/>
      <c r="L9" s="322"/>
      <c r="M9" s="320"/>
      <c r="N9" s="322"/>
      <c r="O9" s="320"/>
    </row>
    <row r="10" spans="1:15" ht="16.5" customHeight="1" x14ac:dyDescent="0.3">
      <c r="A10" s="500" t="s">
        <v>31</v>
      </c>
      <c r="B10" s="500"/>
      <c r="C10" s="500"/>
      <c r="D10" s="500"/>
      <c r="E10" s="500"/>
      <c r="F10" s="500"/>
      <c r="G10" s="500"/>
      <c r="H10" s="322"/>
      <c r="I10" s="317"/>
      <c r="J10" s="322"/>
      <c r="K10" s="320"/>
      <c r="L10" s="322"/>
      <c r="M10" s="320"/>
      <c r="N10" s="322"/>
      <c r="O10" s="320"/>
    </row>
    <row r="11" spans="1:15" ht="15" customHeight="1" x14ac:dyDescent="0.3">
      <c r="A11" s="493" t="s">
        <v>32</v>
      </c>
      <c r="B11" s="493"/>
      <c r="C11" s="8" t="s">
        <v>149</v>
      </c>
      <c r="E11" s="322"/>
      <c r="F11" s="317"/>
      <c r="G11" s="322"/>
      <c r="H11" s="322"/>
      <c r="I11" s="317"/>
      <c r="J11" s="322"/>
      <c r="K11" s="320"/>
      <c r="L11" s="322"/>
      <c r="M11" s="320"/>
      <c r="N11" s="322"/>
      <c r="O11" s="320"/>
    </row>
    <row r="12" spans="1:15" ht="15" customHeight="1" x14ac:dyDescent="0.3">
      <c r="A12" s="493" t="s">
        <v>33</v>
      </c>
      <c r="B12" s="493"/>
      <c r="C12" s="316" t="s">
        <v>7</v>
      </c>
      <c r="E12" s="322"/>
      <c r="F12" s="317"/>
      <c r="G12" s="322"/>
      <c r="H12" s="322"/>
      <c r="I12" s="317"/>
      <c r="J12" s="322"/>
      <c r="K12" s="320"/>
      <c r="L12" s="322"/>
      <c r="M12" s="320"/>
      <c r="N12" s="322"/>
      <c r="O12" s="320"/>
    </row>
    <row r="13" spans="1:15" ht="15" customHeight="1" x14ac:dyDescent="0.3">
      <c r="A13" s="493" t="s">
        <v>34</v>
      </c>
      <c r="B13" s="493"/>
      <c r="C13" s="316" t="s">
        <v>9</v>
      </c>
      <c r="E13" s="322"/>
      <c r="F13" s="317"/>
      <c r="G13" s="322"/>
      <c r="H13" s="322"/>
      <c r="I13" s="317"/>
      <c r="J13" s="322"/>
      <c r="K13" s="320"/>
      <c r="L13" s="322"/>
      <c r="M13" s="320"/>
      <c r="N13" s="322"/>
      <c r="O13" s="320"/>
    </row>
    <row r="14" spans="1:15" ht="15" customHeight="1" x14ac:dyDescent="0.3">
      <c r="A14" s="493" t="s">
        <v>35</v>
      </c>
      <c r="B14" s="493"/>
      <c r="C14" s="498" t="s">
        <v>11</v>
      </c>
      <c r="D14" s="498"/>
      <c r="E14" s="498"/>
      <c r="F14" s="498"/>
      <c r="G14" s="498"/>
      <c r="H14" s="322"/>
      <c r="I14" s="317"/>
      <c r="J14" s="322"/>
      <c r="K14" s="320"/>
      <c r="L14" s="322"/>
      <c r="M14" s="320"/>
      <c r="N14" s="322"/>
      <c r="O14" s="320"/>
    </row>
    <row r="15" spans="1:15" ht="15" customHeight="1" x14ac:dyDescent="0.3">
      <c r="A15" s="493" t="s">
        <v>36</v>
      </c>
      <c r="B15" s="493"/>
      <c r="C15" s="325">
        <v>42466</v>
      </c>
      <c r="D15" s="316"/>
      <c r="E15" s="322"/>
      <c r="F15" s="317"/>
      <c r="G15" s="322"/>
      <c r="H15" s="322"/>
      <c r="I15" s="317"/>
      <c r="J15" s="322"/>
      <c r="K15" s="320"/>
      <c r="L15" s="322"/>
      <c r="M15" s="320"/>
      <c r="N15" s="322"/>
      <c r="O15" s="320"/>
    </row>
    <row r="16" spans="1:15" ht="15" customHeight="1" x14ac:dyDescent="0.3">
      <c r="A16" s="493" t="s">
        <v>37</v>
      </c>
      <c r="B16" s="493"/>
      <c r="C16" s="325">
        <v>42466</v>
      </c>
      <c r="D16" s="316"/>
      <c r="E16" s="322"/>
      <c r="F16" s="317"/>
      <c r="G16" s="322"/>
      <c r="H16" s="322"/>
      <c r="I16" s="317"/>
      <c r="J16" s="322"/>
      <c r="K16" s="320"/>
      <c r="L16" s="322"/>
      <c r="M16" s="320"/>
      <c r="N16" s="322"/>
      <c r="O16" s="320"/>
    </row>
    <row r="17" spans="1:15" x14ac:dyDescent="0.3">
      <c r="B17" s="316"/>
      <c r="D17" s="316"/>
      <c r="E17" s="322"/>
      <c r="F17" s="317"/>
      <c r="G17" s="322"/>
      <c r="H17" s="322"/>
      <c r="I17" s="317"/>
      <c r="J17" s="322"/>
      <c r="K17" s="320"/>
      <c r="L17" s="322"/>
      <c r="M17" s="320"/>
      <c r="N17" s="322"/>
      <c r="O17" s="320"/>
    </row>
    <row r="18" spans="1:15" ht="15" customHeight="1" x14ac:dyDescent="0.3">
      <c r="A18" s="494" t="s">
        <v>1</v>
      </c>
      <c r="B18" s="494"/>
      <c r="C18" s="327" t="s">
        <v>38</v>
      </c>
      <c r="D18" s="316"/>
      <c r="E18" s="322"/>
      <c r="F18" s="317"/>
      <c r="G18" s="322"/>
      <c r="H18" s="322"/>
      <c r="I18" s="317"/>
      <c r="J18" s="322"/>
      <c r="K18" s="320"/>
      <c r="L18" s="322"/>
      <c r="M18" s="320"/>
      <c r="N18" s="322"/>
      <c r="O18" s="320"/>
    </row>
    <row r="19" spans="1:15" ht="15.75" customHeight="1" thickBot="1" x14ac:dyDescent="0.35">
      <c r="A19" s="321"/>
      <c r="B19" s="316"/>
      <c r="D19" s="316"/>
      <c r="E19" s="322"/>
      <c r="F19" s="317"/>
      <c r="G19" s="322"/>
      <c r="H19" s="322"/>
      <c r="I19" s="317"/>
      <c r="J19" s="322"/>
      <c r="K19" s="320"/>
      <c r="L19" s="322"/>
      <c r="M19" s="320"/>
      <c r="N19" s="322"/>
      <c r="O19" s="320"/>
    </row>
    <row r="20" spans="1:15" ht="15.75" customHeight="1" thickBot="1" x14ac:dyDescent="0.35">
      <c r="A20" s="328" t="s">
        <v>39</v>
      </c>
      <c r="B20" s="329" t="s">
        <v>40</v>
      </c>
      <c r="C20" s="330" t="s">
        <v>41</v>
      </c>
      <c r="D20" s="328" t="s">
        <v>42</v>
      </c>
      <c r="E20" s="331" t="s">
        <v>43</v>
      </c>
      <c r="G20" s="322"/>
      <c r="H20" s="332"/>
      <c r="I20" s="317"/>
      <c r="J20" s="322"/>
      <c r="K20" s="320"/>
      <c r="L20" s="332"/>
      <c r="M20" s="320"/>
      <c r="N20" s="332"/>
      <c r="O20" s="320"/>
    </row>
    <row r="21" spans="1:15" ht="15" x14ac:dyDescent="0.3">
      <c r="A21" s="333">
        <v>1</v>
      </c>
      <c r="B21" s="334">
        <v>10462.43</v>
      </c>
      <c r="C21" s="335">
        <v>10435.06</v>
      </c>
      <c r="D21" s="336">
        <f t="shared" ref="D21:D28" si="0">B21-C21</f>
        <v>27.3700000000008</v>
      </c>
      <c r="E21" s="337">
        <f t="shared" ref="E21:E26" si="1">(D21-$D$43)/$D$43</f>
        <v>-2.5501802483387428E-2</v>
      </c>
      <c r="G21" s="322"/>
      <c r="H21" s="332"/>
      <c r="I21" s="317"/>
      <c r="J21" s="322"/>
      <c r="K21" s="320"/>
      <c r="L21" s="332"/>
      <c r="M21" s="320"/>
      <c r="N21" s="332"/>
      <c r="O21" s="320"/>
    </row>
    <row r="22" spans="1:15" ht="15" x14ac:dyDescent="0.3">
      <c r="A22" s="338">
        <v>2</v>
      </c>
      <c r="B22" s="339">
        <v>10426.379999999999</v>
      </c>
      <c r="C22" s="340">
        <v>10396.700000000001</v>
      </c>
      <c r="D22" s="341">
        <f t="shared" si="0"/>
        <v>29.679999999998472</v>
      </c>
      <c r="E22" s="337">
        <f t="shared" si="1"/>
        <v>5.6744848457827055E-2</v>
      </c>
      <c r="G22" s="322"/>
      <c r="H22" s="332"/>
      <c r="I22" s="317"/>
      <c r="J22" s="322"/>
      <c r="K22" s="320"/>
      <c r="L22" s="332"/>
      <c r="M22" s="320"/>
      <c r="N22" s="332"/>
      <c r="O22" s="320"/>
    </row>
    <row r="23" spans="1:15" ht="15" x14ac:dyDescent="0.3">
      <c r="A23" s="338">
        <v>3</v>
      </c>
      <c r="B23" s="339">
        <v>10260.66</v>
      </c>
      <c r="C23" s="340">
        <v>10231.86</v>
      </c>
      <c r="D23" s="341">
        <f t="shared" si="0"/>
        <v>28.799999999999272</v>
      </c>
      <c r="E23" s="337">
        <f t="shared" si="1"/>
        <v>2.5412790956408929E-2</v>
      </c>
      <c r="G23" s="322"/>
      <c r="H23" s="332"/>
      <c r="I23" s="317"/>
      <c r="J23" s="322"/>
      <c r="K23" s="320"/>
      <c r="L23" s="332"/>
      <c r="M23" s="320"/>
      <c r="N23" s="332"/>
      <c r="O23" s="320"/>
    </row>
    <row r="24" spans="1:15" ht="15" x14ac:dyDescent="0.3">
      <c r="A24" s="338">
        <v>4</v>
      </c>
      <c r="B24" s="339">
        <v>10391.24</v>
      </c>
      <c r="C24" s="340">
        <v>10362.379999999999</v>
      </c>
      <c r="D24" s="341">
        <f t="shared" si="0"/>
        <v>28.860000000000582</v>
      </c>
      <c r="E24" s="337">
        <f t="shared" si="1"/>
        <v>2.7549067604281465E-2</v>
      </c>
      <c r="G24" s="322"/>
      <c r="H24" s="332"/>
      <c r="I24" s="317"/>
      <c r="J24" s="322"/>
      <c r="K24" s="320"/>
      <c r="L24" s="332"/>
      <c r="M24" s="320"/>
      <c r="N24" s="332"/>
      <c r="O24" s="320"/>
    </row>
    <row r="25" spans="1:15" ht="15" x14ac:dyDescent="0.3">
      <c r="A25" s="338">
        <v>5</v>
      </c>
      <c r="B25" s="339">
        <v>10464.32</v>
      </c>
      <c r="C25" s="340">
        <v>10434.57</v>
      </c>
      <c r="D25" s="341">
        <f t="shared" si="0"/>
        <v>29.75</v>
      </c>
      <c r="E25" s="337">
        <f t="shared" si="1"/>
        <v>5.9237171213678344E-2</v>
      </c>
      <c r="G25" s="322"/>
      <c r="H25" s="332"/>
      <c r="I25" s="317"/>
      <c r="J25" s="322"/>
      <c r="K25" s="320"/>
      <c r="L25" s="332"/>
      <c r="M25" s="320"/>
      <c r="N25" s="332"/>
      <c r="O25" s="320"/>
    </row>
    <row r="26" spans="1:15" ht="15" x14ac:dyDescent="0.3">
      <c r="A26" s="338">
        <v>6</v>
      </c>
      <c r="B26" s="339">
        <v>10287.56</v>
      </c>
      <c r="C26" s="340">
        <v>10260.33</v>
      </c>
      <c r="D26" s="341">
        <f t="shared" si="0"/>
        <v>27.229999999999563</v>
      </c>
      <c r="E26" s="337">
        <f t="shared" si="1"/>
        <v>-3.0486447995025246E-2</v>
      </c>
      <c r="G26" s="322"/>
      <c r="H26" s="332"/>
      <c r="I26" s="317"/>
      <c r="J26" s="322"/>
      <c r="K26" s="320"/>
      <c r="L26" s="332"/>
      <c r="M26" s="320"/>
      <c r="N26" s="332"/>
      <c r="O26" s="320"/>
    </row>
    <row r="27" spans="1:15" ht="15" x14ac:dyDescent="0.3">
      <c r="A27" s="338">
        <v>7</v>
      </c>
      <c r="B27" s="339">
        <v>10620.32</v>
      </c>
      <c r="C27" s="340">
        <v>10598.87</v>
      </c>
      <c r="D27" s="341">
        <f t="shared" si="0"/>
        <v>21.449999999998909</v>
      </c>
      <c r="E27" s="337">
        <f>(D27-$D$43)/$D$43</f>
        <v>-0.23628109840227748</v>
      </c>
      <c r="G27" s="322"/>
      <c r="H27" s="332"/>
      <c r="I27" s="317"/>
      <c r="J27" s="322"/>
      <c r="K27" s="320"/>
      <c r="L27" s="332"/>
      <c r="M27" s="320"/>
      <c r="N27" s="332"/>
      <c r="O27" s="320"/>
    </row>
    <row r="28" spans="1:15" ht="15" x14ac:dyDescent="0.3">
      <c r="A28" s="338">
        <v>8</v>
      </c>
      <c r="B28" s="339">
        <v>10429.68</v>
      </c>
      <c r="C28" s="340">
        <v>10398.129999999999</v>
      </c>
      <c r="D28" s="341">
        <f t="shared" si="0"/>
        <v>31.550000000001091</v>
      </c>
      <c r="E28" s="337">
        <f>(D28-$D$43)/$D$43</f>
        <v>0.12332547064849438</v>
      </c>
      <c r="G28" s="322"/>
      <c r="H28" s="332"/>
      <c r="I28" s="317"/>
      <c r="J28" s="322"/>
      <c r="K28" s="320"/>
      <c r="L28" s="332"/>
      <c r="M28" s="320"/>
      <c r="N28" s="332"/>
      <c r="O28" s="320"/>
    </row>
    <row r="29" spans="1:15" ht="15" x14ac:dyDescent="0.3">
      <c r="A29" s="338">
        <v>9</v>
      </c>
      <c r="B29" s="339"/>
      <c r="C29" s="340"/>
      <c r="D29" s="341"/>
      <c r="E29" s="337"/>
      <c r="G29" s="322"/>
      <c r="H29" s="332"/>
      <c r="I29" s="317"/>
      <c r="J29" s="322"/>
      <c r="K29" s="320"/>
      <c r="L29" s="332"/>
      <c r="M29" s="320"/>
      <c r="N29" s="332"/>
      <c r="O29" s="320"/>
    </row>
    <row r="30" spans="1:15" ht="15" x14ac:dyDescent="0.3">
      <c r="A30" s="338">
        <v>10</v>
      </c>
      <c r="B30" s="342"/>
      <c r="C30" s="340"/>
      <c r="D30" s="341"/>
      <c r="E30" s="337"/>
      <c r="G30" s="322"/>
      <c r="H30" s="332"/>
      <c r="I30" s="317"/>
      <c r="J30" s="322"/>
      <c r="K30" s="320"/>
      <c r="L30" s="332"/>
      <c r="M30" s="320"/>
      <c r="N30" s="332"/>
      <c r="O30" s="320"/>
    </row>
    <row r="31" spans="1:15" ht="15" x14ac:dyDescent="0.3">
      <c r="A31" s="338">
        <v>11</v>
      </c>
      <c r="B31" s="342"/>
      <c r="C31" s="340"/>
      <c r="D31" s="341"/>
      <c r="E31" s="337"/>
      <c r="G31" s="343"/>
      <c r="H31" s="343"/>
      <c r="I31" s="343"/>
      <c r="J31" s="343"/>
      <c r="K31" s="320"/>
      <c r="L31" s="343"/>
      <c r="M31" s="320"/>
      <c r="N31" s="343"/>
      <c r="O31" s="320"/>
    </row>
    <row r="32" spans="1:15" ht="15" x14ac:dyDescent="0.3">
      <c r="A32" s="338">
        <v>12</v>
      </c>
      <c r="B32" s="342"/>
      <c r="C32" s="340"/>
      <c r="D32" s="341"/>
      <c r="E32" s="337"/>
      <c r="G32" s="343"/>
      <c r="H32" s="343"/>
      <c r="I32" s="343"/>
      <c r="J32" s="343"/>
      <c r="K32" s="320"/>
      <c r="L32" s="343"/>
      <c r="M32" s="343"/>
      <c r="N32" s="343"/>
      <c r="O32" s="343"/>
    </row>
    <row r="33" spans="1:15" ht="15" x14ac:dyDescent="0.3">
      <c r="A33" s="338">
        <v>13</v>
      </c>
      <c r="B33" s="342"/>
      <c r="C33" s="340"/>
      <c r="D33" s="341"/>
      <c r="E33" s="337"/>
      <c r="G33" s="344"/>
      <c r="H33" s="344"/>
      <c r="I33" s="344"/>
      <c r="J33" s="344"/>
      <c r="K33" s="345"/>
      <c r="L33" s="344"/>
      <c r="M33" s="344"/>
      <c r="N33" s="346"/>
      <c r="O33" s="344"/>
    </row>
    <row r="34" spans="1:15" ht="15" x14ac:dyDescent="0.3">
      <c r="A34" s="338">
        <v>14</v>
      </c>
      <c r="B34" s="342"/>
      <c r="C34" s="340"/>
      <c r="D34" s="341"/>
      <c r="E34" s="337"/>
      <c r="G34" s="347"/>
      <c r="H34" s="348"/>
      <c r="I34" s="348"/>
      <c r="J34" s="347"/>
      <c r="K34" s="349"/>
      <c r="L34" s="350"/>
      <c r="M34" s="348"/>
      <c r="N34" s="350"/>
      <c r="O34" s="348"/>
    </row>
    <row r="35" spans="1:15" ht="15" x14ac:dyDescent="0.3">
      <c r="A35" s="338">
        <v>15</v>
      </c>
      <c r="B35" s="342"/>
      <c r="C35" s="340"/>
      <c r="D35" s="341"/>
      <c r="E35" s="337"/>
      <c r="G35" s="347"/>
      <c r="J35" s="347"/>
      <c r="K35" s="349"/>
      <c r="L35" s="350"/>
      <c r="N35" s="350"/>
    </row>
    <row r="36" spans="1:15" ht="15" x14ac:dyDescent="0.3">
      <c r="A36" s="338">
        <v>16</v>
      </c>
      <c r="B36" s="342"/>
      <c r="C36" s="340"/>
      <c r="D36" s="341"/>
      <c r="E36" s="337"/>
      <c r="G36" s="351"/>
      <c r="H36" s="351"/>
    </row>
    <row r="37" spans="1:15" ht="15" x14ac:dyDescent="0.3">
      <c r="A37" s="338">
        <v>17</v>
      </c>
      <c r="B37" s="342"/>
      <c r="C37" s="340"/>
      <c r="D37" s="341"/>
      <c r="E37" s="337"/>
    </row>
    <row r="38" spans="1:15" ht="15" x14ac:dyDescent="0.3">
      <c r="A38" s="338">
        <v>18</v>
      </c>
      <c r="B38" s="342"/>
      <c r="C38" s="340"/>
      <c r="D38" s="341"/>
      <c r="E38" s="337"/>
    </row>
    <row r="39" spans="1:15" ht="15" x14ac:dyDescent="0.3">
      <c r="A39" s="338">
        <v>19</v>
      </c>
      <c r="B39" s="342"/>
      <c r="C39" s="340"/>
      <c r="D39" s="341"/>
      <c r="E39" s="337"/>
    </row>
    <row r="40" spans="1:15" ht="14.25" customHeight="1" thickBot="1" x14ac:dyDescent="0.35">
      <c r="A40" s="352">
        <v>20</v>
      </c>
      <c r="B40" s="353"/>
      <c r="C40" s="354"/>
      <c r="D40" s="355"/>
      <c r="E40" s="356"/>
    </row>
    <row r="41" spans="1:15" ht="14.25" customHeight="1" thickBot="1" x14ac:dyDescent="0.35">
      <c r="B41" s="316"/>
      <c r="D41" s="320"/>
      <c r="G41" s="322"/>
    </row>
    <row r="42" spans="1:15" x14ac:dyDescent="0.3">
      <c r="A42" s="357" t="s">
        <v>44</v>
      </c>
      <c r="B42" s="358">
        <f>SUM(B21:B40)</f>
        <v>83342.59</v>
      </c>
      <c r="C42" s="359">
        <f>SUM(C21:C40)</f>
        <v>83117.900000000009</v>
      </c>
      <c r="D42" s="360">
        <f>SUM(D21:D40)</f>
        <v>224.68999999999869</v>
      </c>
    </row>
    <row r="43" spans="1:15" ht="15.75" customHeight="1" thickBot="1" x14ac:dyDescent="0.35">
      <c r="A43" s="361" t="s">
        <v>45</v>
      </c>
      <c r="B43" s="362">
        <f>AVERAGE(B21:B40)</f>
        <v>10417.82375</v>
      </c>
      <c r="C43" s="363">
        <f>AVERAGE(C21:C40)</f>
        <v>10389.737500000001</v>
      </c>
      <c r="D43" s="364">
        <f>AVERAGE(D21:D40)</f>
        <v>28.086249999999836</v>
      </c>
    </row>
    <row r="44" spans="1:15" x14ac:dyDescent="0.3">
      <c r="A44" s="316"/>
      <c r="B44" s="365"/>
      <c r="C44" s="365"/>
      <c r="D44" s="316"/>
    </row>
    <row r="45" spans="1:15" ht="14.25" customHeight="1" thickBot="1" x14ac:dyDescent="0.35">
      <c r="A45" s="316"/>
      <c r="B45" s="316"/>
      <c r="C45" s="316"/>
      <c r="D45" s="316"/>
    </row>
    <row r="46" spans="1:15" ht="30.75" customHeight="1" thickBot="1" x14ac:dyDescent="0.35">
      <c r="B46" s="366" t="s">
        <v>45</v>
      </c>
      <c r="C46" s="367" t="s">
        <v>46</v>
      </c>
    </row>
    <row r="47" spans="1:15" ht="15.75" customHeight="1" thickBot="1" x14ac:dyDescent="0.35">
      <c r="B47" s="495">
        <f>D43</f>
        <v>28.086249999999836</v>
      </c>
      <c r="C47" s="368">
        <f>-(IF(D43&gt;300, 7.5%, 10%))</f>
        <v>-0.1</v>
      </c>
      <c r="D47" s="369">
        <f>IF(D43&lt;300, D43*0.9, D43*0.925)</f>
        <v>25.277624999999855</v>
      </c>
    </row>
    <row r="48" spans="1:15" ht="15.75" customHeight="1" thickBot="1" x14ac:dyDescent="0.35">
      <c r="B48" s="496"/>
      <c r="C48" s="370">
        <f>+(IF(D43&gt;300, 7.5%, 10%))</f>
        <v>0.1</v>
      </c>
      <c r="D48" s="369">
        <f>IF(D43&lt;300, D43*1.1, D43*1.075)</f>
        <v>30.894874999999821</v>
      </c>
    </row>
    <row r="49" spans="1:7" ht="14.25" customHeight="1" thickBot="1" x14ac:dyDescent="0.35">
      <c r="A49" s="371"/>
      <c r="D49" s="373"/>
    </row>
    <row r="50" spans="1:7" ht="15" customHeight="1" x14ac:dyDescent="0.3">
      <c r="B50" s="497" t="s">
        <v>25</v>
      </c>
      <c r="C50" s="497"/>
      <c r="D50" s="316"/>
      <c r="E50" s="374" t="s">
        <v>26</v>
      </c>
      <c r="F50" s="375"/>
      <c r="G50" s="374" t="s">
        <v>27</v>
      </c>
    </row>
    <row r="51" spans="1:7" ht="15" customHeight="1" x14ac:dyDescent="0.3">
      <c r="A51" s="376" t="s">
        <v>28</v>
      </c>
      <c r="B51" s="377" t="s">
        <v>150</v>
      </c>
      <c r="C51" s="377"/>
      <c r="D51" s="316"/>
      <c r="E51" s="377"/>
      <c r="F51" s="316"/>
      <c r="G51" s="377"/>
    </row>
    <row r="52" spans="1:7" ht="15" customHeight="1" x14ac:dyDescent="0.3">
      <c r="A52" s="376" t="s">
        <v>29</v>
      </c>
      <c r="B52" s="378"/>
      <c r="C52" s="378"/>
      <c r="D52" s="316"/>
      <c r="E52" s="378"/>
      <c r="F52" s="316"/>
      <c r="G52" s="379"/>
    </row>
  </sheetData>
  <sheetProtection formatCells="0" formatColumns="0" formatRows="0" insertColumns="0" insertRows="0" insertHyperlinks="0" deleteColumns="0" deleteRows="0" sort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35" priority="20" operator="notBetween">
      <formula>IF(+$D$43&lt;300, -10.5%, -7.5%)</formula>
      <formula>IF(+$D$43&lt;300, 10.5%, 7.5%)</formula>
    </cfRule>
  </conditionalFormatting>
  <conditionalFormatting sqref="E22">
    <cfRule type="cellIs" dxfId="34" priority="19" operator="notBetween">
      <formula>IF(+$D$43&lt;300, -10.5%, -7.5%)</formula>
      <formula>IF(+$D$43&lt;300, 10.5%, 7.5%)</formula>
    </cfRule>
  </conditionalFormatting>
  <conditionalFormatting sqref="E23">
    <cfRule type="cellIs" dxfId="33" priority="18" operator="notBetween">
      <formula>IF(+$D$43&lt;300, -10.5%, -7.5%)</formula>
      <formula>IF(+$D$43&lt;300, 10.5%, 7.5%)</formula>
    </cfRule>
  </conditionalFormatting>
  <conditionalFormatting sqref="E24">
    <cfRule type="cellIs" dxfId="32" priority="17" operator="notBetween">
      <formula>IF(+$D$43&lt;300, -10.5%, -7.5%)</formula>
      <formula>IF(+$D$43&lt;300, 10.5%, 7.5%)</formula>
    </cfRule>
  </conditionalFormatting>
  <conditionalFormatting sqref="E25">
    <cfRule type="cellIs" dxfId="31" priority="16" operator="notBetween">
      <formula>IF(+$D$43&lt;300, -10.5%, -7.5%)</formula>
      <formula>IF(+$D$43&lt;300, 10.5%, 7.5%)</formula>
    </cfRule>
  </conditionalFormatting>
  <conditionalFormatting sqref="E26">
    <cfRule type="cellIs" dxfId="30" priority="15" operator="notBetween">
      <formula>IF(+$D$43&lt;300, -10.5%, -7.5%)</formula>
      <formula>IF(+$D$43&lt;300, 10.5%, 7.5%)</formula>
    </cfRule>
  </conditionalFormatting>
  <conditionalFormatting sqref="E27">
    <cfRule type="cellIs" dxfId="29" priority="14" operator="notBetween">
      <formula>IF(+$D$43&lt;300, -10.5%, -7.5%)</formula>
      <formula>IF(+$D$43&lt;300, 10.5%, 7.5%)</formula>
    </cfRule>
  </conditionalFormatting>
  <conditionalFormatting sqref="E28">
    <cfRule type="cellIs" dxfId="28" priority="13" operator="notBetween">
      <formula>IF(+$D$43&lt;300, -10.5%, -7.5%)</formula>
      <formula>IF(+$D$43&lt;300, 10.5%, 7.5%)</formula>
    </cfRule>
  </conditionalFormatting>
  <conditionalFormatting sqref="E29">
    <cfRule type="cellIs" dxfId="27" priority="12" operator="notBetween">
      <formula>IF(+$D$43&lt;300, -10.5%, -7.5%)</formula>
      <formula>IF(+$D$43&lt;300, 10.5%, 7.5%)</formula>
    </cfRule>
  </conditionalFormatting>
  <conditionalFormatting sqref="E30">
    <cfRule type="cellIs" dxfId="26" priority="11" operator="notBetween">
      <formula>IF(+$D$43&lt;300, -10.5%, -7.5%)</formula>
      <formula>IF(+$D$43&lt;300, 10.5%, 7.5%)</formula>
    </cfRule>
  </conditionalFormatting>
  <conditionalFormatting sqref="E31">
    <cfRule type="cellIs" dxfId="25" priority="10" operator="notBetween">
      <formula>IF(+$D$43&lt;300, -10.5%, -7.5%)</formula>
      <formula>IF(+$D$43&lt;300, 10.5%, 7.5%)</formula>
    </cfRule>
  </conditionalFormatting>
  <conditionalFormatting sqref="E32">
    <cfRule type="cellIs" dxfId="24" priority="9" operator="notBetween">
      <formula>IF(+$D$43&lt;300, -10.5%, -7.5%)</formula>
      <formula>IF(+$D$43&lt;300, 10.5%, 7.5%)</formula>
    </cfRule>
  </conditionalFormatting>
  <conditionalFormatting sqref="E33">
    <cfRule type="cellIs" dxfId="23" priority="8" operator="notBetween">
      <formula>IF(+$D$43&lt;300, -10.5%, -7.5%)</formula>
      <formula>IF(+$D$43&lt;300, 10.5%, 7.5%)</formula>
    </cfRule>
  </conditionalFormatting>
  <conditionalFormatting sqref="E34">
    <cfRule type="cellIs" dxfId="22" priority="7" operator="notBetween">
      <formula>IF(+$D$43&lt;300, -10.5%, -7.5%)</formula>
      <formula>IF(+$D$43&lt;300, 10.5%, 7.5%)</formula>
    </cfRule>
  </conditionalFormatting>
  <conditionalFormatting sqref="E35">
    <cfRule type="cellIs" dxfId="21" priority="6" operator="notBetween">
      <formula>IF(+$D$43&lt;300, -10.5%, -7.5%)</formula>
      <formula>IF(+$D$43&lt;300, 10.5%, 7.5%)</formula>
    </cfRule>
  </conditionalFormatting>
  <conditionalFormatting sqref="E36">
    <cfRule type="cellIs" dxfId="20" priority="5" operator="notBetween">
      <formula>IF(+$D$43&lt;300, -10.5%, -7.5%)</formula>
      <formula>IF(+$D$43&lt;300, 10.5%, 7.5%)</formula>
    </cfRule>
  </conditionalFormatting>
  <conditionalFormatting sqref="E37">
    <cfRule type="cellIs" dxfId="19" priority="4" operator="notBetween">
      <formula>IF(+$D$43&lt;300, -10.5%, -7.5%)</formula>
      <formula>IF(+$D$43&lt;300, 10.5%, 7.5%)</formula>
    </cfRule>
  </conditionalFormatting>
  <conditionalFormatting sqref="E38">
    <cfRule type="cellIs" dxfId="18" priority="3" operator="notBetween">
      <formula>IF(+$D$43&lt;300, -10.5%, -7.5%)</formula>
      <formula>IF(+$D$43&lt;300, 10.5%, 7.5%)</formula>
    </cfRule>
  </conditionalFormatting>
  <conditionalFormatting sqref="E39">
    <cfRule type="cellIs" dxfId="17" priority="2" operator="notBetween">
      <formula>IF(+$D$43&lt;300, -10.5%, -7.5%)</formula>
      <formula>IF(+$D$43&lt;300, 10.5%, 7.5%)</formula>
    </cfRule>
  </conditionalFormatting>
  <conditionalFormatting sqref="E40">
    <cfRule type="cellIs" dxfId="16" priority="1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53" zoomScale="60" zoomScaleNormal="78" workbookViewId="0">
      <selection sqref="A1:H80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514" t="s">
        <v>47</v>
      </c>
      <c r="B1" s="514"/>
      <c r="C1" s="514"/>
      <c r="D1" s="514"/>
      <c r="E1" s="514"/>
      <c r="F1" s="514"/>
      <c r="G1" s="514"/>
      <c r="H1" s="514"/>
    </row>
    <row r="2" spans="1:8" x14ac:dyDescent="0.2">
      <c r="A2" s="514"/>
      <c r="B2" s="514"/>
      <c r="C2" s="514"/>
      <c r="D2" s="514"/>
      <c r="E2" s="514"/>
      <c r="F2" s="514"/>
      <c r="G2" s="514"/>
      <c r="H2" s="514"/>
    </row>
    <row r="3" spans="1:8" x14ac:dyDescent="0.2">
      <c r="A3" s="514"/>
      <c r="B3" s="514"/>
      <c r="C3" s="514"/>
      <c r="D3" s="514"/>
      <c r="E3" s="514"/>
      <c r="F3" s="514"/>
      <c r="G3" s="514"/>
      <c r="H3" s="514"/>
    </row>
    <row r="4" spans="1:8" x14ac:dyDescent="0.2">
      <c r="A4" s="514"/>
      <c r="B4" s="514"/>
      <c r="C4" s="514"/>
      <c r="D4" s="514"/>
      <c r="E4" s="514"/>
      <c r="F4" s="514"/>
      <c r="G4" s="514"/>
      <c r="H4" s="514"/>
    </row>
    <row r="5" spans="1:8" x14ac:dyDescent="0.2">
      <c r="A5" s="514"/>
      <c r="B5" s="514"/>
      <c r="C5" s="514"/>
      <c r="D5" s="514"/>
      <c r="E5" s="514"/>
      <c r="F5" s="514"/>
      <c r="G5" s="514"/>
      <c r="H5" s="514"/>
    </row>
    <row r="6" spans="1:8" x14ac:dyDescent="0.2">
      <c r="A6" s="514"/>
      <c r="B6" s="514"/>
      <c r="C6" s="514"/>
      <c r="D6" s="514"/>
      <c r="E6" s="514"/>
      <c r="F6" s="514"/>
      <c r="G6" s="514"/>
      <c r="H6" s="514"/>
    </row>
    <row r="7" spans="1:8" x14ac:dyDescent="0.2">
      <c r="A7" s="514"/>
      <c r="B7" s="514"/>
      <c r="C7" s="514"/>
      <c r="D7" s="514"/>
      <c r="E7" s="514"/>
      <c r="F7" s="514"/>
      <c r="G7" s="514"/>
      <c r="H7" s="514"/>
    </row>
    <row r="8" spans="1:8" x14ac:dyDescent="0.2">
      <c r="A8" s="515" t="s">
        <v>48</v>
      </c>
      <c r="B8" s="515"/>
      <c r="C8" s="515"/>
      <c r="D8" s="515"/>
      <c r="E8" s="515"/>
      <c r="F8" s="515"/>
      <c r="G8" s="515"/>
      <c r="H8" s="515"/>
    </row>
    <row r="9" spans="1:8" x14ac:dyDescent="0.2">
      <c r="A9" s="515"/>
      <c r="B9" s="515"/>
      <c r="C9" s="515"/>
      <c r="D9" s="515"/>
      <c r="E9" s="515"/>
      <c r="F9" s="515"/>
      <c r="G9" s="515"/>
      <c r="H9" s="515"/>
    </row>
    <row r="10" spans="1:8" x14ac:dyDescent="0.2">
      <c r="A10" s="515"/>
      <c r="B10" s="515"/>
      <c r="C10" s="515"/>
      <c r="D10" s="515"/>
      <c r="E10" s="515"/>
      <c r="F10" s="515"/>
      <c r="G10" s="515"/>
      <c r="H10" s="515"/>
    </row>
    <row r="11" spans="1:8" x14ac:dyDescent="0.2">
      <c r="A11" s="515"/>
      <c r="B11" s="515"/>
      <c r="C11" s="515"/>
      <c r="D11" s="515"/>
      <c r="E11" s="515"/>
      <c r="F11" s="515"/>
      <c r="G11" s="515"/>
      <c r="H11" s="515"/>
    </row>
    <row r="12" spans="1:8" x14ac:dyDescent="0.2">
      <c r="A12" s="515"/>
      <c r="B12" s="515"/>
      <c r="C12" s="515"/>
      <c r="D12" s="515"/>
      <c r="E12" s="515"/>
      <c r="F12" s="515"/>
      <c r="G12" s="515"/>
      <c r="H12" s="515"/>
    </row>
    <row r="13" spans="1:8" x14ac:dyDescent="0.2">
      <c r="A13" s="515"/>
      <c r="B13" s="515"/>
      <c r="C13" s="515"/>
      <c r="D13" s="515"/>
      <c r="E13" s="515"/>
      <c r="F13" s="515"/>
      <c r="G13" s="515"/>
      <c r="H13" s="515"/>
    </row>
    <row r="14" spans="1:8" x14ac:dyDescent="0.2">
      <c r="A14" s="515"/>
      <c r="B14" s="515"/>
      <c r="C14" s="515"/>
      <c r="D14" s="515"/>
      <c r="E14" s="515"/>
      <c r="F14" s="515"/>
      <c r="G14" s="515"/>
      <c r="H14" s="515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516" t="s">
        <v>30</v>
      </c>
      <c r="B16" s="517"/>
      <c r="C16" s="517"/>
      <c r="D16" s="517"/>
      <c r="E16" s="517"/>
      <c r="F16" s="517"/>
      <c r="G16" s="517"/>
      <c r="H16" s="518"/>
    </row>
    <row r="17" spans="1:8" ht="18.75" customHeight="1" x14ac:dyDescent="0.3">
      <c r="A17" s="53" t="s">
        <v>49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32</v>
      </c>
      <c r="B18" s="519" t="s">
        <v>5</v>
      </c>
      <c r="C18" s="519"/>
      <c r="D18" s="519"/>
      <c r="E18" s="519"/>
      <c r="F18" s="52"/>
      <c r="G18" s="52"/>
      <c r="H18" s="52"/>
    </row>
    <row r="19" spans="1:8" ht="26.25" customHeight="1" x14ac:dyDescent="0.4">
      <c r="A19" s="54" t="s">
        <v>33</v>
      </c>
      <c r="B19" s="55" t="s">
        <v>7</v>
      </c>
      <c r="C19" s="52">
        <v>8</v>
      </c>
      <c r="D19" s="52"/>
      <c r="E19" s="52"/>
      <c r="F19" s="52"/>
      <c r="G19" s="52"/>
      <c r="H19" s="52"/>
    </row>
    <row r="20" spans="1:8" ht="26.25" customHeight="1" x14ac:dyDescent="0.4">
      <c r="A20" s="54" t="s">
        <v>34</v>
      </c>
      <c r="B20" s="55" t="s">
        <v>9</v>
      </c>
      <c r="C20" s="52"/>
      <c r="D20" s="52"/>
      <c r="E20" s="52"/>
      <c r="F20" s="52"/>
      <c r="G20" s="52"/>
      <c r="H20" s="52"/>
    </row>
    <row r="21" spans="1:8" ht="26.25" customHeight="1" x14ac:dyDescent="0.4">
      <c r="A21" s="54" t="s">
        <v>35</v>
      </c>
      <c r="B21" s="520" t="s">
        <v>11</v>
      </c>
      <c r="C21" s="520"/>
      <c r="D21" s="520"/>
      <c r="E21" s="520"/>
      <c r="F21" s="520"/>
      <c r="G21" s="520"/>
      <c r="H21" s="520"/>
    </row>
    <row r="22" spans="1:8" ht="26.25" customHeight="1" x14ac:dyDescent="0.4">
      <c r="A22" s="54" t="s">
        <v>36</v>
      </c>
      <c r="B22" s="56">
        <v>42471</v>
      </c>
      <c r="C22" s="52"/>
      <c r="D22" s="52"/>
      <c r="E22" s="52"/>
      <c r="F22" s="52"/>
      <c r="G22" s="52"/>
      <c r="H22" s="52"/>
    </row>
    <row r="23" spans="1:8" ht="26.25" customHeight="1" x14ac:dyDescent="0.4">
      <c r="A23" s="54" t="s">
        <v>37</v>
      </c>
      <c r="B23" s="56">
        <v>42472</v>
      </c>
      <c r="C23" s="52"/>
      <c r="D23" s="52"/>
      <c r="E23" s="52"/>
      <c r="F23" s="52"/>
      <c r="G23" s="52"/>
      <c r="H23" s="52"/>
    </row>
    <row r="24" spans="1:8" ht="18.75" customHeight="1" x14ac:dyDescent="0.3">
      <c r="A24" s="54"/>
      <c r="B24" s="57"/>
      <c r="C24" s="52"/>
      <c r="D24" s="52"/>
      <c r="E24" s="52"/>
      <c r="F24" s="52"/>
      <c r="G24" s="52"/>
      <c r="H24" s="52"/>
    </row>
    <row r="25" spans="1:8" ht="18.75" customHeight="1" x14ac:dyDescent="0.3">
      <c r="A25" s="58" t="s">
        <v>1</v>
      </c>
      <c r="B25" s="57"/>
      <c r="C25" s="52"/>
      <c r="D25" s="52"/>
      <c r="E25" s="52"/>
      <c r="F25" s="52"/>
      <c r="G25" s="52"/>
      <c r="H25" s="52"/>
    </row>
    <row r="26" spans="1:8" ht="26.25" customHeight="1" x14ac:dyDescent="0.4">
      <c r="A26" s="59" t="s">
        <v>4</v>
      </c>
      <c r="B26" s="519" t="s">
        <v>147</v>
      </c>
      <c r="C26" s="519"/>
      <c r="D26" s="52"/>
      <c r="E26" s="52"/>
      <c r="F26" s="52"/>
      <c r="G26" s="52"/>
      <c r="H26" s="52"/>
    </row>
    <row r="27" spans="1:8" ht="26.25" customHeight="1" x14ac:dyDescent="0.4">
      <c r="A27" s="60" t="s">
        <v>50</v>
      </c>
      <c r="B27" s="520" t="s">
        <v>148</v>
      </c>
      <c r="C27" s="520"/>
      <c r="D27" s="52"/>
      <c r="E27" s="52"/>
      <c r="F27" s="52"/>
      <c r="G27" s="52"/>
      <c r="H27" s="52"/>
    </row>
    <row r="28" spans="1:8" ht="27" customHeight="1" x14ac:dyDescent="0.4">
      <c r="A28" s="60" t="s">
        <v>6</v>
      </c>
      <c r="B28" s="61">
        <v>99.7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0" t="s">
        <v>51</v>
      </c>
      <c r="B29" s="62">
        <v>0</v>
      </c>
      <c r="C29" s="521" t="s">
        <v>52</v>
      </c>
      <c r="D29" s="522"/>
      <c r="E29" s="522"/>
      <c r="F29" s="522"/>
      <c r="G29" s="522"/>
      <c r="H29" s="523"/>
    </row>
    <row r="30" spans="1:8" ht="19.5" customHeight="1" x14ac:dyDescent="0.3">
      <c r="A30" s="60" t="s">
        <v>53</v>
      </c>
      <c r="B30" s="63">
        <f>B28-B29</f>
        <v>99.7</v>
      </c>
      <c r="C30" s="64"/>
      <c r="D30" s="64"/>
      <c r="E30" s="64"/>
      <c r="F30" s="64"/>
      <c r="G30" s="64"/>
      <c r="H30" s="65"/>
    </row>
    <row r="31" spans="1:8" ht="27" customHeight="1" x14ac:dyDescent="0.4">
      <c r="A31" s="60" t="s">
        <v>54</v>
      </c>
      <c r="B31" s="66">
        <v>1</v>
      </c>
      <c r="C31" s="524" t="s">
        <v>55</v>
      </c>
      <c r="D31" s="525"/>
      <c r="E31" s="525"/>
      <c r="F31" s="525"/>
      <c r="G31" s="525"/>
      <c r="H31" s="526"/>
    </row>
    <row r="32" spans="1:8" ht="27" customHeight="1" x14ac:dyDescent="0.4">
      <c r="A32" s="60" t="s">
        <v>56</v>
      </c>
      <c r="B32" s="66">
        <v>1</v>
      </c>
      <c r="C32" s="524" t="s">
        <v>57</v>
      </c>
      <c r="D32" s="525"/>
      <c r="E32" s="525"/>
      <c r="F32" s="525"/>
      <c r="G32" s="525"/>
      <c r="H32" s="526"/>
    </row>
    <row r="33" spans="1:8" ht="18.75" customHeight="1" x14ac:dyDescent="0.3">
      <c r="A33" s="60"/>
      <c r="B33" s="67"/>
      <c r="C33" s="68"/>
      <c r="D33" s="68"/>
      <c r="E33" s="68"/>
      <c r="F33" s="68"/>
      <c r="G33" s="68"/>
      <c r="H33" s="68"/>
    </row>
    <row r="34" spans="1:8" ht="18.75" customHeight="1" x14ac:dyDescent="0.3">
      <c r="A34" s="60" t="s">
        <v>58</v>
      </c>
      <c r="B34" s="69">
        <f>B31/B32</f>
        <v>1</v>
      </c>
      <c r="C34" s="52" t="s">
        <v>59</v>
      </c>
      <c r="D34" s="52"/>
      <c r="E34" s="52"/>
      <c r="F34" s="52"/>
      <c r="G34" s="52"/>
      <c r="H34" s="70"/>
    </row>
    <row r="35" spans="1:8" ht="19.5" customHeight="1" x14ac:dyDescent="0.3">
      <c r="A35" s="60"/>
      <c r="B35" s="63"/>
      <c r="C35" s="70"/>
      <c r="D35" s="70"/>
      <c r="E35" s="70"/>
      <c r="F35" s="70"/>
      <c r="G35" s="52"/>
      <c r="H35" s="70"/>
    </row>
    <row r="36" spans="1:8" ht="27" customHeight="1" x14ac:dyDescent="0.4">
      <c r="A36" s="71" t="s">
        <v>60</v>
      </c>
      <c r="B36" s="72">
        <v>5</v>
      </c>
      <c r="C36" s="52"/>
      <c r="D36" s="527" t="s">
        <v>61</v>
      </c>
      <c r="E36" s="528"/>
      <c r="F36" s="527" t="s">
        <v>62</v>
      </c>
      <c r="G36" s="529"/>
      <c r="H36" s="70"/>
    </row>
    <row r="37" spans="1:8" ht="26.25" customHeight="1" x14ac:dyDescent="0.4">
      <c r="A37" s="73" t="s">
        <v>63</v>
      </c>
      <c r="B37" s="74">
        <v>1</v>
      </c>
      <c r="C37" s="75" t="s">
        <v>64</v>
      </c>
      <c r="D37" s="76" t="s">
        <v>65</v>
      </c>
      <c r="E37" s="77" t="s">
        <v>66</v>
      </c>
      <c r="F37" s="76" t="s">
        <v>65</v>
      </c>
      <c r="G37" s="78" t="s">
        <v>66</v>
      </c>
      <c r="H37" s="70"/>
    </row>
    <row r="38" spans="1:8" ht="26.25" customHeight="1" x14ac:dyDescent="0.4">
      <c r="A38" s="73" t="s">
        <v>67</v>
      </c>
      <c r="B38" s="74">
        <v>1</v>
      </c>
      <c r="C38" s="79">
        <v>1</v>
      </c>
      <c r="D38" s="80">
        <v>8038286</v>
      </c>
      <c r="E38" s="81">
        <f>IF(ISBLANK(D38),"-",$D$48/$D$45*D38)</f>
        <v>8062473.4202607824</v>
      </c>
      <c r="F38" s="80">
        <v>7995603</v>
      </c>
      <c r="G38" s="82">
        <f>IF(ISBLANK(F38),"-",$D$48/$F$45*F38)</f>
        <v>8174986.7339020101</v>
      </c>
      <c r="H38" s="70"/>
    </row>
    <row r="39" spans="1:8" ht="26.25" customHeight="1" x14ac:dyDescent="0.4">
      <c r="A39" s="73" t="s">
        <v>68</v>
      </c>
      <c r="B39" s="74">
        <v>1</v>
      </c>
      <c r="C39" s="83">
        <v>2</v>
      </c>
      <c r="D39" s="84">
        <v>8132798</v>
      </c>
      <c r="E39" s="85">
        <f>IF(ISBLANK(D39),"-",$D$48/$D$45*D39)</f>
        <v>8157269.8094282849</v>
      </c>
      <c r="F39" s="84">
        <v>7945412</v>
      </c>
      <c r="G39" s="86">
        <f>IF(ISBLANK(F39),"-",$D$48/$F$45*F39)</f>
        <v>8123669.6838732287</v>
      </c>
      <c r="H39" s="70"/>
    </row>
    <row r="40" spans="1:8" ht="26.25" customHeight="1" x14ac:dyDescent="0.4">
      <c r="A40" s="73" t="s">
        <v>69</v>
      </c>
      <c r="B40" s="74">
        <v>1</v>
      </c>
      <c r="C40" s="83">
        <v>3</v>
      </c>
      <c r="D40" s="84">
        <v>8136354</v>
      </c>
      <c r="E40" s="85">
        <f>IF(ISBLANK(D40),"-",$D$48/$D$45*D40)</f>
        <v>8160836.5095285857</v>
      </c>
      <c r="F40" s="84">
        <v>8035440</v>
      </c>
      <c r="G40" s="86">
        <f>IF(ISBLANK(F40),"-",$D$48/$F$45*F40)</f>
        <v>8215717.4888580097</v>
      </c>
      <c r="H40" s="52"/>
    </row>
    <row r="41" spans="1:8" ht="26.25" customHeight="1" x14ac:dyDescent="0.4">
      <c r="A41" s="73" t="s">
        <v>70</v>
      </c>
      <c r="B41" s="74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  <c r="H41" s="52"/>
    </row>
    <row r="42" spans="1:8" ht="27" customHeight="1" x14ac:dyDescent="0.4">
      <c r="A42" s="73" t="s">
        <v>71</v>
      </c>
      <c r="B42" s="74">
        <v>1</v>
      </c>
      <c r="C42" s="91" t="s">
        <v>72</v>
      </c>
      <c r="D42" s="92">
        <f>AVERAGE(D38:D41)</f>
        <v>8102479.333333333</v>
      </c>
      <c r="E42" s="93">
        <f>AVERAGE(E38:E41)</f>
        <v>8126859.9130725516</v>
      </c>
      <c r="F42" s="92">
        <f>AVERAGE(F38:F41)</f>
        <v>7992151.666666667</v>
      </c>
      <c r="G42" s="94">
        <f>AVERAGE(G38:G41)</f>
        <v>8171457.9688777504</v>
      </c>
      <c r="H42" s="95"/>
    </row>
    <row r="43" spans="1:8" ht="26.25" customHeight="1" x14ac:dyDescent="0.4">
      <c r="A43" s="73" t="s">
        <v>73</v>
      </c>
      <c r="B43" s="74">
        <v>1</v>
      </c>
      <c r="C43" s="96" t="s">
        <v>74</v>
      </c>
      <c r="D43" s="97">
        <v>20</v>
      </c>
      <c r="E43" s="98"/>
      <c r="F43" s="97">
        <v>19.62</v>
      </c>
      <c r="G43" s="52"/>
      <c r="H43" s="95"/>
    </row>
    <row r="44" spans="1:8" ht="26.25" customHeight="1" x14ac:dyDescent="0.4">
      <c r="A44" s="73" t="s">
        <v>75</v>
      </c>
      <c r="B44" s="74">
        <v>1</v>
      </c>
      <c r="C44" s="99" t="s">
        <v>76</v>
      </c>
      <c r="D44" s="100">
        <f>D43*$B$34</f>
        <v>20</v>
      </c>
      <c r="E44" s="101"/>
      <c r="F44" s="100">
        <f>F43*$B$34</f>
        <v>19.62</v>
      </c>
      <c r="G44" s="52"/>
      <c r="H44" s="95"/>
    </row>
    <row r="45" spans="1:8" ht="19.5" customHeight="1" x14ac:dyDescent="0.3">
      <c r="A45" s="73" t="s">
        <v>77</v>
      </c>
      <c r="B45" s="102">
        <f>(B44/B43)*(B42/B41)*(B40/B39)*(B38/B37)*B36</f>
        <v>5</v>
      </c>
      <c r="C45" s="99" t="s">
        <v>78</v>
      </c>
      <c r="D45" s="103">
        <f>D44*$B$30/100</f>
        <v>19.940000000000001</v>
      </c>
      <c r="E45" s="104"/>
      <c r="F45" s="103">
        <f>F44*$B$30/100</f>
        <v>19.561140000000002</v>
      </c>
      <c r="G45" s="52"/>
      <c r="H45" s="95"/>
    </row>
    <row r="46" spans="1:8" ht="19.5" customHeight="1" x14ac:dyDescent="0.3">
      <c r="A46" s="509" t="s">
        <v>79</v>
      </c>
      <c r="B46" s="510"/>
      <c r="C46" s="99" t="s">
        <v>80</v>
      </c>
      <c r="D46" s="100">
        <f>D45/$B$45</f>
        <v>3.9880000000000004</v>
      </c>
      <c r="E46" s="104"/>
      <c r="F46" s="105">
        <f>F45/$B$45</f>
        <v>3.9122280000000003</v>
      </c>
      <c r="G46" s="52"/>
      <c r="H46" s="95"/>
    </row>
    <row r="47" spans="1:8" ht="27" customHeight="1" x14ac:dyDescent="0.4">
      <c r="A47" s="511"/>
      <c r="B47" s="512"/>
      <c r="C47" s="106" t="s">
        <v>81</v>
      </c>
      <c r="D47" s="107">
        <v>4</v>
      </c>
      <c r="E47" s="52"/>
      <c r="F47" s="108"/>
      <c r="G47" s="52"/>
      <c r="H47" s="95"/>
    </row>
    <row r="48" spans="1:8" ht="18.75" customHeight="1" x14ac:dyDescent="0.3">
      <c r="A48" s="52"/>
      <c r="B48" s="52"/>
      <c r="C48" s="109" t="s">
        <v>82</v>
      </c>
      <c r="D48" s="100">
        <f>D47*$B$45</f>
        <v>20</v>
      </c>
      <c r="E48" s="52"/>
      <c r="F48" s="108"/>
      <c r="G48" s="52"/>
      <c r="H48" s="95"/>
    </row>
    <row r="49" spans="1:8" ht="19.5" customHeight="1" x14ac:dyDescent="0.3">
      <c r="A49" s="52"/>
      <c r="B49" s="52"/>
      <c r="C49" s="110" t="s">
        <v>83</v>
      </c>
      <c r="D49" s="111">
        <f>D48/B34</f>
        <v>20</v>
      </c>
      <c r="E49" s="52"/>
      <c r="F49" s="108"/>
      <c r="G49" s="52"/>
      <c r="H49" s="95"/>
    </row>
    <row r="50" spans="1:8" ht="18.75" customHeight="1" x14ac:dyDescent="0.3">
      <c r="A50" s="52"/>
      <c r="B50" s="52"/>
      <c r="C50" s="71" t="s">
        <v>84</v>
      </c>
      <c r="D50" s="112">
        <f>AVERAGE(E38:E41,G38:G41)</f>
        <v>8149158.940975151</v>
      </c>
      <c r="E50" s="52"/>
      <c r="F50" s="113"/>
      <c r="G50" s="52"/>
      <c r="H50" s="95"/>
    </row>
    <row r="51" spans="1:8" ht="18.75" customHeight="1" x14ac:dyDescent="0.3">
      <c r="A51" s="52"/>
      <c r="B51" s="52"/>
      <c r="C51" s="106" t="s">
        <v>85</v>
      </c>
      <c r="D51" s="114">
        <f>STDEV(E38:E41,G38:G41)/D50</f>
        <v>6.3676437308067269E-3</v>
      </c>
      <c r="E51" s="52"/>
      <c r="F51" s="113"/>
      <c r="G51" s="52"/>
      <c r="H51" s="95"/>
    </row>
    <row r="52" spans="1:8" ht="19.5" customHeight="1" x14ac:dyDescent="0.3">
      <c r="A52" s="52"/>
      <c r="B52" s="52"/>
      <c r="C52" s="115" t="s">
        <v>19</v>
      </c>
      <c r="D52" s="116">
        <f>COUNT(E38:E41,G38:G41)</f>
        <v>6</v>
      </c>
      <c r="E52" s="52"/>
      <c r="F52" s="113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7" t="s">
        <v>86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87</v>
      </c>
      <c r="B55" s="118" t="str">
        <f>B21</f>
        <v>Each vial contains: ARTESUNATE 30 mg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119" t="s">
        <v>88</v>
      </c>
      <c r="B56" s="120">
        <v>30</v>
      </c>
      <c r="C56" s="52" t="str">
        <f>B20</f>
        <v xml:space="preserve">ARTESUNATE </v>
      </c>
      <c r="D56" s="52"/>
      <c r="E56" s="52"/>
      <c r="F56" s="52"/>
      <c r="G56" s="52"/>
      <c r="H56" s="121"/>
    </row>
    <row r="57" spans="1:8" ht="18.75" customHeight="1" x14ac:dyDescent="0.3">
      <c r="A57" s="118" t="s">
        <v>89</v>
      </c>
      <c r="B57" s="169">
        <v>28.086249999999836</v>
      </c>
      <c r="C57" s="52"/>
      <c r="D57" s="52"/>
      <c r="E57" s="52"/>
      <c r="F57" s="52"/>
      <c r="G57" s="52"/>
      <c r="H57" s="121"/>
    </row>
    <row r="58" spans="1:8" ht="19.5" customHeight="1" x14ac:dyDescent="0.3">
      <c r="A58" s="52"/>
      <c r="B58" s="52"/>
      <c r="C58" s="52"/>
      <c r="D58" s="52"/>
      <c r="E58" s="52"/>
      <c r="F58" s="52"/>
      <c r="G58" s="52"/>
      <c r="H58" s="121"/>
    </row>
    <row r="59" spans="1:8" ht="27" customHeight="1" x14ac:dyDescent="0.4">
      <c r="A59" s="71" t="s">
        <v>90</v>
      </c>
      <c r="B59" s="72">
        <v>5</v>
      </c>
      <c r="C59" s="52"/>
      <c r="D59" s="122" t="s">
        <v>91</v>
      </c>
      <c r="E59" s="123" t="s">
        <v>64</v>
      </c>
      <c r="F59" s="123" t="s">
        <v>65</v>
      </c>
      <c r="G59" s="123" t="s">
        <v>92</v>
      </c>
      <c r="H59" s="75" t="s">
        <v>93</v>
      </c>
    </row>
    <row r="60" spans="1:8" ht="26.25" customHeight="1" x14ac:dyDescent="0.4">
      <c r="A60" s="73" t="s">
        <v>94</v>
      </c>
      <c r="B60" s="74">
        <v>1</v>
      </c>
      <c r="C60" s="502" t="s">
        <v>95</v>
      </c>
      <c r="D60" s="505">
        <v>16.940000000000001</v>
      </c>
      <c r="E60" s="124">
        <v>1</v>
      </c>
      <c r="F60" s="125">
        <v>6781244</v>
      </c>
      <c r="G60" s="126">
        <f>IF(ISBLANK(F60),"-",(F60/$D$50*$D$47*$B$68)*($B$57/$D$60))</f>
        <v>27.593508851288856</v>
      </c>
      <c r="H60" s="127">
        <f t="shared" ref="H60:H71" si="0">IF(ISBLANK(F60),"-",G60/$B$56)</f>
        <v>0.91978362837629524</v>
      </c>
    </row>
    <row r="61" spans="1:8" ht="26.25" customHeight="1" x14ac:dyDescent="0.4">
      <c r="A61" s="73" t="s">
        <v>96</v>
      </c>
      <c r="B61" s="74">
        <v>1</v>
      </c>
      <c r="C61" s="503"/>
      <c r="D61" s="506"/>
      <c r="E61" s="128">
        <v>2</v>
      </c>
      <c r="F61" s="84">
        <v>6738707</v>
      </c>
      <c r="G61" s="129">
        <f>IF(ISBLANK(F61),"-",(F61/$D$50*$D$47*$B$68)*($B$57/$D$60))</f>
        <v>27.420421865183176</v>
      </c>
      <c r="H61" s="130">
        <f t="shared" si="0"/>
        <v>0.91401406217277248</v>
      </c>
    </row>
    <row r="62" spans="1:8" ht="26.25" customHeight="1" x14ac:dyDescent="0.4">
      <c r="A62" s="73" t="s">
        <v>97</v>
      </c>
      <c r="B62" s="74">
        <v>1</v>
      </c>
      <c r="C62" s="503"/>
      <c r="D62" s="506"/>
      <c r="E62" s="128">
        <v>3</v>
      </c>
      <c r="F62" s="84">
        <v>6811736</v>
      </c>
      <c r="G62" s="129">
        <f>IF(ISBLANK(F62),"-",(F62/$D$50*$D$47*$B$68)*($B$57/$D$60))</f>
        <v>27.717583618675715</v>
      </c>
      <c r="H62" s="130">
        <f t="shared" si="0"/>
        <v>0.92391945395585717</v>
      </c>
    </row>
    <row r="63" spans="1:8" ht="27" customHeight="1" x14ac:dyDescent="0.4">
      <c r="A63" s="73" t="s">
        <v>98</v>
      </c>
      <c r="B63" s="74">
        <v>1</v>
      </c>
      <c r="C63" s="504"/>
      <c r="D63" s="507"/>
      <c r="E63" s="131">
        <v>4</v>
      </c>
      <c r="F63" s="132"/>
      <c r="G63" s="129" t="str">
        <f>IF(ISBLANK(F63),"-",(F63/$D$50*$D$47*$B$68)*($B$57/$D$60))</f>
        <v>-</v>
      </c>
      <c r="H63" s="130" t="str">
        <f t="shared" si="0"/>
        <v>-</v>
      </c>
    </row>
    <row r="64" spans="1:8" ht="26.25" customHeight="1" x14ac:dyDescent="0.4">
      <c r="A64" s="73" t="s">
        <v>99</v>
      </c>
      <c r="B64" s="74">
        <v>1</v>
      </c>
      <c r="C64" s="502" t="s">
        <v>100</v>
      </c>
      <c r="D64" s="505">
        <v>17.66</v>
      </c>
      <c r="E64" s="124">
        <v>1</v>
      </c>
      <c r="F64" s="125">
        <v>7014356</v>
      </c>
      <c r="G64" s="133">
        <f>IF(ISBLANK(F64),"-",(F64/$D$50*$D$47*$B$68)*($B$57/$D$64))</f>
        <v>27.37840031044999</v>
      </c>
      <c r="H64" s="134">
        <f t="shared" si="0"/>
        <v>0.91261334368166636</v>
      </c>
    </row>
    <row r="65" spans="1:8" ht="26.25" customHeight="1" x14ac:dyDescent="0.4">
      <c r="A65" s="73" t="s">
        <v>101</v>
      </c>
      <c r="B65" s="74">
        <v>1</v>
      </c>
      <c r="C65" s="503"/>
      <c r="D65" s="506"/>
      <c r="E65" s="128">
        <v>2</v>
      </c>
      <c r="F65" s="84">
        <v>7069341</v>
      </c>
      <c r="G65" s="135">
        <f>IF(ISBLANK(F65),"-",(F65/$D$50*$D$47*$B$68)*($B$57/$D$64))</f>
        <v>27.593017495701226</v>
      </c>
      <c r="H65" s="136">
        <f t="shared" si="0"/>
        <v>0.91976724985670755</v>
      </c>
    </row>
    <row r="66" spans="1:8" ht="26.25" customHeight="1" x14ac:dyDescent="0.4">
      <c r="A66" s="73" t="s">
        <v>102</v>
      </c>
      <c r="B66" s="74">
        <v>1</v>
      </c>
      <c r="C66" s="503"/>
      <c r="D66" s="506"/>
      <c r="E66" s="128">
        <v>3</v>
      </c>
      <c r="F66" s="84">
        <v>7060407</v>
      </c>
      <c r="G66" s="135">
        <f>IF(ISBLANK(F66),"-",(F66/$D$50*$D$47*$B$68)*($B$57/$D$64))</f>
        <v>27.558146350242744</v>
      </c>
      <c r="H66" s="136">
        <f t="shared" si="0"/>
        <v>0.91860487834142479</v>
      </c>
    </row>
    <row r="67" spans="1:8" ht="27" customHeight="1" x14ac:dyDescent="0.4">
      <c r="A67" s="73" t="s">
        <v>103</v>
      </c>
      <c r="B67" s="74">
        <v>1</v>
      </c>
      <c r="C67" s="504"/>
      <c r="D67" s="507"/>
      <c r="E67" s="131">
        <v>4</v>
      </c>
      <c r="F67" s="132"/>
      <c r="G67" s="137" t="str">
        <f>IF(ISBLANK(F67),"-",(F67/$D$50*$D$47*$B$68)*($B$57/$D$64))</f>
        <v>-</v>
      </c>
      <c r="H67" s="138" t="str">
        <f t="shared" si="0"/>
        <v>-</v>
      </c>
    </row>
    <row r="68" spans="1:8" ht="26.25" customHeight="1" x14ac:dyDescent="0.4">
      <c r="A68" s="73" t="s">
        <v>104</v>
      </c>
      <c r="B68" s="139">
        <f>(B67/B66)*(B65/B64)*(B63/B62)*(B61/B60)*B59</f>
        <v>5</v>
      </c>
      <c r="C68" s="502" t="s">
        <v>105</v>
      </c>
      <c r="D68" s="505">
        <v>18.93</v>
      </c>
      <c r="E68" s="124">
        <v>1</v>
      </c>
      <c r="F68" s="125">
        <v>7662200</v>
      </c>
      <c r="G68" s="133">
        <f>IF(ISBLANK(F68),"-",(F68/$D$50*$D$47*$B$68)*($B$57/$D$68))</f>
        <v>27.90061873192327</v>
      </c>
      <c r="H68" s="130">
        <f t="shared" si="0"/>
        <v>0.93002062439744237</v>
      </c>
    </row>
    <row r="69" spans="1:8" ht="27" customHeight="1" x14ac:dyDescent="0.4">
      <c r="A69" s="115" t="s">
        <v>106</v>
      </c>
      <c r="B69" s="140">
        <f>(D47*B68)/B56*B57</f>
        <v>18.724166666666555</v>
      </c>
      <c r="C69" s="503"/>
      <c r="D69" s="506"/>
      <c r="E69" s="128">
        <v>2</v>
      </c>
      <c r="F69" s="84">
        <v>7633321</v>
      </c>
      <c r="G69" s="135">
        <f>IF(ISBLANK(F69),"-",(F69/$D$50*$D$47*$B$68)*($B$57/$D$68))</f>
        <v>27.795460687450507</v>
      </c>
      <c r="H69" s="130">
        <f t="shared" si="0"/>
        <v>0.92651535624835024</v>
      </c>
    </row>
    <row r="70" spans="1:8" ht="26.25" customHeight="1" x14ac:dyDescent="0.4">
      <c r="A70" s="509" t="s">
        <v>79</v>
      </c>
      <c r="B70" s="510"/>
      <c r="C70" s="503"/>
      <c r="D70" s="506"/>
      <c r="E70" s="128">
        <v>3</v>
      </c>
      <c r="F70" s="84">
        <v>7620106</v>
      </c>
      <c r="G70" s="135">
        <f>IF(ISBLANK(F70),"-",(F70/$D$50*$D$47*$B$68)*($B$57/$D$68))</f>
        <v>27.747340476996278</v>
      </c>
      <c r="H70" s="130">
        <f t="shared" si="0"/>
        <v>0.92491134923320928</v>
      </c>
    </row>
    <row r="71" spans="1:8" ht="27" customHeight="1" x14ac:dyDescent="0.4">
      <c r="A71" s="511"/>
      <c r="B71" s="512"/>
      <c r="C71" s="508"/>
      <c r="D71" s="507"/>
      <c r="E71" s="131">
        <v>4</v>
      </c>
      <c r="F71" s="132"/>
      <c r="G71" s="137" t="str">
        <f>IF(ISBLANK(F71),"-",(F71/$D$50*$D$47*$B$68)*($B$57/$D$68))</f>
        <v>-</v>
      </c>
      <c r="H71" s="141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3"/>
      <c r="G72" s="144" t="s">
        <v>72</v>
      </c>
      <c r="H72" s="145">
        <f>AVERAGE(H60:H71)</f>
        <v>0.9211277718070805</v>
      </c>
    </row>
    <row r="73" spans="1:8" ht="26.25" customHeight="1" x14ac:dyDescent="0.4">
      <c r="A73" s="52"/>
      <c r="B73" s="52"/>
      <c r="C73" s="142"/>
      <c r="D73" s="142"/>
      <c r="E73" s="142"/>
      <c r="F73" s="143"/>
      <c r="G73" s="146" t="s">
        <v>85</v>
      </c>
      <c r="H73" s="147">
        <f>STDEV(H60:H71)/H72</f>
        <v>6.2286554575328801E-3</v>
      </c>
    </row>
    <row r="74" spans="1:8" ht="27" customHeight="1" x14ac:dyDescent="0.4">
      <c r="A74" s="142"/>
      <c r="B74" s="142"/>
      <c r="C74" s="143"/>
      <c r="D74" s="143"/>
      <c r="E74" s="148"/>
      <c r="F74" s="143"/>
      <c r="G74" s="149" t="s">
        <v>19</v>
      </c>
      <c r="H74" s="150">
        <f>COUNT(H60:H71)</f>
        <v>9</v>
      </c>
    </row>
    <row r="75" spans="1:8" ht="18.75" customHeight="1" x14ac:dyDescent="0.3">
      <c r="A75" s="151"/>
      <c r="B75" s="151"/>
      <c r="C75" s="101"/>
      <c r="D75" s="101"/>
      <c r="E75" s="104"/>
      <c r="F75" s="101"/>
      <c r="G75" s="152"/>
      <c r="H75" s="153"/>
    </row>
    <row r="76" spans="1:8" ht="26.25" customHeight="1" x14ac:dyDescent="0.4">
      <c r="A76" s="59" t="s">
        <v>107</v>
      </c>
      <c r="B76" s="154" t="s">
        <v>108</v>
      </c>
      <c r="C76" s="513" t="str">
        <f>B20</f>
        <v xml:space="preserve">ARTESUNATE </v>
      </c>
      <c r="D76" s="513"/>
      <c r="E76" s="155" t="s">
        <v>109</v>
      </c>
      <c r="F76" s="155"/>
      <c r="G76" s="156">
        <f>H72</f>
        <v>0.9211277718070805</v>
      </c>
      <c r="H76" s="153"/>
    </row>
    <row r="77" spans="1:8" ht="19.5" customHeight="1" x14ac:dyDescent="0.3">
      <c r="A77" s="157"/>
      <c r="B77" s="157"/>
      <c r="C77" s="158"/>
      <c r="D77" s="158"/>
      <c r="E77" s="158"/>
      <c r="F77" s="158"/>
      <c r="G77" s="158"/>
      <c r="H77" s="158"/>
    </row>
    <row r="78" spans="1:8" ht="18.75" customHeight="1" x14ac:dyDescent="0.3">
      <c r="A78" s="52"/>
      <c r="B78" s="501" t="s">
        <v>25</v>
      </c>
      <c r="C78" s="501"/>
      <c r="D78" s="52"/>
      <c r="E78" s="159" t="s">
        <v>26</v>
      </c>
      <c r="F78" s="160"/>
      <c r="G78" s="501" t="s">
        <v>27</v>
      </c>
      <c r="H78" s="501"/>
    </row>
    <row r="79" spans="1:8" ht="60" customHeight="1" x14ac:dyDescent="0.3">
      <c r="A79" s="161" t="s">
        <v>28</v>
      </c>
      <c r="B79" s="162" t="s">
        <v>150</v>
      </c>
      <c r="C79" s="162"/>
      <c r="D79" s="52"/>
      <c r="E79" s="163"/>
      <c r="F79" s="164"/>
      <c r="G79" s="165"/>
      <c r="H79" s="165"/>
    </row>
    <row r="80" spans="1:8" ht="60" customHeight="1" x14ac:dyDescent="0.3">
      <c r="A80" s="161" t="s">
        <v>29</v>
      </c>
      <c r="B80" s="166"/>
      <c r="C80" s="166"/>
      <c r="D80" s="52"/>
      <c r="E80" s="167"/>
      <c r="F80" s="164"/>
      <c r="G80" s="168"/>
      <c r="H80" s="168"/>
    </row>
    <row r="250" spans="1:1" x14ac:dyDescent="0.2">
      <c r="A250">
        <v>5</v>
      </c>
    </row>
  </sheetData>
  <sheetProtection password="F258" sheet="1" formatColumns="0" formatRows="0" insertColumns="0" insertHyperlinks="0" deleteColumns="0" deleteRows="0" autoFilter="0" pivotTables="0"/>
  <mergeCells count="23"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15" priority="1" operator="greaterThan">
      <formula>0.02</formula>
    </cfRule>
  </conditionalFormatting>
  <conditionalFormatting sqref="H73">
    <cfRule type="cellIs" dxfId="14" priority="2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50" zoomScale="50" zoomScaleNormal="75" zoomScalePageLayoutView="50" workbookViewId="0">
      <selection sqref="A1:I64"/>
    </sheetView>
  </sheetViews>
  <sheetFormatPr defaultRowHeight="16.5" x14ac:dyDescent="0.3"/>
  <cols>
    <col min="1" max="1" width="66.28515625" style="6" customWidth="1"/>
    <col min="2" max="2" width="32.28515625" style="6" customWidth="1"/>
    <col min="3" max="3" width="33.28515625" style="6" customWidth="1"/>
    <col min="4" max="4" width="30.5703125" style="6" customWidth="1"/>
    <col min="5" max="5" width="33.5703125" style="6" customWidth="1"/>
    <col min="6" max="6" width="39.85546875" style="6" customWidth="1"/>
    <col min="7" max="7" width="31.7109375" style="6" customWidth="1"/>
    <col min="8" max="8" width="31.140625" style="6" customWidth="1"/>
    <col min="9" max="9" width="32.28515625" style="1" customWidth="1"/>
    <col min="10" max="10" width="22.28515625" style="1" customWidth="1"/>
    <col min="11" max="11" width="19.5703125" style="1" customWidth="1"/>
    <col min="12" max="12" width="21.140625" style="1" customWidth="1"/>
    <col min="13" max="13" width="9.140625" style="1" customWidth="1"/>
  </cols>
  <sheetData>
    <row r="1" spans="1:9" ht="15" x14ac:dyDescent="0.3">
      <c r="A1" s="514" t="s">
        <v>110</v>
      </c>
      <c r="B1" s="514"/>
      <c r="C1" s="514"/>
      <c r="D1" s="514"/>
      <c r="E1" s="514"/>
      <c r="F1" s="514"/>
      <c r="G1" s="514"/>
      <c r="H1" s="514"/>
      <c r="I1" s="514"/>
    </row>
    <row r="2" spans="1:9" ht="15" x14ac:dyDescent="0.3">
      <c r="A2" s="514"/>
      <c r="B2" s="514"/>
      <c r="C2" s="514"/>
      <c r="D2" s="514"/>
      <c r="E2" s="514"/>
      <c r="F2" s="514"/>
      <c r="G2" s="514"/>
      <c r="H2" s="514"/>
      <c r="I2" s="514"/>
    </row>
    <row r="3" spans="1:9" ht="15" x14ac:dyDescent="0.3">
      <c r="A3" s="514"/>
      <c r="B3" s="514"/>
      <c r="C3" s="514"/>
      <c r="D3" s="514"/>
      <c r="E3" s="514"/>
      <c r="F3" s="514"/>
      <c r="G3" s="514"/>
      <c r="H3" s="514"/>
      <c r="I3" s="514"/>
    </row>
    <row r="4" spans="1:9" ht="15" x14ac:dyDescent="0.3">
      <c r="A4" s="514"/>
      <c r="B4" s="514"/>
      <c r="C4" s="514"/>
      <c r="D4" s="514"/>
      <c r="E4" s="514"/>
      <c r="F4" s="514"/>
      <c r="G4" s="514"/>
      <c r="H4" s="514"/>
      <c r="I4" s="514"/>
    </row>
    <row r="5" spans="1:9" ht="15" x14ac:dyDescent="0.3">
      <c r="A5" s="514"/>
      <c r="B5" s="514"/>
      <c r="C5" s="514"/>
      <c r="D5" s="514"/>
      <c r="E5" s="514"/>
      <c r="F5" s="514"/>
      <c r="G5" s="514"/>
      <c r="H5" s="514"/>
      <c r="I5" s="514"/>
    </row>
    <row r="6" spans="1:9" ht="15" x14ac:dyDescent="0.3">
      <c r="A6" s="514"/>
      <c r="B6" s="514"/>
      <c r="C6" s="514"/>
      <c r="D6" s="514"/>
      <c r="E6" s="514"/>
      <c r="F6" s="514"/>
      <c r="G6" s="514"/>
      <c r="H6" s="514"/>
      <c r="I6" s="514"/>
    </row>
    <row r="7" spans="1:9" ht="15" x14ac:dyDescent="0.3">
      <c r="A7" s="514"/>
      <c r="B7" s="514"/>
      <c r="C7" s="514"/>
      <c r="D7" s="514"/>
      <c r="E7" s="514"/>
      <c r="F7" s="514"/>
      <c r="G7" s="514"/>
      <c r="H7" s="514"/>
      <c r="I7" s="514"/>
    </row>
    <row r="8" spans="1:9" ht="15" x14ac:dyDescent="0.3">
      <c r="A8" s="515" t="s">
        <v>48</v>
      </c>
      <c r="B8" s="515"/>
      <c r="C8" s="515"/>
      <c r="D8" s="515"/>
      <c r="E8" s="515"/>
      <c r="F8" s="515"/>
      <c r="G8" s="515"/>
      <c r="H8" s="515"/>
      <c r="I8" s="515"/>
    </row>
    <row r="9" spans="1:9" ht="15" x14ac:dyDescent="0.3">
      <c r="A9" s="515"/>
      <c r="B9" s="515"/>
      <c r="C9" s="515"/>
      <c r="D9" s="515"/>
      <c r="E9" s="515"/>
      <c r="F9" s="515"/>
      <c r="G9" s="515"/>
      <c r="H9" s="515"/>
      <c r="I9" s="515"/>
    </row>
    <row r="10" spans="1:9" ht="15" x14ac:dyDescent="0.3">
      <c r="A10" s="515"/>
      <c r="B10" s="515"/>
      <c r="C10" s="515"/>
      <c r="D10" s="515"/>
      <c r="E10" s="515"/>
      <c r="F10" s="515"/>
      <c r="G10" s="515"/>
      <c r="H10" s="515"/>
      <c r="I10" s="515"/>
    </row>
    <row r="11" spans="1:9" ht="15" x14ac:dyDescent="0.3">
      <c r="A11" s="515"/>
      <c r="B11" s="515"/>
      <c r="C11" s="515"/>
      <c r="D11" s="515"/>
      <c r="E11" s="515"/>
      <c r="F11" s="515"/>
      <c r="G11" s="515"/>
      <c r="H11" s="515"/>
      <c r="I11" s="515"/>
    </row>
    <row r="12" spans="1:9" ht="15" x14ac:dyDescent="0.3">
      <c r="A12" s="515"/>
      <c r="B12" s="515"/>
      <c r="C12" s="515"/>
      <c r="D12" s="515"/>
      <c r="E12" s="515"/>
      <c r="F12" s="515"/>
      <c r="G12" s="515"/>
      <c r="H12" s="515"/>
      <c r="I12" s="515"/>
    </row>
    <row r="13" spans="1:9" ht="15" x14ac:dyDescent="0.3">
      <c r="A13" s="515"/>
      <c r="B13" s="515"/>
      <c r="C13" s="515"/>
      <c r="D13" s="515"/>
      <c r="E13" s="515"/>
      <c r="F13" s="515"/>
      <c r="G13" s="515"/>
      <c r="H13" s="515"/>
      <c r="I13" s="515"/>
    </row>
    <row r="14" spans="1:9" ht="15" x14ac:dyDescent="0.3">
      <c r="A14" s="515"/>
      <c r="B14" s="515"/>
      <c r="C14" s="515"/>
      <c r="D14" s="515"/>
      <c r="E14" s="515"/>
      <c r="F14" s="515"/>
      <c r="G14" s="515"/>
      <c r="H14" s="515"/>
      <c r="I14" s="515"/>
    </row>
    <row r="15" spans="1:9" ht="19.5" customHeight="1" x14ac:dyDescent="0.3"/>
    <row r="16" spans="1:9" ht="19.5" customHeight="1" x14ac:dyDescent="0.3">
      <c r="A16" s="532" t="s">
        <v>30</v>
      </c>
      <c r="B16" s="533"/>
      <c r="C16" s="533"/>
      <c r="D16" s="533"/>
      <c r="E16" s="533"/>
      <c r="F16" s="533"/>
      <c r="G16" s="533"/>
      <c r="H16" s="534"/>
    </row>
    <row r="17" spans="1:14" ht="18.75" x14ac:dyDescent="0.3">
      <c r="A17" s="535" t="s">
        <v>49</v>
      </c>
      <c r="B17" s="535"/>
      <c r="C17" s="535"/>
      <c r="D17" s="535"/>
      <c r="E17" s="535"/>
      <c r="F17" s="535"/>
      <c r="G17" s="535"/>
      <c r="H17" s="535"/>
    </row>
    <row r="18" spans="1:14" ht="18.75" x14ac:dyDescent="0.3">
      <c r="A18" s="177" t="s">
        <v>32</v>
      </c>
      <c r="B18" s="207" t="s">
        <v>5</v>
      </c>
      <c r="C18" s="207"/>
      <c r="D18" s="207"/>
      <c r="E18" s="207"/>
    </row>
    <row r="19" spans="1:14" ht="18.75" x14ac:dyDescent="0.3">
      <c r="A19" s="177" t="s">
        <v>33</v>
      </c>
      <c r="B19" s="208" t="s">
        <v>7</v>
      </c>
      <c r="C19" s="297">
        <v>22</v>
      </c>
    </row>
    <row r="20" spans="1:14" ht="18.75" x14ac:dyDescent="0.3">
      <c r="A20" s="177" t="s">
        <v>34</v>
      </c>
      <c r="B20" s="208" t="s">
        <v>158</v>
      </c>
    </row>
    <row r="21" spans="1:14" ht="18.75" x14ac:dyDescent="0.3">
      <c r="A21" s="177" t="s">
        <v>35</v>
      </c>
      <c r="B21" s="314" t="s">
        <v>157</v>
      </c>
      <c r="C21" s="178"/>
      <c r="D21" s="178"/>
      <c r="E21" s="178"/>
      <c r="F21" s="178"/>
      <c r="G21" s="178"/>
      <c r="H21" s="178"/>
      <c r="I21" s="174"/>
    </row>
    <row r="22" spans="1:14" ht="18.75" x14ac:dyDescent="0.3">
      <c r="A22" s="177" t="s">
        <v>36</v>
      </c>
      <c r="B22" s="209">
        <v>42478</v>
      </c>
    </row>
    <row r="23" spans="1:14" ht="18.75" x14ac:dyDescent="0.3">
      <c r="A23" s="177" t="s">
        <v>37</v>
      </c>
      <c r="B23" s="209">
        <v>42478</v>
      </c>
    </row>
    <row r="24" spans="1:14" ht="18.75" x14ac:dyDescent="0.3">
      <c r="A24" s="177"/>
      <c r="B24" s="179"/>
    </row>
    <row r="25" spans="1:14" ht="18.75" x14ac:dyDescent="0.3">
      <c r="A25" s="180" t="s">
        <v>1</v>
      </c>
      <c r="B25" s="186" t="s">
        <v>111</v>
      </c>
    </row>
    <row r="26" spans="1:14" s="37" customFormat="1" ht="18.75" x14ac:dyDescent="0.3">
      <c r="A26" s="181"/>
      <c r="B26" s="182" t="s">
        <v>112</v>
      </c>
      <c r="C26" s="204"/>
      <c r="D26" s="204"/>
      <c r="E26" s="204"/>
      <c r="F26" s="204"/>
      <c r="G26" s="176"/>
      <c r="H26" s="204"/>
      <c r="I26" s="205"/>
      <c r="J26" s="205"/>
      <c r="K26" s="205"/>
      <c r="L26" s="171"/>
      <c r="M26" s="171"/>
      <c r="N26" s="206"/>
    </row>
    <row r="27" spans="1:14" s="37" customFormat="1" ht="26.25" customHeight="1" x14ac:dyDescent="0.4">
      <c r="A27" s="216" t="s">
        <v>4</v>
      </c>
      <c r="B27" s="241" t="s">
        <v>113</v>
      </c>
      <c r="C27" s="239"/>
      <c r="D27" s="224"/>
      <c r="E27" s="217"/>
      <c r="F27" s="217"/>
      <c r="G27" s="217"/>
      <c r="H27" s="204"/>
      <c r="I27" s="205"/>
      <c r="J27" s="205"/>
      <c r="K27" s="205"/>
      <c r="L27" s="171"/>
      <c r="M27" s="171"/>
      <c r="N27" s="206"/>
    </row>
    <row r="28" spans="1:14" s="37" customFormat="1" ht="26.25" customHeight="1" x14ac:dyDescent="0.4">
      <c r="A28" s="183" t="s">
        <v>114</v>
      </c>
      <c r="B28" s="239">
        <v>58.5</v>
      </c>
      <c r="C28" s="240"/>
      <c r="D28" s="215"/>
      <c r="E28" s="215"/>
      <c r="F28" s="215"/>
      <c r="G28" s="215"/>
      <c r="H28" s="213"/>
      <c r="I28" s="205"/>
      <c r="J28" s="205"/>
      <c r="K28" s="205"/>
      <c r="L28" s="171"/>
      <c r="M28" s="171"/>
      <c r="N28" s="206"/>
    </row>
    <row r="29" spans="1:14" s="37" customFormat="1" ht="26.25" customHeight="1" x14ac:dyDescent="0.4">
      <c r="A29" s="265" t="s">
        <v>115</v>
      </c>
      <c r="B29" s="266">
        <v>0.1</v>
      </c>
      <c r="C29" s="240"/>
      <c r="D29" s="215"/>
      <c r="E29" s="215"/>
      <c r="F29" s="215"/>
      <c r="G29" s="215"/>
      <c r="H29" s="213"/>
      <c r="I29" s="205"/>
      <c r="J29" s="205"/>
      <c r="K29" s="205"/>
      <c r="L29" s="171"/>
      <c r="M29" s="171"/>
      <c r="N29" s="206"/>
    </row>
    <row r="30" spans="1:14" s="37" customFormat="1" ht="18.75" x14ac:dyDescent="0.3">
      <c r="A30" s="230" t="s">
        <v>116</v>
      </c>
      <c r="B30" s="225">
        <v>1</v>
      </c>
      <c r="C30" s="226" t="s">
        <v>117</v>
      </c>
      <c r="D30" s="225">
        <v>1</v>
      </c>
      <c r="F30" s="204"/>
      <c r="G30" s="176"/>
      <c r="H30" s="204"/>
      <c r="I30" s="205"/>
      <c r="J30" s="205"/>
      <c r="K30" s="205"/>
      <c r="L30" s="171"/>
      <c r="M30" s="171"/>
      <c r="N30" s="206"/>
    </row>
    <row r="31" spans="1:14" s="37" customFormat="1" ht="18.75" x14ac:dyDescent="0.3">
      <c r="A31" s="181"/>
      <c r="B31" s="182"/>
      <c r="C31" s="204"/>
      <c r="D31" s="204"/>
      <c r="E31" s="204"/>
      <c r="F31" s="204"/>
      <c r="G31" s="176"/>
      <c r="H31" s="204"/>
      <c r="I31" s="205"/>
      <c r="J31" s="205"/>
      <c r="K31" s="205"/>
      <c r="L31" s="171"/>
      <c r="M31" s="171"/>
      <c r="N31" s="206"/>
    </row>
    <row r="32" spans="1:14" s="37" customFormat="1" ht="19.5" customHeight="1" x14ac:dyDescent="0.3">
      <c r="A32" s="181"/>
      <c r="B32" s="182"/>
      <c r="C32" s="204"/>
      <c r="D32" s="204"/>
      <c r="E32" s="204"/>
      <c r="F32" s="204"/>
      <c r="G32" s="176"/>
      <c r="H32" s="204"/>
      <c r="I32" s="205"/>
      <c r="J32" s="205"/>
      <c r="K32" s="205"/>
      <c r="L32" s="171"/>
      <c r="M32" s="171"/>
      <c r="N32" s="206"/>
    </row>
    <row r="33" spans="1:14" s="37" customFormat="1" ht="19.5" customHeight="1" x14ac:dyDescent="0.3">
      <c r="A33" s="190" t="s">
        <v>118</v>
      </c>
      <c r="B33" s="190" t="s">
        <v>119</v>
      </c>
      <c r="C33" s="234" t="s">
        <v>120</v>
      </c>
      <c r="D33" s="190" t="s">
        <v>121</v>
      </c>
      <c r="E33" s="238" t="s">
        <v>122</v>
      </c>
      <c r="F33" s="242" t="s">
        <v>123</v>
      </c>
      <c r="G33" s="190" t="s">
        <v>124</v>
      </c>
      <c r="J33" s="205"/>
      <c r="K33" s="205"/>
      <c r="L33" s="171"/>
      <c r="M33" s="171"/>
      <c r="N33" s="206"/>
    </row>
    <row r="34" spans="1:14" s="37" customFormat="1" ht="26.25" customHeight="1" x14ac:dyDescent="0.4">
      <c r="A34" s="227" t="s">
        <v>125</v>
      </c>
      <c r="B34" s="231">
        <v>49.9</v>
      </c>
      <c r="C34" s="235">
        <f>IF(ISBLANK(B34), "-",B34/$B$28*($B$30/$D$30))</f>
        <v>0.85299145299145296</v>
      </c>
      <c r="D34" s="299">
        <v>8.609</v>
      </c>
      <c r="E34" s="267">
        <f>IF(ISBLANK(B34), "-",C34/D34)</f>
        <v>9.9081362875067136E-2</v>
      </c>
      <c r="F34" s="276">
        <f>IF(ISBLANK(B34), "-",(E34-$B$29)/$B$29)</f>
        <v>-9.1863712493286953E-3</v>
      </c>
      <c r="G34" s="270">
        <f>IF(ISBLANK(B34),"-",E34/$B$29)</f>
        <v>0.99081362875067136</v>
      </c>
      <c r="J34" s="205"/>
      <c r="K34" s="205"/>
      <c r="L34" s="171"/>
      <c r="M34" s="171"/>
      <c r="N34" s="206"/>
    </row>
    <row r="35" spans="1:14" s="37" customFormat="1" ht="26.25" customHeight="1" x14ac:dyDescent="0.4">
      <c r="A35" s="228" t="s">
        <v>126</v>
      </c>
      <c r="B35" s="232">
        <v>50.43</v>
      </c>
      <c r="C35" s="236">
        <f>IF(ISBLANK(B35), "-",B35/$B$28*($B$30/$D$30))</f>
        <v>0.86205128205128201</v>
      </c>
      <c r="D35" s="300">
        <v>8.6850000000000005</v>
      </c>
      <c r="E35" s="268">
        <f>IF(ISBLANK(B35), "-",C35/D35)</f>
        <v>9.9257487858524118E-2</v>
      </c>
      <c r="F35" s="277">
        <f>IF(ISBLANK(B35), "-",(E35-$B$29)/$B$29)</f>
        <v>-7.4251214147588729E-3</v>
      </c>
      <c r="G35" s="271">
        <f>IF(ISBLANK(B35),"-",E35/$B$29)</f>
        <v>0.99257487858524118</v>
      </c>
      <c r="J35" s="205"/>
      <c r="K35" s="205"/>
      <c r="L35" s="171"/>
      <c r="M35" s="171"/>
      <c r="N35" s="206"/>
    </row>
    <row r="36" spans="1:14" s="37" customFormat="1" ht="26.25" customHeight="1" x14ac:dyDescent="0.4">
      <c r="A36" s="228" t="s">
        <v>127</v>
      </c>
      <c r="B36" s="232">
        <v>50.8</v>
      </c>
      <c r="C36" s="236">
        <f>IF(ISBLANK(B36), "-",B36/$B$28*($B$30/$D$30))</f>
        <v>0.86837606837606829</v>
      </c>
      <c r="D36" s="300">
        <v>8.7639999999999993</v>
      </c>
      <c r="E36" s="268">
        <f>IF(ISBLANK(B36), "-",C36/D36)</f>
        <v>9.9084444132367458E-2</v>
      </c>
      <c r="F36" s="277">
        <f>IF(ISBLANK(B36), "-",(E36-$B$29)/$B$29)</f>
        <v>-9.1555586763254759E-3</v>
      </c>
      <c r="G36" s="271">
        <f>IF(ISBLANK(B36),"-",E36/$B$29)</f>
        <v>0.99084444132367455</v>
      </c>
      <c r="J36" s="205"/>
      <c r="K36" s="205"/>
      <c r="L36" s="171"/>
      <c r="M36" s="171"/>
      <c r="N36" s="206"/>
    </row>
    <row r="37" spans="1:14" s="37" customFormat="1" ht="27" customHeight="1" x14ac:dyDescent="0.4">
      <c r="A37" s="229" t="s">
        <v>128</v>
      </c>
      <c r="B37" s="233"/>
      <c r="C37" s="237" t="str">
        <f>IF(ISBLANK(B37), "-",B37/$B$28*($B$30/$D$30))</f>
        <v>-</v>
      </c>
      <c r="D37" s="301"/>
      <c r="E37" s="269" t="str">
        <f>IF(ISBLANK(B37), "-",C37/D37)</f>
        <v>-</v>
      </c>
      <c r="F37" s="278" t="str">
        <f>IF(ISBLANK(B37), "-",(E37-$B$29)/$B$29)</f>
        <v>-</v>
      </c>
      <c r="G37" s="272" t="str">
        <f>IF(ISBLANK(B37),"-",E37/$B$29)</f>
        <v>-</v>
      </c>
      <c r="J37" s="205"/>
      <c r="K37" s="205"/>
      <c r="L37" s="171"/>
      <c r="M37" s="171"/>
      <c r="N37" s="206"/>
    </row>
    <row r="38" spans="1:14" ht="19.5" customHeight="1" x14ac:dyDescent="0.3">
      <c r="A38" s="170"/>
      <c r="B38" s="170"/>
      <c r="C38" s="170"/>
      <c r="D38" s="255" t="s">
        <v>129</v>
      </c>
      <c r="E38" s="223">
        <f>AVERAGE(E34:E37)</f>
        <v>9.9141098288652904E-2</v>
      </c>
      <c r="F38" s="295">
        <f>AVERAGE(F34:F37)</f>
        <v>-8.5890171134710147E-3</v>
      </c>
      <c r="G38" s="294">
        <f>AVERAGE(G34:G37)</f>
        <v>0.99141098288652907</v>
      </c>
      <c r="H38" s="170"/>
      <c r="L38" s="171"/>
      <c r="M38" s="171"/>
      <c r="N38" s="172"/>
    </row>
    <row r="39" spans="1:14" ht="18.75" x14ac:dyDescent="0.3">
      <c r="A39" s="170"/>
      <c r="B39" s="210"/>
      <c r="C39" s="212"/>
      <c r="D39" s="219" t="s">
        <v>85</v>
      </c>
      <c r="E39" s="220">
        <f>STDEV(E34:E37)/E38</f>
        <v>1.0168144111891047E-3</v>
      </c>
      <c r="F39" s="274"/>
      <c r="G39" s="170"/>
      <c r="H39" s="170"/>
    </row>
    <row r="40" spans="1:14" ht="19.5" customHeight="1" x14ac:dyDescent="0.3">
      <c r="A40" s="170"/>
      <c r="B40" s="210"/>
      <c r="C40" s="212"/>
      <c r="D40" s="221" t="s">
        <v>19</v>
      </c>
      <c r="E40" s="222">
        <f>COUNT(E34:E37)</f>
        <v>3</v>
      </c>
      <c r="F40" s="275"/>
      <c r="G40" s="170"/>
      <c r="H40" s="170"/>
    </row>
    <row r="41" spans="1:14" ht="18.75" x14ac:dyDescent="0.3">
      <c r="A41" s="214"/>
      <c r="B41" s="211"/>
      <c r="C41" s="210"/>
      <c r="D41" s="210"/>
      <c r="E41" s="210"/>
      <c r="F41" s="273"/>
      <c r="G41" s="170"/>
      <c r="H41" s="170"/>
    </row>
    <row r="43" spans="1:14" ht="18.75" x14ac:dyDescent="0.3">
      <c r="A43" s="185" t="s">
        <v>1</v>
      </c>
      <c r="B43" s="186" t="s">
        <v>86</v>
      </c>
    </row>
    <row r="44" spans="1:14" ht="18.75" x14ac:dyDescent="0.3">
      <c r="A44" s="181" t="s">
        <v>87</v>
      </c>
      <c r="B44" s="187" t="str">
        <f>B21</f>
        <v>Each vial contains: Sodium Chloride 0.9%</v>
      </c>
    </row>
    <row r="45" spans="1:14" ht="18.75" x14ac:dyDescent="0.3">
      <c r="A45" s="188"/>
      <c r="B45" s="298"/>
      <c r="H45" s="189"/>
    </row>
    <row r="46" spans="1:14" ht="26.25" customHeight="1" x14ac:dyDescent="0.4">
      <c r="A46" s="187" t="s">
        <v>130</v>
      </c>
      <c r="B46" s="311">
        <v>1</v>
      </c>
      <c r="C46" s="176" t="s">
        <v>131</v>
      </c>
      <c r="D46" s="312">
        <v>9</v>
      </c>
      <c r="E46" s="176" t="str">
        <f>B20</f>
        <v>SODIUM CHLORIDE</v>
      </c>
      <c r="H46" s="189"/>
    </row>
    <row r="47" spans="1:14" ht="18.75" x14ac:dyDescent="0.3">
      <c r="A47" s="187"/>
      <c r="B47" s="296"/>
      <c r="H47" s="189"/>
    </row>
    <row r="48" spans="1:14" ht="26.25" customHeight="1" x14ac:dyDescent="0.4">
      <c r="A48" s="181" t="s">
        <v>132</v>
      </c>
      <c r="B48" s="313">
        <v>5.8440000000000003</v>
      </c>
      <c r="C48" s="170" t="str">
        <f>B20</f>
        <v>SODIUM CHLORIDE</v>
      </c>
      <c r="H48" s="189"/>
    </row>
    <row r="49" spans="1:10" ht="19.5" customHeight="1" x14ac:dyDescent="0.3">
      <c r="A49" s="170"/>
      <c r="B49" s="170"/>
      <c r="C49" s="170"/>
      <c r="D49" s="170"/>
      <c r="H49" s="189"/>
    </row>
    <row r="50" spans="1:10" ht="19.5" customHeight="1" x14ac:dyDescent="0.3">
      <c r="C50" s="170"/>
      <c r="D50" s="170"/>
      <c r="E50" s="170"/>
      <c r="F50" s="170"/>
      <c r="G50" s="530" t="s">
        <v>133</v>
      </c>
      <c r="H50" s="531"/>
      <c r="J50" s="284"/>
    </row>
    <row r="51" spans="1:10" ht="19.5" customHeight="1" x14ac:dyDescent="0.3">
      <c r="A51" s="243" t="s">
        <v>134</v>
      </c>
      <c r="B51" s="190" t="s">
        <v>135</v>
      </c>
      <c r="C51" s="190" t="s">
        <v>136</v>
      </c>
      <c r="D51" s="190" t="s">
        <v>137</v>
      </c>
      <c r="E51" s="190" t="s">
        <v>138</v>
      </c>
      <c r="F51" s="258" t="s">
        <v>139</v>
      </c>
      <c r="G51" s="190" t="s">
        <v>140</v>
      </c>
      <c r="H51" s="190" t="s">
        <v>141</v>
      </c>
      <c r="I51" s="310" t="s">
        <v>142</v>
      </c>
      <c r="J51" s="244"/>
    </row>
    <row r="52" spans="1:10" ht="26.25" customHeight="1" x14ac:dyDescent="0.4">
      <c r="A52" s="245" t="s">
        <v>125</v>
      </c>
      <c r="B52" s="248">
        <v>2</v>
      </c>
      <c r="C52" s="302">
        <v>2.9980000000000002</v>
      </c>
      <c r="D52" s="252">
        <v>0</v>
      </c>
      <c r="E52" s="305">
        <f>IF(ISBLANK(B52),"-",C52-$D$56)</f>
        <v>2.9980000000000002</v>
      </c>
      <c r="F52" s="261">
        <f>IF(ISBLANK(B52), "-",E52*$G$38)</f>
        <v>2.9722501266938144</v>
      </c>
      <c r="G52" s="279">
        <f>IF(ISBLANK(B52),"-",F52*$B$48)</f>
        <v>17.369829740398654</v>
      </c>
      <c r="H52" s="260">
        <f>IF(ISBLANK(B52),"-",G52*$B$46/B52)</f>
        <v>8.6849148701993268</v>
      </c>
      <c r="I52" s="290">
        <f>IF(ISBLANK(B52),"-",H52/$D$46)</f>
        <v>0.96499054113325855</v>
      </c>
      <c r="J52" s="285"/>
    </row>
    <row r="53" spans="1:10" ht="26.25" customHeight="1" x14ac:dyDescent="0.4">
      <c r="A53" s="246" t="s">
        <v>126</v>
      </c>
      <c r="B53" s="249">
        <v>2</v>
      </c>
      <c r="C53" s="303">
        <v>3.048</v>
      </c>
      <c r="D53" s="253">
        <v>0</v>
      </c>
      <c r="E53" s="306">
        <f>IF(ISBLANK(B53),"-",C53-$D$56)</f>
        <v>3.048</v>
      </c>
      <c r="F53" s="262">
        <f>IF(ISBLANK(B53), "-",E53*$G$38)</f>
        <v>3.0218206758381405</v>
      </c>
      <c r="G53" s="280">
        <f>IF(ISBLANK(B53),"-",F53*$B$48)</f>
        <v>17.659520029598095</v>
      </c>
      <c r="H53" s="283">
        <f>IF(ISBLANK(B53),"-",G53*$B$46/B53)</f>
        <v>8.8297600147990476</v>
      </c>
      <c r="I53" s="291">
        <f>IF(ISBLANK(B53),"-",H53/$D$46)</f>
        <v>0.98108444608878309</v>
      </c>
      <c r="J53" s="285"/>
    </row>
    <row r="54" spans="1:10" ht="26.25" customHeight="1" x14ac:dyDescent="0.4">
      <c r="A54" s="246" t="s">
        <v>127</v>
      </c>
      <c r="B54" s="249">
        <v>2</v>
      </c>
      <c r="C54" s="303">
        <v>3.073</v>
      </c>
      <c r="D54" s="253">
        <v>0</v>
      </c>
      <c r="E54" s="306">
        <f>IF(ISBLANK(B54),"-",C54-$D$56)</f>
        <v>3.073</v>
      </c>
      <c r="F54" s="262">
        <f>IF(ISBLANK(B54), "-",E54*$G$38)</f>
        <v>3.0466059504103038</v>
      </c>
      <c r="G54" s="280">
        <f>IF(ISBLANK(B54),"-",F54*$B$48)</f>
        <v>17.804365174197816</v>
      </c>
      <c r="H54" s="283">
        <f>IF(ISBLANK(B54),"-",G54*$B$46/B54)</f>
        <v>8.902182587098908</v>
      </c>
      <c r="I54" s="291">
        <f>IF(ISBLANK(B54),"-",H54/$D$46)</f>
        <v>0.98913139856654531</v>
      </c>
      <c r="J54" s="285"/>
    </row>
    <row r="55" spans="1:10" ht="27" customHeight="1" x14ac:dyDescent="0.4">
      <c r="A55" s="247" t="s">
        <v>128</v>
      </c>
      <c r="B55" s="250"/>
      <c r="C55" s="304"/>
      <c r="D55" s="254"/>
      <c r="E55" s="264" t="str">
        <f>IF(ISBLANK(B55),"-",C55-$D$56)</f>
        <v>-</v>
      </c>
      <c r="F55" s="263" t="str">
        <f>IF(ISBLANK(B55), "-",E55*$G$38)</f>
        <v>-</v>
      </c>
      <c r="G55" s="281" t="str">
        <f>IF(ISBLANK(B55),"-",F55*$B$48)</f>
        <v>-</v>
      </c>
      <c r="H55" s="293" t="str">
        <f>IF(ISBLANK(B55),"-",G55*$B$46/B55)</f>
        <v>-</v>
      </c>
      <c r="I55" s="291" t="str">
        <f>IF(ISBLANK(B55),"-",H55/$D$46)</f>
        <v>-</v>
      </c>
      <c r="J55" s="286"/>
    </row>
    <row r="56" spans="1:10" ht="26.25" customHeight="1" x14ac:dyDescent="0.4">
      <c r="C56" s="218" t="s">
        <v>129</v>
      </c>
      <c r="D56" s="251">
        <f>AVERAGE(D52:D55)</f>
        <v>0</v>
      </c>
      <c r="F56" s="218" t="s">
        <v>129</v>
      </c>
      <c r="G56" s="259">
        <f>AVERAGE(G52:G55)</f>
        <v>17.611238314731523</v>
      </c>
      <c r="H56" s="307">
        <f>AVERAGE(H52:H55)</f>
        <v>8.8056191573657614</v>
      </c>
      <c r="I56" s="292">
        <f>AVERAGE(I52:I55)</f>
        <v>0.97840212859619557</v>
      </c>
      <c r="J56" s="287"/>
    </row>
    <row r="57" spans="1:10" ht="26.25" customHeight="1" x14ac:dyDescent="0.4">
      <c r="B57" s="6" t="e">
        <f>#REF!</f>
        <v>#REF!</v>
      </c>
      <c r="C57" s="219" t="s">
        <v>85</v>
      </c>
      <c r="D57" s="220" t="str">
        <f>IF(D56=0,"-",STDEV(D52:D55)/D56)</f>
        <v>-</v>
      </c>
      <c r="F57" s="219" t="s">
        <v>85</v>
      </c>
      <c r="G57" s="282"/>
      <c r="H57" s="308">
        <f>STDEV(H52:H55)/H56</f>
        <v>1.2563262679448963E-2</v>
      </c>
      <c r="I57" s="256">
        <f>STDEV(I52:I55)/I56</f>
        <v>1.2563262679448947E-2</v>
      </c>
      <c r="J57" s="288"/>
    </row>
    <row r="58" spans="1:10" ht="27" customHeight="1" x14ac:dyDescent="0.4">
      <c r="C58" s="221" t="s">
        <v>19</v>
      </c>
      <c r="D58" s="222">
        <f>COUNT(D52:D55)</f>
        <v>3</v>
      </c>
      <c r="F58" s="221" t="s">
        <v>19</v>
      </c>
      <c r="G58" s="257">
        <f>COUNT(G52:G55)</f>
        <v>3</v>
      </c>
      <c r="H58" s="309">
        <f>COUNT(H52:H55)</f>
        <v>3</v>
      </c>
      <c r="I58" s="257">
        <f>COUNT(I52:I55)</f>
        <v>3</v>
      </c>
      <c r="J58" s="289"/>
    </row>
    <row r="59" spans="1:10" ht="18.75" x14ac:dyDescent="0.3">
      <c r="H59" s="189"/>
      <c r="J59" s="172"/>
    </row>
    <row r="60" spans="1:10" ht="18.75" x14ac:dyDescent="0.3">
      <c r="H60" s="189"/>
    </row>
    <row r="61" spans="1:10" ht="19.5" customHeight="1" x14ac:dyDescent="0.3">
      <c r="A61" s="175"/>
      <c r="B61" s="175"/>
      <c r="C61" s="194"/>
      <c r="D61" s="194"/>
      <c r="E61" s="194"/>
      <c r="F61" s="194"/>
      <c r="G61" s="194"/>
      <c r="H61" s="194"/>
    </row>
    <row r="62" spans="1:10" ht="18.75" x14ac:dyDescent="0.3">
      <c r="B62" s="502" t="s">
        <v>25</v>
      </c>
      <c r="C62" s="502"/>
      <c r="E62" s="203" t="s">
        <v>26</v>
      </c>
      <c r="F62" s="195"/>
      <c r="G62" s="502" t="s">
        <v>27</v>
      </c>
      <c r="H62" s="502"/>
    </row>
    <row r="63" spans="1:10" ht="83.25" customHeight="1" x14ac:dyDescent="0.3">
      <c r="A63" s="196" t="s">
        <v>28</v>
      </c>
      <c r="B63" s="315" t="s">
        <v>150</v>
      </c>
      <c r="C63" s="197"/>
      <c r="E63" s="198"/>
      <c r="F63" s="193"/>
      <c r="G63" s="199"/>
      <c r="H63" s="199"/>
    </row>
    <row r="64" spans="1:10" ht="84" customHeight="1" x14ac:dyDescent="0.3">
      <c r="A64" s="196" t="s">
        <v>29</v>
      </c>
      <c r="B64" s="200"/>
      <c r="C64" s="200"/>
      <c r="E64" s="201"/>
      <c r="F64" s="193"/>
      <c r="G64" s="202"/>
      <c r="H64" s="202"/>
    </row>
    <row r="65" spans="1:9" ht="18.75" x14ac:dyDescent="0.3">
      <c r="A65" s="191"/>
      <c r="B65" s="191"/>
      <c r="C65" s="184"/>
      <c r="D65" s="184"/>
      <c r="E65" s="184"/>
      <c r="F65" s="192"/>
      <c r="G65" s="184"/>
      <c r="H65" s="184"/>
      <c r="I65" s="173"/>
    </row>
    <row r="66" spans="1:9" ht="18.75" x14ac:dyDescent="0.3">
      <c r="A66" s="191"/>
      <c r="B66" s="191"/>
      <c r="C66" s="184"/>
      <c r="D66" s="184"/>
      <c r="E66" s="184"/>
      <c r="F66" s="192"/>
      <c r="G66" s="184"/>
      <c r="H66" s="184"/>
      <c r="I66" s="173"/>
    </row>
    <row r="67" spans="1:9" ht="18.75" x14ac:dyDescent="0.3">
      <c r="A67" s="191"/>
      <c r="B67" s="191"/>
      <c r="C67" s="184"/>
      <c r="D67" s="184"/>
      <c r="E67" s="184"/>
      <c r="F67" s="192"/>
      <c r="G67" s="184"/>
      <c r="H67" s="184"/>
      <c r="I67" s="173"/>
    </row>
    <row r="68" spans="1:9" ht="18.75" x14ac:dyDescent="0.3">
      <c r="A68" s="191"/>
      <c r="B68" s="191"/>
      <c r="C68" s="184"/>
      <c r="D68" s="184"/>
      <c r="E68" s="184"/>
      <c r="F68" s="192"/>
      <c r="G68" s="184"/>
      <c r="H68" s="184"/>
      <c r="I68" s="173"/>
    </row>
    <row r="69" spans="1:9" ht="18.75" x14ac:dyDescent="0.3">
      <c r="A69" s="191"/>
      <c r="B69" s="191"/>
      <c r="C69" s="184"/>
      <c r="D69" s="184"/>
      <c r="E69" s="184"/>
      <c r="F69" s="192"/>
      <c r="G69" s="184"/>
      <c r="H69" s="184"/>
      <c r="I69" s="173"/>
    </row>
    <row r="70" spans="1:9" ht="18.75" x14ac:dyDescent="0.3">
      <c r="A70" s="191"/>
      <c r="B70" s="191"/>
      <c r="C70" s="184"/>
      <c r="D70" s="184"/>
      <c r="E70" s="184"/>
      <c r="F70" s="192"/>
      <c r="G70" s="184"/>
      <c r="H70" s="184"/>
      <c r="I70" s="173"/>
    </row>
    <row r="71" spans="1:9" ht="18.75" x14ac:dyDescent="0.3">
      <c r="A71" s="191"/>
      <c r="B71" s="191"/>
      <c r="C71" s="184"/>
      <c r="D71" s="184"/>
      <c r="E71" s="184"/>
      <c r="F71" s="192"/>
      <c r="G71" s="184"/>
      <c r="H71" s="184"/>
      <c r="I71" s="173"/>
    </row>
    <row r="72" spans="1:9" ht="18.75" x14ac:dyDescent="0.3">
      <c r="A72" s="191"/>
      <c r="B72" s="191"/>
      <c r="C72" s="184"/>
      <c r="D72" s="184"/>
      <c r="E72" s="184"/>
      <c r="F72" s="192"/>
      <c r="G72" s="184"/>
      <c r="H72" s="184"/>
      <c r="I72" s="173"/>
    </row>
    <row r="73" spans="1:9" ht="18.75" x14ac:dyDescent="0.3">
      <c r="A73" s="191"/>
      <c r="B73" s="191"/>
      <c r="C73" s="184"/>
      <c r="D73" s="184"/>
      <c r="E73" s="184"/>
      <c r="F73" s="192"/>
      <c r="G73" s="184"/>
      <c r="H73" s="184"/>
      <c r="I73" s="173"/>
    </row>
    <row r="250" spans="1:1" x14ac:dyDescent="0.3">
      <c r="A250" s="6">
        <v>0</v>
      </c>
    </row>
  </sheetData>
  <sheetProtection password="F258" sheet="1" formatColumns="0" formatRows="0" insertColumns="0" insertHyperlinks="0" deleteColumns="0" deleteRows="0" autoFilter="0" pivotTables="0"/>
  <mergeCells count="7">
    <mergeCell ref="A8:I14"/>
    <mergeCell ref="A1:I7"/>
    <mergeCell ref="B62:C62"/>
    <mergeCell ref="G62:H62"/>
    <mergeCell ref="G50:H50"/>
    <mergeCell ref="A16:H16"/>
    <mergeCell ref="A17:H17"/>
  </mergeCells>
  <conditionalFormatting sqref="E39">
    <cfRule type="cellIs" dxfId="13" priority="1" operator="greaterThan">
      <formula>0.002</formula>
    </cfRule>
  </conditionalFormatting>
  <conditionalFormatting sqref="F39">
    <cfRule type="cellIs" dxfId="12" priority="2" operator="greaterThan">
      <formula>0.002</formula>
    </cfRule>
  </conditionalFormatting>
  <conditionalFormatting sqref="G57">
    <cfRule type="cellIs" dxfId="11" priority="3" operator="greaterThan">
      <formula>0.02</formula>
    </cfRule>
  </conditionalFormatting>
  <conditionalFormatting sqref="H57">
    <cfRule type="cellIs" dxfId="10" priority="4" operator="greaterThan">
      <formula>0.02</formula>
    </cfRule>
  </conditionalFormatting>
  <conditionalFormatting sqref="I57">
    <cfRule type="cellIs" dxfId="9" priority="5" operator="greaterThan">
      <formula>0.02</formula>
    </cfRule>
  </conditionalFormatting>
  <conditionalFormatting sqref="J57">
    <cfRule type="cellIs" dxfId="8" priority="6" operator="greaterThan">
      <formula>0.02</formula>
    </cfRule>
  </conditionalFormatting>
  <conditionalFormatting sqref="F38">
    <cfRule type="cellIs" dxfId="7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16" orientation="portrait" r:id="rId1"/>
  <headerFooter alignWithMargins="0">
    <oddHeader>&amp;LVer 1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abSelected="1" topLeftCell="A44" zoomScale="60" zoomScaleNormal="60" zoomScalePageLayoutView="85" workbookViewId="0">
      <selection sqref="A1:I64"/>
    </sheetView>
  </sheetViews>
  <sheetFormatPr defaultRowHeight="18.75" x14ac:dyDescent="0.3"/>
  <cols>
    <col min="1" max="1" width="42.85546875" style="383" customWidth="1"/>
    <col min="2" max="2" width="34.85546875" style="383" customWidth="1"/>
    <col min="3" max="3" width="33.28515625" style="383" customWidth="1"/>
    <col min="4" max="4" width="30.5703125" style="383" customWidth="1"/>
    <col min="5" max="5" width="33.5703125" style="383" customWidth="1"/>
    <col min="6" max="6" width="39.85546875" style="383" customWidth="1"/>
    <col min="7" max="7" width="31.7109375" style="383" customWidth="1"/>
    <col min="8" max="8" width="31.140625" style="383" customWidth="1"/>
    <col min="9" max="9" width="32.28515625" style="382" customWidth="1"/>
    <col min="10" max="10" width="22.28515625" style="382" customWidth="1"/>
    <col min="11" max="11" width="19.5703125" style="382" customWidth="1"/>
    <col min="12" max="12" width="21.140625" style="382" customWidth="1"/>
    <col min="13" max="13" width="9.140625" style="382" customWidth="1"/>
    <col min="14" max="16384" width="9.140625" style="490"/>
  </cols>
  <sheetData>
    <row r="1" spans="1:9" ht="15" x14ac:dyDescent="0.3">
      <c r="A1" s="536" t="s">
        <v>110</v>
      </c>
      <c r="B1" s="536"/>
      <c r="C1" s="536"/>
      <c r="D1" s="536"/>
      <c r="E1" s="536"/>
      <c r="F1" s="536"/>
      <c r="G1" s="536"/>
      <c r="H1" s="536"/>
      <c r="I1" s="536"/>
    </row>
    <row r="2" spans="1:9" ht="15" x14ac:dyDescent="0.3">
      <c r="A2" s="536"/>
      <c r="B2" s="536"/>
      <c r="C2" s="536"/>
      <c r="D2" s="536"/>
      <c r="E2" s="536"/>
      <c r="F2" s="536"/>
      <c r="G2" s="536"/>
      <c r="H2" s="536"/>
      <c r="I2" s="536"/>
    </row>
    <row r="3" spans="1:9" ht="15" x14ac:dyDescent="0.3">
      <c r="A3" s="536"/>
      <c r="B3" s="536"/>
      <c r="C3" s="536"/>
      <c r="D3" s="536"/>
      <c r="E3" s="536"/>
      <c r="F3" s="536"/>
      <c r="G3" s="536"/>
      <c r="H3" s="536"/>
      <c r="I3" s="536"/>
    </row>
    <row r="4" spans="1:9" ht="15" x14ac:dyDescent="0.3">
      <c r="A4" s="536"/>
      <c r="B4" s="536"/>
      <c r="C4" s="536"/>
      <c r="D4" s="536"/>
      <c r="E4" s="536"/>
      <c r="F4" s="536"/>
      <c r="G4" s="536"/>
      <c r="H4" s="536"/>
      <c r="I4" s="536"/>
    </row>
    <row r="5" spans="1:9" ht="15" x14ac:dyDescent="0.3">
      <c r="A5" s="536"/>
      <c r="B5" s="536"/>
      <c r="C5" s="536"/>
      <c r="D5" s="536"/>
      <c r="E5" s="536"/>
      <c r="F5" s="536"/>
      <c r="G5" s="536"/>
      <c r="H5" s="536"/>
      <c r="I5" s="536"/>
    </row>
    <row r="6" spans="1:9" ht="15" x14ac:dyDescent="0.3">
      <c r="A6" s="536"/>
      <c r="B6" s="536"/>
      <c r="C6" s="536"/>
      <c r="D6" s="536"/>
      <c r="E6" s="536"/>
      <c r="F6" s="536"/>
      <c r="G6" s="536"/>
      <c r="H6" s="536"/>
      <c r="I6" s="536"/>
    </row>
    <row r="7" spans="1:9" ht="15" x14ac:dyDescent="0.3">
      <c r="A7" s="536"/>
      <c r="B7" s="536"/>
      <c r="C7" s="536"/>
      <c r="D7" s="536"/>
      <c r="E7" s="536"/>
      <c r="F7" s="536"/>
      <c r="G7" s="536"/>
      <c r="H7" s="536"/>
      <c r="I7" s="536"/>
    </row>
    <row r="8" spans="1:9" ht="15" x14ac:dyDescent="0.3">
      <c r="A8" s="537" t="s">
        <v>48</v>
      </c>
      <c r="B8" s="537"/>
      <c r="C8" s="537"/>
      <c r="D8" s="537"/>
      <c r="E8" s="537"/>
      <c r="F8" s="537"/>
      <c r="G8" s="537"/>
      <c r="H8" s="537"/>
      <c r="I8" s="537"/>
    </row>
    <row r="9" spans="1:9" ht="15" x14ac:dyDescent="0.3">
      <c r="A9" s="537"/>
      <c r="B9" s="537"/>
      <c r="C9" s="537"/>
      <c r="D9" s="537"/>
      <c r="E9" s="537"/>
      <c r="F9" s="537"/>
      <c r="G9" s="537"/>
      <c r="H9" s="537"/>
      <c r="I9" s="537"/>
    </row>
    <row r="10" spans="1:9" ht="15" x14ac:dyDescent="0.3">
      <c r="A10" s="537"/>
      <c r="B10" s="537"/>
      <c r="C10" s="537"/>
      <c r="D10" s="537"/>
      <c r="E10" s="537"/>
      <c r="F10" s="537"/>
      <c r="G10" s="537"/>
      <c r="H10" s="537"/>
      <c r="I10" s="537"/>
    </row>
    <row r="11" spans="1:9" ht="15" x14ac:dyDescent="0.3">
      <c r="A11" s="537"/>
      <c r="B11" s="537"/>
      <c r="C11" s="537"/>
      <c r="D11" s="537"/>
      <c r="E11" s="537"/>
      <c r="F11" s="537"/>
      <c r="G11" s="537"/>
      <c r="H11" s="537"/>
      <c r="I11" s="537"/>
    </row>
    <row r="12" spans="1:9" ht="15" x14ac:dyDescent="0.3">
      <c r="A12" s="537"/>
      <c r="B12" s="537"/>
      <c r="C12" s="537"/>
      <c r="D12" s="537"/>
      <c r="E12" s="537"/>
      <c r="F12" s="537"/>
      <c r="G12" s="537"/>
      <c r="H12" s="537"/>
      <c r="I12" s="537"/>
    </row>
    <row r="13" spans="1:9" ht="15" x14ac:dyDescent="0.3">
      <c r="A13" s="537"/>
      <c r="B13" s="537"/>
      <c r="C13" s="537"/>
      <c r="D13" s="537"/>
      <c r="E13" s="537"/>
      <c r="F13" s="537"/>
      <c r="G13" s="537"/>
      <c r="H13" s="537"/>
      <c r="I13" s="537"/>
    </row>
    <row r="14" spans="1:9" ht="15" x14ac:dyDescent="0.3">
      <c r="A14" s="537"/>
      <c r="B14" s="537"/>
      <c r="C14" s="537"/>
      <c r="D14" s="537"/>
      <c r="E14" s="537"/>
      <c r="F14" s="537"/>
      <c r="G14" s="537"/>
      <c r="H14" s="537"/>
      <c r="I14" s="537"/>
    </row>
    <row r="15" spans="1:9" ht="19.5" customHeight="1" thickBot="1" x14ac:dyDescent="0.35"/>
    <row r="16" spans="1:9" ht="19.5" customHeight="1" thickBot="1" x14ac:dyDescent="0.35">
      <c r="A16" s="538" t="s">
        <v>30</v>
      </c>
      <c r="B16" s="539"/>
      <c r="C16" s="539"/>
      <c r="D16" s="539"/>
      <c r="E16" s="539"/>
      <c r="F16" s="539"/>
      <c r="G16" s="539"/>
      <c r="H16" s="540"/>
    </row>
    <row r="17" spans="1:8" x14ac:dyDescent="0.3">
      <c r="A17" s="541" t="s">
        <v>49</v>
      </c>
      <c r="B17" s="541"/>
      <c r="C17" s="541"/>
      <c r="D17" s="541"/>
      <c r="E17" s="541"/>
      <c r="F17" s="541"/>
      <c r="G17" s="541"/>
      <c r="H17" s="541"/>
    </row>
    <row r="18" spans="1:8" ht="26.25" customHeight="1" x14ac:dyDescent="0.3">
      <c r="A18" s="384" t="s">
        <v>32</v>
      </c>
      <c r="B18" s="385" t="s">
        <v>151</v>
      </c>
      <c r="C18" s="386"/>
      <c r="D18" s="386"/>
      <c r="E18" s="386"/>
    </row>
    <row r="19" spans="1:8" ht="26.25" customHeight="1" x14ac:dyDescent="0.3">
      <c r="A19" s="384" t="s">
        <v>33</v>
      </c>
      <c r="B19" s="387" t="s">
        <v>7</v>
      </c>
      <c r="C19" s="388">
        <v>26</v>
      </c>
    </row>
    <row r="20" spans="1:8" ht="26.25" customHeight="1" x14ac:dyDescent="0.3">
      <c r="A20" s="384" t="s">
        <v>34</v>
      </c>
      <c r="B20" s="387" t="s">
        <v>152</v>
      </c>
    </row>
    <row r="21" spans="1:8" ht="26.25" customHeight="1" x14ac:dyDescent="0.4">
      <c r="A21" s="384" t="s">
        <v>36</v>
      </c>
      <c r="B21" s="56">
        <v>42479</v>
      </c>
    </row>
    <row r="22" spans="1:8" ht="26.25" customHeight="1" x14ac:dyDescent="0.4">
      <c r="A22" s="384" t="s">
        <v>37</v>
      </c>
      <c r="B22" s="56">
        <v>42479</v>
      </c>
    </row>
    <row r="23" spans="1:8" x14ac:dyDescent="0.3">
      <c r="A23" s="384"/>
      <c r="B23" s="389"/>
    </row>
    <row r="24" spans="1:8" x14ac:dyDescent="0.3">
      <c r="A24" s="390" t="s">
        <v>1</v>
      </c>
      <c r="B24" s="391" t="s">
        <v>143</v>
      </c>
    </row>
    <row r="25" spans="1:8" x14ac:dyDescent="0.3">
      <c r="A25" s="390"/>
      <c r="B25" s="391"/>
    </row>
    <row r="26" spans="1:8" ht="26.25" customHeight="1" x14ac:dyDescent="0.4">
      <c r="A26" s="392" t="s">
        <v>144</v>
      </c>
      <c r="B26" s="393" t="s">
        <v>153</v>
      </c>
      <c r="C26" s="394"/>
      <c r="D26" s="388"/>
      <c r="E26" s="388"/>
      <c r="F26" s="388"/>
    </row>
    <row r="27" spans="1:8" ht="26.25" customHeight="1" x14ac:dyDescent="0.4">
      <c r="A27" s="395" t="s">
        <v>4</v>
      </c>
      <c r="B27" s="396" t="s">
        <v>154</v>
      </c>
      <c r="C27" s="394"/>
      <c r="D27" s="397"/>
      <c r="E27" s="397"/>
      <c r="F27" s="397"/>
      <c r="G27" s="397"/>
    </row>
    <row r="28" spans="1:8" ht="26.25" customHeight="1" x14ac:dyDescent="0.4">
      <c r="A28" s="398" t="s">
        <v>114</v>
      </c>
      <c r="B28" s="394">
        <v>105.989</v>
      </c>
      <c r="C28" s="399"/>
      <c r="D28" s="400"/>
      <c r="E28" s="400"/>
      <c r="F28" s="400"/>
      <c r="G28" s="400"/>
    </row>
    <row r="29" spans="1:8" ht="26.25" customHeight="1" x14ac:dyDescent="0.4">
      <c r="A29" s="401" t="s">
        <v>115</v>
      </c>
      <c r="B29" s="402">
        <v>0.5</v>
      </c>
      <c r="C29" s="399"/>
      <c r="D29" s="400"/>
      <c r="E29" s="400"/>
      <c r="F29" s="400"/>
      <c r="G29" s="400"/>
    </row>
    <row r="30" spans="1:8" x14ac:dyDescent="0.3">
      <c r="A30" s="401"/>
      <c r="E30" s="400"/>
      <c r="F30" s="400"/>
      <c r="G30" s="400"/>
    </row>
    <row r="31" spans="1:8" ht="26.25" customHeight="1" x14ac:dyDescent="0.4">
      <c r="A31" s="403" t="s">
        <v>116</v>
      </c>
      <c r="B31" s="394">
        <v>2</v>
      </c>
      <c r="C31" s="404" t="s">
        <v>117</v>
      </c>
      <c r="D31" s="394">
        <v>1</v>
      </c>
      <c r="E31" s="397"/>
      <c r="F31" s="388"/>
    </row>
    <row r="32" spans="1:8" ht="19.5" customHeight="1" thickBot="1" x14ac:dyDescent="0.35">
      <c r="A32" s="401"/>
      <c r="B32" s="405"/>
      <c r="C32" s="388"/>
      <c r="D32" s="388"/>
      <c r="E32" s="388"/>
      <c r="F32" s="388"/>
    </row>
    <row r="33" spans="1:8" ht="19.5" customHeight="1" thickBot="1" x14ac:dyDescent="0.35">
      <c r="A33" s="406" t="s">
        <v>118</v>
      </c>
      <c r="B33" s="406" t="s">
        <v>119</v>
      </c>
      <c r="C33" s="407" t="s">
        <v>120</v>
      </c>
      <c r="D33" s="406" t="s">
        <v>121</v>
      </c>
      <c r="E33" s="408" t="s">
        <v>122</v>
      </c>
      <c r="F33" s="408" t="s">
        <v>123</v>
      </c>
      <c r="G33" s="406" t="s">
        <v>124</v>
      </c>
    </row>
    <row r="34" spans="1:8" ht="26.25" customHeight="1" x14ac:dyDescent="0.4">
      <c r="A34" s="409" t="s">
        <v>125</v>
      </c>
      <c r="B34" s="410">
        <v>101.6</v>
      </c>
      <c r="C34" s="411">
        <f>IF(ISBLANK(B34), "-",B34/$B$28*($B$31/$D$31))</f>
        <v>1.9171800847257732</v>
      </c>
      <c r="D34" s="412">
        <v>4.0999999999999996</v>
      </c>
      <c r="E34" s="413">
        <f>IF(ISBLANK(B34), "-",C34/D34)</f>
        <v>0.46760489871360328</v>
      </c>
      <c r="F34" s="414">
        <f>IF(ISBLANK(B34), "-",(E34-$B$29)/$B$29)</f>
        <v>-6.4790202572793443E-2</v>
      </c>
      <c r="G34" s="415">
        <f>IF(ISBLANK(B34),"-",E34/$B$29)</f>
        <v>0.93520979742720656</v>
      </c>
    </row>
    <row r="35" spans="1:8" ht="26.25" customHeight="1" x14ac:dyDescent="0.4">
      <c r="A35" s="416" t="s">
        <v>126</v>
      </c>
      <c r="B35" s="417">
        <v>101.42</v>
      </c>
      <c r="C35" s="418">
        <f>IF(ISBLANK(B35), "-",B35/$B$28*($B$31/$D$31))</f>
        <v>1.9137835058355113</v>
      </c>
      <c r="D35" s="419">
        <v>4.0999999999999996</v>
      </c>
      <c r="E35" s="420">
        <f>IF(ISBLANK(B35), "-",C35/D35)</f>
        <v>0.46677646483792962</v>
      </c>
      <c r="F35" s="421">
        <f>IF(ISBLANK(B35), "-",(E35-$B$29)/$B$29)</f>
        <v>-6.6447070324140767E-2</v>
      </c>
      <c r="G35" s="422">
        <f>IF(ISBLANK(B35),"-",E35/$B$29)</f>
        <v>0.93355292967585923</v>
      </c>
    </row>
    <row r="36" spans="1:8" ht="26.25" customHeight="1" x14ac:dyDescent="0.4">
      <c r="A36" s="416" t="s">
        <v>127</v>
      </c>
      <c r="B36" s="417">
        <v>101.56</v>
      </c>
      <c r="C36" s="418">
        <f>IF(ISBLANK(B36), "-",B36/$B$28*($B$31/$D$31))</f>
        <v>1.9164252894168263</v>
      </c>
      <c r="D36" s="419">
        <v>4.0999999999999996</v>
      </c>
      <c r="E36" s="420">
        <f>IF(ISBLANK(B36), "-",C36/D36)</f>
        <v>0.46742080229678695</v>
      </c>
      <c r="F36" s="421">
        <f>IF(ISBLANK(B36), "-",(E36-$B$29)/$B$29)</f>
        <v>-6.5158395406426095E-2</v>
      </c>
      <c r="G36" s="422">
        <f>IF(ISBLANK(B36),"-",E36/$B$29)</f>
        <v>0.9348416045935739</v>
      </c>
    </row>
    <row r="37" spans="1:8" ht="27" customHeight="1" thickBot="1" x14ac:dyDescent="0.45">
      <c r="A37" s="423" t="s">
        <v>128</v>
      </c>
      <c r="B37" s="424"/>
      <c r="C37" s="425" t="str">
        <f>IF(ISBLANK(B37), "-",B37/$B$28*($B$31/$D$31))</f>
        <v>-</v>
      </c>
      <c r="D37" s="426"/>
      <c r="E37" s="427" t="str">
        <f>IF(ISBLANK(B37), "-",C37/D37)</f>
        <v>-</v>
      </c>
      <c r="F37" s="428" t="str">
        <f>IF(ISBLANK(B37), "-",(E37-$B$29)/$B$29)</f>
        <v>-</v>
      </c>
      <c r="G37" s="429" t="str">
        <f>IF(ISBLANK(B37),"-",E37/$B$29)</f>
        <v>-</v>
      </c>
    </row>
    <row r="38" spans="1:8" ht="19.5" customHeight="1" thickBot="1" x14ac:dyDescent="0.35">
      <c r="A38" s="397"/>
      <c r="B38" s="397"/>
      <c r="C38" s="397"/>
      <c r="D38" s="430" t="s">
        <v>129</v>
      </c>
      <c r="E38" s="431">
        <f>AVERAGE(E34:E37)</f>
        <v>0.46726738861610667</v>
      </c>
      <c r="F38" s="432">
        <f>AVERAGE(F34:F37)</f>
        <v>-6.5465222767786768E-2</v>
      </c>
      <c r="G38" s="433">
        <f>AVERAGE(G34:G37)</f>
        <v>0.93453477723221334</v>
      </c>
    </row>
    <row r="39" spans="1:8" x14ac:dyDescent="0.3">
      <c r="A39" s="397"/>
      <c r="B39" s="434"/>
      <c r="C39" s="435"/>
      <c r="D39" s="436" t="s">
        <v>85</v>
      </c>
      <c r="E39" s="437">
        <f>STDEV(E34:E36)/E38</f>
        <v>9.3095061256532317E-4</v>
      </c>
      <c r="F39" s="438"/>
      <c r="G39" s="397"/>
    </row>
    <row r="40" spans="1:8" ht="19.5" customHeight="1" thickBot="1" x14ac:dyDescent="0.35">
      <c r="A40" s="397"/>
      <c r="B40" s="434"/>
      <c r="C40" s="435"/>
      <c r="D40" s="439" t="s">
        <v>19</v>
      </c>
      <c r="E40" s="440">
        <f>COUNT(E34:E37)</f>
        <v>3</v>
      </c>
      <c r="F40" s="441"/>
      <c r="G40" s="397"/>
    </row>
    <row r="41" spans="1:8" x14ac:dyDescent="0.3">
      <c r="A41" s="390"/>
      <c r="B41" s="391"/>
    </row>
    <row r="42" spans="1:8" x14ac:dyDescent="0.3">
      <c r="A42" s="390"/>
      <c r="B42" s="391"/>
    </row>
    <row r="44" spans="1:8" x14ac:dyDescent="0.3">
      <c r="A44" s="442" t="s">
        <v>1</v>
      </c>
      <c r="B44" s="391" t="s">
        <v>86</v>
      </c>
      <c r="G44" s="383" t="s">
        <v>155</v>
      </c>
    </row>
    <row r="45" spans="1:8" x14ac:dyDescent="0.3">
      <c r="A45" s="401" t="s">
        <v>130</v>
      </c>
      <c r="B45" s="443">
        <v>1</v>
      </c>
      <c r="C45" s="388" t="s">
        <v>131</v>
      </c>
      <c r="D45" s="444">
        <v>50</v>
      </c>
      <c r="E45" s="388" t="s">
        <v>152</v>
      </c>
      <c r="H45" s="445"/>
    </row>
    <row r="46" spans="1:8" x14ac:dyDescent="0.3">
      <c r="A46" s="401"/>
      <c r="H46" s="445"/>
    </row>
    <row r="47" spans="1:8" ht="26.25" customHeight="1" x14ac:dyDescent="0.4">
      <c r="A47" s="401" t="s">
        <v>145</v>
      </c>
      <c r="B47" s="446" t="str">
        <f>B26</f>
        <v>O.5M HCL</v>
      </c>
      <c r="C47" s="441" t="s">
        <v>146</v>
      </c>
      <c r="D47" s="394">
        <v>42</v>
      </c>
      <c r="E47" s="397" t="str">
        <f>B20</f>
        <v>Sodium Bicarbonate</v>
      </c>
      <c r="H47" s="445"/>
    </row>
    <row r="48" spans="1:8" ht="19.5" customHeight="1" thickBot="1" x14ac:dyDescent="0.35">
      <c r="A48" s="397"/>
      <c r="B48" s="397"/>
      <c r="C48" s="397"/>
      <c r="D48" s="397"/>
      <c r="H48" s="445"/>
    </row>
    <row r="49" spans="1:10" ht="19.5" customHeight="1" thickBot="1" x14ac:dyDescent="0.35">
      <c r="C49" s="397"/>
      <c r="D49" s="397"/>
      <c r="E49" s="397"/>
      <c r="F49" s="397"/>
      <c r="G49" s="542" t="s">
        <v>133</v>
      </c>
      <c r="H49" s="543"/>
      <c r="J49" s="447"/>
    </row>
    <row r="50" spans="1:10" ht="19.5" customHeight="1" thickBot="1" x14ac:dyDescent="0.35">
      <c r="A50" s="448" t="s">
        <v>134</v>
      </c>
      <c r="B50" s="406" t="s">
        <v>156</v>
      </c>
      <c r="C50" s="449" t="s">
        <v>136</v>
      </c>
      <c r="D50" s="406" t="s">
        <v>137</v>
      </c>
      <c r="E50" s="406" t="s">
        <v>138</v>
      </c>
      <c r="F50" s="449" t="s">
        <v>139</v>
      </c>
      <c r="G50" s="406" t="s">
        <v>140</v>
      </c>
      <c r="H50" s="406" t="s">
        <v>141</v>
      </c>
      <c r="I50" s="450" t="s">
        <v>142</v>
      </c>
      <c r="J50" s="451"/>
    </row>
    <row r="51" spans="1:10" ht="26.25" customHeight="1" x14ac:dyDescent="0.4">
      <c r="A51" s="452" t="s">
        <v>125</v>
      </c>
      <c r="B51" s="410">
        <v>1</v>
      </c>
      <c r="C51" s="410">
        <v>1.3</v>
      </c>
      <c r="D51" s="410">
        <v>0</v>
      </c>
      <c r="E51" s="453">
        <f t="shared" ref="E51:E53" si="0">IF(ISBLANK(B51),"-",C51-$D$55)</f>
        <v>1.3</v>
      </c>
      <c r="F51" s="454">
        <f>IF(ISBLANK(B51), "-",E51*$G$38)</f>
        <v>1.2148952104018773</v>
      </c>
      <c r="G51" s="455">
        <f>IF(ISBLANK(B51),"-",F51*$D$47)</f>
        <v>51.025598836878849</v>
      </c>
      <c r="H51" s="456">
        <f>IF(ISBLANK(B51),"-",G51*$B$45/B51)</f>
        <v>51.025598836878849</v>
      </c>
      <c r="I51" s="457">
        <f>IF(ISBLANK(B51),"-",H51/$D$45)</f>
        <v>1.020511976737577</v>
      </c>
      <c r="J51" s="446"/>
    </row>
    <row r="52" spans="1:10" ht="26.25" customHeight="1" x14ac:dyDescent="0.4">
      <c r="A52" s="458" t="s">
        <v>126</v>
      </c>
      <c r="B52" s="417">
        <v>1</v>
      </c>
      <c r="C52" s="417">
        <v>1.3</v>
      </c>
      <c r="D52" s="417">
        <v>0</v>
      </c>
      <c r="E52" s="459">
        <f t="shared" si="0"/>
        <v>1.3</v>
      </c>
      <c r="F52" s="460">
        <f>IF(ISBLANK(B52), "-",E52*$G$38)</f>
        <v>1.2148952104018773</v>
      </c>
      <c r="G52" s="461">
        <f>IF(ISBLANK(B52),"-",F52*$D$47)</f>
        <v>51.025598836878849</v>
      </c>
      <c r="H52" s="462">
        <f>IF(ISBLANK(B52),"-",G52*$B$45/B52)</f>
        <v>51.025598836878849</v>
      </c>
      <c r="I52" s="463">
        <f>IF(ISBLANK(B52),"-",H52/$D$45)</f>
        <v>1.020511976737577</v>
      </c>
      <c r="J52" s="446"/>
    </row>
    <row r="53" spans="1:10" ht="26.25" customHeight="1" x14ac:dyDescent="0.4">
      <c r="A53" s="458" t="s">
        <v>127</v>
      </c>
      <c r="B53" s="417">
        <v>1</v>
      </c>
      <c r="C53" s="417">
        <v>1.3</v>
      </c>
      <c r="D53" s="417">
        <v>0</v>
      </c>
      <c r="E53" s="459">
        <f t="shared" si="0"/>
        <v>1.3</v>
      </c>
      <c r="F53" s="460">
        <f>IF(ISBLANK(B53), "-",E53*$G$38)</f>
        <v>1.2148952104018773</v>
      </c>
      <c r="G53" s="461">
        <f>IF(ISBLANK(B53),"-",F53*$D$47)</f>
        <v>51.025598836878849</v>
      </c>
      <c r="H53" s="462">
        <f>IF(ISBLANK(B53),"-",G53*$B$45/B53)</f>
        <v>51.025598836878849</v>
      </c>
      <c r="I53" s="463">
        <f>IF(ISBLANK(B53),"-",H53/$D$45)</f>
        <v>1.020511976737577</v>
      </c>
      <c r="J53" s="446"/>
    </row>
    <row r="54" spans="1:10" ht="27" customHeight="1" thickBot="1" x14ac:dyDescent="0.45">
      <c r="A54" s="464" t="s">
        <v>128</v>
      </c>
      <c r="B54" s="424"/>
      <c r="C54" s="424"/>
      <c r="D54" s="424"/>
      <c r="E54" s="465" t="str">
        <f>IF(ISBLANK(B54),"-",C54-$D$55)</f>
        <v>-</v>
      </c>
      <c r="F54" s="466" t="str">
        <f>IF(ISBLANK(B54), "-",E54*$G$38)</f>
        <v>-</v>
      </c>
      <c r="G54" s="467" t="str">
        <f>IF(ISBLANK(B54),"-",F54*$D$47)</f>
        <v>-</v>
      </c>
      <c r="H54" s="468" t="str">
        <f>IF(ISBLANK(B54),"-",G54*$B$45/B54)</f>
        <v>-</v>
      </c>
      <c r="I54" s="469" t="str">
        <f>IF(ISBLANK(B54),"-",H54/$D$45)</f>
        <v>-</v>
      </c>
      <c r="J54" s="441"/>
    </row>
    <row r="55" spans="1:10" ht="26.25" customHeight="1" x14ac:dyDescent="0.4">
      <c r="C55" s="470" t="s">
        <v>129</v>
      </c>
      <c r="D55" s="471">
        <f>AVERAGE(D51:D54)</f>
        <v>0</v>
      </c>
      <c r="F55" s="470" t="s">
        <v>129</v>
      </c>
      <c r="G55" s="472">
        <f>AVERAGE(G51:G54)</f>
        <v>51.025598836878849</v>
      </c>
      <c r="H55" s="472">
        <f>AVERAGE(H51:H54)</f>
        <v>51.025598836878849</v>
      </c>
      <c r="I55" s="473">
        <f>AVERAGE(I51:I54)</f>
        <v>1.020511976737577</v>
      </c>
      <c r="J55" s="474"/>
    </row>
    <row r="56" spans="1:10" ht="26.25" customHeight="1" x14ac:dyDescent="0.4">
      <c r="C56" s="436" t="s">
        <v>85</v>
      </c>
      <c r="D56" s="437" t="str">
        <f>IF(D55=0,"-",STDEV(D51:D54)/D55)</f>
        <v>-</v>
      </c>
      <c r="F56" s="436" t="s">
        <v>85</v>
      </c>
      <c r="G56" s="475"/>
      <c r="H56" s="476">
        <f>STDEV(H51:H54)/H55</f>
        <v>0</v>
      </c>
      <c r="I56" s="476">
        <f>STDEV(I51:I54)/I55</f>
        <v>0</v>
      </c>
      <c r="J56" s="477"/>
    </row>
    <row r="57" spans="1:10" ht="27" customHeight="1" thickBot="1" x14ac:dyDescent="0.45">
      <c r="B57" s="383" t="str">
        <f>[1]Uniformity!C46</f>
        <v>% Deviation from mean</v>
      </c>
      <c r="C57" s="439" t="s">
        <v>19</v>
      </c>
      <c r="D57" s="440">
        <f>COUNT(D51:D54)</f>
        <v>3</v>
      </c>
      <c r="F57" s="439" t="s">
        <v>19</v>
      </c>
      <c r="G57" s="478">
        <f>COUNT(G51:G54)</f>
        <v>3</v>
      </c>
      <c r="H57" s="478">
        <f>COUNT(H51:H54)</f>
        <v>3</v>
      </c>
      <c r="I57" s="478">
        <f>COUNT(I51:I54)</f>
        <v>3</v>
      </c>
      <c r="J57" s="479"/>
    </row>
    <row r="58" spans="1:10" x14ac:dyDescent="0.3">
      <c r="H58" s="445"/>
      <c r="I58" s="446"/>
      <c r="J58" s="397"/>
    </row>
    <row r="59" spans="1:10" x14ac:dyDescent="0.3">
      <c r="H59" s="445"/>
    </row>
    <row r="60" spans="1:10" ht="19.5" customHeight="1" thickBot="1" x14ac:dyDescent="0.35">
      <c r="A60" s="480"/>
      <c r="B60" s="480"/>
      <c r="C60" s="481"/>
      <c r="D60" s="481"/>
      <c r="E60" s="481"/>
      <c r="F60" s="481"/>
      <c r="G60" s="481"/>
      <c r="H60" s="481"/>
    </row>
    <row r="61" spans="1:10" x14ac:dyDescent="0.3">
      <c r="B61" s="544" t="s">
        <v>25</v>
      </c>
      <c r="C61" s="544"/>
      <c r="E61" s="482" t="s">
        <v>26</v>
      </c>
      <c r="F61" s="483"/>
      <c r="G61" s="544" t="s">
        <v>27</v>
      </c>
      <c r="H61" s="544"/>
    </row>
    <row r="62" spans="1:10" ht="42" customHeight="1" x14ac:dyDescent="0.3">
      <c r="A62" s="392" t="s">
        <v>28</v>
      </c>
      <c r="B62" s="484" t="s">
        <v>150</v>
      </c>
      <c r="C62" s="484"/>
      <c r="E62" s="485" t="s">
        <v>159</v>
      </c>
      <c r="F62" s="388"/>
      <c r="G62" s="485"/>
      <c r="H62" s="485"/>
    </row>
    <row r="63" spans="1:10" ht="37.5" customHeight="1" x14ac:dyDescent="0.3">
      <c r="A63" s="392" t="s">
        <v>29</v>
      </c>
      <c r="B63" s="486"/>
      <c r="C63" s="486"/>
      <c r="E63" s="487"/>
      <c r="F63" s="388"/>
      <c r="G63" s="488"/>
      <c r="H63" s="488"/>
    </row>
    <row r="64" spans="1:10" x14ac:dyDescent="0.3">
      <c r="A64" s="445"/>
      <c r="B64" s="445"/>
      <c r="C64" s="445"/>
      <c r="D64" s="445"/>
      <c r="E64" s="445"/>
      <c r="F64" s="489"/>
      <c r="G64" s="445"/>
      <c r="H64" s="445"/>
      <c r="I64" s="397"/>
    </row>
    <row r="65" spans="1:9" x14ac:dyDescent="0.3">
      <c r="A65" s="445"/>
      <c r="B65" s="445"/>
      <c r="C65" s="445"/>
      <c r="D65" s="445"/>
      <c r="E65" s="445"/>
      <c r="F65" s="489"/>
      <c r="G65" s="445"/>
      <c r="H65" s="445"/>
      <c r="I65" s="397"/>
    </row>
    <row r="66" spans="1:9" x14ac:dyDescent="0.3">
      <c r="A66" s="445"/>
      <c r="B66" s="445"/>
      <c r="C66" s="445"/>
      <c r="D66" s="445"/>
      <c r="E66" s="445"/>
      <c r="F66" s="489"/>
      <c r="G66" s="445"/>
      <c r="H66" s="445"/>
      <c r="I66" s="397"/>
    </row>
    <row r="67" spans="1:9" x14ac:dyDescent="0.3">
      <c r="A67" s="445"/>
      <c r="B67" s="445"/>
      <c r="C67" s="445"/>
      <c r="D67" s="445"/>
      <c r="E67" s="445"/>
      <c r="F67" s="489"/>
      <c r="G67" s="445"/>
      <c r="H67" s="445"/>
      <c r="I67" s="397"/>
    </row>
    <row r="68" spans="1:9" x14ac:dyDescent="0.3">
      <c r="A68" s="445"/>
      <c r="B68" s="445"/>
      <c r="C68" s="445"/>
      <c r="D68" s="445"/>
      <c r="E68" s="445"/>
      <c r="F68" s="489"/>
      <c r="G68" s="445"/>
      <c r="H68" s="445"/>
      <c r="I68" s="397"/>
    </row>
    <row r="69" spans="1:9" x14ac:dyDescent="0.3">
      <c r="A69" s="445"/>
      <c r="B69" s="445"/>
      <c r="C69" s="445"/>
      <c r="D69" s="445"/>
      <c r="E69" s="445"/>
      <c r="F69" s="489"/>
      <c r="G69" s="445"/>
      <c r="H69" s="445"/>
      <c r="I69" s="397"/>
    </row>
    <row r="70" spans="1:9" x14ac:dyDescent="0.3">
      <c r="A70" s="445"/>
      <c r="B70" s="445"/>
      <c r="C70" s="445"/>
      <c r="D70" s="445"/>
      <c r="E70" s="445"/>
      <c r="F70" s="489"/>
      <c r="G70" s="445"/>
      <c r="H70" s="445"/>
      <c r="I70" s="397"/>
    </row>
    <row r="71" spans="1:9" x14ac:dyDescent="0.3">
      <c r="A71" s="445"/>
      <c r="B71" s="445"/>
      <c r="C71" s="445"/>
      <c r="D71" s="445"/>
      <c r="E71" s="445"/>
      <c r="F71" s="489"/>
      <c r="G71" s="445"/>
      <c r="H71" s="445"/>
      <c r="I71" s="397"/>
    </row>
    <row r="72" spans="1:9" x14ac:dyDescent="0.3">
      <c r="A72" s="445"/>
      <c r="B72" s="445"/>
      <c r="C72" s="445"/>
      <c r="D72" s="445"/>
      <c r="E72" s="445"/>
      <c r="F72" s="489"/>
      <c r="G72" s="445"/>
      <c r="H72" s="445"/>
      <c r="I72" s="397"/>
    </row>
    <row r="250" spans="1:1" x14ac:dyDescent="0.3">
      <c r="A250" s="383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7">
    <mergeCell ref="B61:C61"/>
    <mergeCell ref="G61:H61"/>
    <mergeCell ref="A1:I7"/>
    <mergeCell ref="A8:I14"/>
    <mergeCell ref="A16:H16"/>
    <mergeCell ref="A17:H17"/>
    <mergeCell ref="G49:H49"/>
  </mergeCells>
  <conditionalFormatting sqref="G56">
    <cfRule type="cellIs" dxfId="6" priority="7" operator="greaterThan">
      <formula>0.02</formula>
    </cfRule>
  </conditionalFormatting>
  <conditionalFormatting sqref="H56">
    <cfRule type="cellIs" dxfId="5" priority="6" operator="greaterThan">
      <formula>0.02</formula>
    </cfRule>
  </conditionalFormatting>
  <conditionalFormatting sqref="I56">
    <cfRule type="cellIs" dxfId="4" priority="5" operator="greaterThan">
      <formula>0.02</formula>
    </cfRule>
  </conditionalFormatting>
  <conditionalFormatting sqref="J56">
    <cfRule type="cellIs" dxfId="3" priority="4" operator="greaterThan">
      <formula>0.02</formula>
    </cfRule>
  </conditionalFormatting>
  <conditionalFormatting sqref="F38">
    <cfRule type="cellIs" dxfId="2" priority="3" operator="greaterThan">
      <formula>0.1</formula>
    </cfRule>
  </conditionalFormatting>
  <conditionalFormatting sqref="E39">
    <cfRule type="cellIs" dxfId="1" priority="2" operator="greaterThan">
      <formula>0.002</formula>
    </cfRule>
  </conditionalFormatting>
  <conditionalFormatting sqref="F39">
    <cfRule type="cellIs" dxfId="0" priority="1" operator="greaterThan">
      <formula>0.002</formula>
    </cfRule>
  </conditionalFormatting>
  <printOptions horizontalCentered="1" verticalCentered="1"/>
  <pageMargins left="0.7" right="0.7" top="0.75" bottom="0.75" header="0.3" footer="0.3"/>
  <pageSetup paperSize="9" scale="28" orientation="portrait" r:id="rId1"/>
  <headerFooter alignWithMargins="0">
    <oddHeader>&amp;LVer.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</vt:lpstr>
      <vt:lpstr>Uniformity</vt:lpstr>
      <vt:lpstr>Artesunate</vt:lpstr>
      <vt:lpstr>Sodium Chloride</vt:lpstr>
      <vt:lpstr>Sodium Bicarbonate</vt:lpstr>
      <vt:lpstr>'Sodium Bicarbonate'!Print_Area</vt:lpstr>
      <vt:lpstr>'Sodium Chloride'!Print_Area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cp:lastPrinted>2016-04-20T07:10:17Z</cp:lastPrinted>
  <dcterms:created xsi:type="dcterms:W3CDTF">2005-07-05T10:19:27Z</dcterms:created>
  <dcterms:modified xsi:type="dcterms:W3CDTF">2016-04-20T07:10:30Z</dcterms:modified>
</cp:coreProperties>
</file>