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"/>
    </mc:Choice>
  </mc:AlternateContent>
  <bookViews>
    <workbookView xWindow="510" yWindow="585" windowWidth="14055" windowHeight="6090" activeTab="4"/>
  </bookViews>
  <sheets>
    <sheet name="SST" sheetId="1" r:id="rId1"/>
    <sheet name="Uniformity" sheetId="2" r:id="rId2"/>
    <sheet name="artesunate" sheetId="7" r:id="rId3"/>
    <sheet name="sodium bicarbonate" sheetId="8" r:id="rId4"/>
    <sheet name="sodium chloride" sheetId="9" r:id="rId5"/>
  </sheets>
  <externalReferences>
    <externalReference r:id="rId6"/>
  </externalReferences>
  <definedNames>
    <definedName name="_xlnm.Print_Area" localSheetId="3">'sodium bicarbonate'!$A$1:$I$64</definedName>
    <definedName name="_xlnm.Print_Area" localSheetId="4">'sodium chloride'!$A$1:$I$64</definedName>
  </definedNames>
  <calcPr calcId="152511"/>
</workbook>
</file>

<file path=xl/calcChain.xml><?xml version="1.0" encoding="utf-8"?>
<calcChain xmlns="http://schemas.openxmlformats.org/spreadsheetml/2006/main">
  <c r="D58" i="9" l="1"/>
  <c r="B57" i="9"/>
  <c r="D56" i="9"/>
  <c r="E54" i="9" s="1"/>
  <c r="I55" i="9"/>
  <c r="H55" i="9"/>
  <c r="G55" i="9"/>
  <c r="F55" i="9"/>
  <c r="E55" i="9"/>
  <c r="E52" i="9"/>
  <c r="C48" i="9"/>
  <c r="E46" i="9"/>
  <c r="B44" i="9"/>
  <c r="G37" i="9"/>
  <c r="F37" i="9"/>
  <c r="E37" i="9"/>
  <c r="C37" i="9"/>
  <c r="C36" i="9"/>
  <c r="E36" i="9" s="1"/>
  <c r="C35" i="9"/>
  <c r="E35" i="9" s="1"/>
  <c r="C34" i="9"/>
  <c r="E34" i="9" s="1"/>
  <c r="D58" i="8"/>
  <c r="B57" i="8"/>
  <c r="D56" i="8"/>
  <c r="E54" i="8" s="1"/>
  <c r="I55" i="8"/>
  <c r="H55" i="8"/>
  <c r="G55" i="8"/>
  <c r="F55" i="8"/>
  <c r="E55" i="8"/>
  <c r="E52" i="8"/>
  <c r="C48" i="8"/>
  <c r="E46" i="8"/>
  <c r="B44" i="8"/>
  <c r="G37" i="8"/>
  <c r="F37" i="8"/>
  <c r="E37" i="8"/>
  <c r="C37" i="8"/>
  <c r="C36" i="8"/>
  <c r="E36" i="8" s="1"/>
  <c r="C35" i="8"/>
  <c r="E35" i="8" s="1"/>
  <c r="C34" i="8"/>
  <c r="E34" i="8" s="1"/>
  <c r="B21" i="1"/>
  <c r="B20" i="1"/>
  <c r="G34" i="9" l="1"/>
  <c r="E40" i="9"/>
  <c r="E38" i="9"/>
  <c r="E39" i="9" s="1"/>
  <c r="F34" i="9"/>
  <c r="G36" i="8"/>
  <c r="F36" i="8"/>
  <c r="G34" i="8"/>
  <c r="E38" i="8"/>
  <c r="E39" i="8" s="1"/>
  <c r="F34" i="8"/>
  <c r="E40" i="8"/>
  <c r="G35" i="9"/>
  <c r="F35" i="9"/>
  <c r="G35" i="8"/>
  <c r="F35" i="8"/>
  <c r="G36" i="9"/>
  <c r="F36" i="9"/>
  <c r="E53" i="8"/>
  <c r="D57" i="8"/>
  <c r="E53" i="9"/>
  <c r="D57" i="9"/>
  <c r="D42" i="7"/>
  <c r="C129" i="7"/>
  <c r="B125" i="7"/>
  <c r="D109" i="7" s="1"/>
  <c r="F122" i="7"/>
  <c r="E122" i="7"/>
  <c r="F121" i="7"/>
  <c r="E121" i="7"/>
  <c r="F120" i="7"/>
  <c r="E120" i="7"/>
  <c r="F119" i="7"/>
  <c r="E119" i="7"/>
  <c r="F118" i="7"/>
  <c r="F124" i="7" s="1"/>
  <c r="E118" i="7"/>
  <c r="F117" i="7"/>
  <c r="E117" i="7"/>
  <c r="B107" i="7"/>
  <c r="F104" i="7"/>
  <c r="D104" i="7"/>
  <c r="G103" i="7"/>
  <c r="E103" i="7"/>
  <c r="G102" i="7"/>
  <c r="E102" i="7"/>
  <c r="G101" i="7"/>
  <c r="E101" i="7"/>
  <c r="G100" i="7"/>
  <c r="E100" i="7"/>
  <c r="B96" i="7"/>
  <c r="D106" i="7" s="1"/>
  <c r="B90" i="7"/>
  <c r="B89" i="7"/>
  <c r="B91" i="7" s="1"/>
  <c r="C74" i="7"/>
  <c r="G68" i="7"/>
  <c r="E68" i="7"/>
  <c r="G67" i="7"/>
  <c r="E67" i="7"/>
  <c r="B67" i="7"/>
  <c r="G66" i="7"/>
  <c r="E66" i="7"/>
  <c r="G65" i="7"/>
  <c r="E65" i="7"/>
  <c r="C56" i="7"/>
  <c r="B55" i="7"/>
  <c r="B45" i="7"/>
  <c r="D48" i="7" s="1"/>
  <c r="D49" i="7" s="1"/>
  <c r="F42" i="7"/>
  <c r="G41" i="7"/>
  <c r="E41" i="7"/>
  <c r="B34" i="7"/>
  <c r="F44" i="7" s="1"/>
  <c r="F45" i="7" s="1"/>
  <c r="B30" i="7"/>
  <c r="F38" i="8" l="1"/>
  <c r="G38" i="9"/>
  <c r="F53" i="8"/>
  <c r="G53" i="8" s="1"/>
  <c r="H53" i="8" s="1"/>
  <c r="I53" i="8" s="1"/>
  <c r="G38" i="8"/>
  <c r="F38" i="9"/>
  <c r="G39" i="7"/>
  <c r="F106" i="7"/>
  <c r="F107" i="7" s="1"/>
  <c r="F108" i="7" s="1"/>
  <c r="E38" i="7"/>
  <c r="D112" i="7"/>
  <c r="D113" i="7" s="1"/>
  <c r="G38" i="7"/>
  <c r="G40" i="7"/>
  <c r="G42" i="7" s="1"/>
  <c r="D44" i="7"/>
  <c r="D110" i="7"/>
  <c r="D111" i="7" s="1"/>
  <c r="E39" i="7"/>
  <c r="G104" i="7"/>
  <c r="F126" i="7"/>
  <c r="F46" i="7"/>
  <c r="D45" i="7"/>
  <c r="D46" i="7" s="1"/>
  <c r="G129" i="7"/>
  <c r="F125" i="7"/>
  <c r="D107" i="7"/>
  <c r="D108" i="7" s="1"/>
  <c r="D114" i="7"/>
  <c r="E104" i="7"/>
  <c r="F54" i="9" l="1"/>
  <c r="G54" i="9" s="1"/>
  <c r="H54" i="9" s="1"/>
  <c r="I54" i="9" s="1"/>
  <c r="F52" i="9"/>
  <c r="G52" i="9" s="1"/>
  <c r="F52" i="8"/>
  <c r="G52" i="8" s="1"/>
  <c r="F54" i="8"/>
  <c r="G54" i="8" s="1"/>
  <c r="H54" i="8" s="1"/>
  <c r="I54" i="8" s="1"/>
  <c r="F53" i="9"/>
  <c r="G53" i="9" s="1"/>
  <c r="H53" i="9" s="1"/>
  <c r="I53" i="9" s="1"/>
  <c r="D50" i="7"/>
  <c r="D52" i="7"/>
  <c r="E40" i="7"/>
  <c r="E42" i="7" s="1"/>
  <c r="H52" i="8" l="1"/>
  <c r="G58" i="8"/>
  <c r="G56" i="8"/>
  <c r="H52" i="9"/>
  <c r="G58" i="9"/>
  <c r="G56" i="9"/>
  <c r="E59" i="7"/>
  <c r="E64" i="7"/>
  <c r="G64" i="7" s="1"/>
  <c r="E60" i="7"/>
  <c r="G60" i="7" s="1"/>
  <c r="E61" i="7"/>
  <c r="G61" i="7" s="1"/>
  <c r="E62" i="7"/>
  <c r="G62" i="7" s="1"/>
  <c r="E63" i="7"/>
  <c r="G63" i="7" s="1"/>
  <c r="D51" i="7"/>
  <c r="H58" i="9" l="1"/>
  <c r="H56" i="9"/>
  <c r="H57" i="9" s="1"/>
  <c r="I52" i="9"/>
  <c r="I52" i="8"/>
  <c r="H58" i="8"/>
  <c r="H56" i="8"/>
  <c r="H57" i="8" s="1"/>
  <c r="E70" i="7"/>
  <c r="G59" i="7"/>
  <c r="E72" i="7"/>
  <c r="I58" i="8" l="1"/>
  <c r="I56" i="8"/>
  <c r="I57" i="8" s="1"/>
  <c r="I58" i="9"/>
  <c r="I56" i="9"/>
  <c r="I57" i="9" s="1"/>
  <c r="F59" i="7"/>
  <c r="F67" i="7"/>
  <c r="F61" i="7"/>
  <c r="F65" i="7"/>
  <c r="F66" i="7"/>
  <c r="F62" i="7"/>
  <c r="F63" i="7"/>
  <c r="E71" i="7"/>
  <c r="F60" i="7"/>
  <c r="F68" i="7"/>
  <c r="F64" i="7"/>
  <c r="C81" i="7"/>
  <c r="G70" i="7"/>
  <c r="G72" i="7"/>
  <c r="C82" i="7" l="1"/>
  <c r="G71" i="7"/>
  <c r="C79" i="7"/>
  <c r="G74" i="7"/>
  <c r="F70" i="7"/>
  <c r="F71" i="7" s="1"/>
  <c r="F72" i="7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2" i="2" l="1"/>
  <c r="C49" i="2" s="1"/>
  <c r="C83" i="7"/>
  <c r="D43" i="2"/>
  <c r="D47" i="2" l="1"/>
  <c r="C47" i="2"/>
  <c r="E40" i="2"/>
  <c r="E38" i="2"/>
  <c r="E34" i="2"/>
  <c r="E32" i="2"/>
  <c r="E28" i="2"/>
  <c r="E24" i="2"/>
  <c r="E36" i="2"/>
  <c r="E30" i="2"/>
  <c r="E26" i="2"/>
  <c r="E22" i="2"/>
  <c r="D48" i="2"/>
  <c r="B47" i="2"/>
  <c r="C48" i="2"/>
  <c r="E39" i="2"/>
  <c r="E37" i="2"/>
  <c r="E35" i="2"/>
  <c r="E33" i="2"/>
  <c r="E31" i="2"/>
  <c r="E29" i="2"/>
  <c r="E27" i="2"/>
  <c r="E25" i="2"/>
  <c r="E23" i="2"/>
  <c r="E21" i="2"/>
</calcChain>
</file>

<file path=xl/sharedStrings.xml><?xml version="1.0" encoding="utf-8"?>
<sst xmlns="http://schemas.openxmlformats.org/spreadsheetml/2006/main" count="369" uniqueCount="167">
  <si>
    <t>HPLC System Suitability Report</t>
  </si>
  <si>
    <t>Analysis Data</t>
  </si>
  <si>
    <t>Assay</t>
  </si>
  <si>
    <t>Sample(s)</t>
  </si>
  <si>
    <t>Reference Substance:</t>
  </si>
  <si>
    <t>ARTESUN INJECTION 60 mg</t>
  </si>
  <si>
    <t>% age Purity:</t>
  </si>
  <si>
    <t>NDQA201511511</t>
  </si>
  <si>
    <t>Weight (mg):</t>
  </si>
  <si>
    <t xml:space="preserve">ARTESUNATE </t>
  </si>
  <si>
    <t>Standard Conc (mg/mL):</t>
  </si>
  <si>
    <t>Each Pack contains: Artesunate 60 Mg</t>
  </si>
  <si>
    <t>2015-11-05 14:05:15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</si>
  <si>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</si>
  <si>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</si>
  <si>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</si>
  <si>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</si>
  <si>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</si>
  <si>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</si>
  <si>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</si>
  <si>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</si>
  <si>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</si>
  <si>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</si>
  <si>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</si>
  <si>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</si>
  <si>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</si>
  <si>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</si>
  <si>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</si>
  <si>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</si>
  <si>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</si>
  <si>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</si>
  <si>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</si>
  <si>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</si>
  <si>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</si>
  <si>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</si>
  <si>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</si>
  <si>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</si>
  <si>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</si>
  <si>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</si>
  <si>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2016-06-03 05:46:15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</si>
  <si>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</si>
  <si>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</si>
  <si>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</si>
  <si>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</si>
  <si>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</si>
  <si>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</si>
  <si>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</si>
  <si>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</si>
  <si>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</si>
  <si>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</si>
  <si>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</si>
  <si>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</si>
  <si>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</si>
  <si>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</si>
  <si>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</si>
  <si>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</si>
  <si>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</si>
  <si>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</si>
  <si>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</si>
  <si>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</si>
  <si>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</si>
  <si>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</si>
  <si>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</si>
  <si>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</si>
  <si>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t>Injection</t>
  </si>
  <si>
    <t>Response:</t>
  </si>
  <si>
    <t>Normalised Response:</t>
  </si>
  <si>
    <t>Average:</t>
  </si>
  <si>
    <t>Amt of RS (mg):</t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</si>
  <si>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</si>
  <si>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</si>
  <si>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</si>
  <si>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</si>
  <si>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</si>
  <si>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</si>
  <si>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</si>
  <si>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</si>
  <si>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</si>
  <si>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</si>
  <si>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</si>
  <si>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</si>
  <si>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</si>
  <si>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</si>
  <si>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</si>
  <si>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</si>
  <si>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</si>
  <si>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</si>
  <si>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</si>
  <si>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</si>
  <si>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</si>
  <si>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</si>
  <si>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</si>
  <si>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</si>
  <si>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</si>
  <si>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</si>
  <si>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</si>
  <si>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</si>
  <si>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</si>
  <si>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</si>
  <si>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</si>
  <si>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</si>
  <si>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</si>
  <si>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</si>
  <si>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</si>
  <si>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</si>
  <si>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</si>
  <si>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t>Sample Dilution Factor</t>
  </si>
  <si>
    <t xml:space="preserve">The amount  of </t>
  </si>
  <si>
    <t xml:space="preserve">dissolved as a percentage of the stated  label claim is </t>
  </si>
  <si>
    <t>National Quality Control Laoboratory</t>
  </si>
  <si>
    <t>Standardisation of Silver Nitrate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</si>
  <si>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</si>
  <si>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</si>
  <si>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</si>
  <si>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</si>
  <si>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</si>
  <si>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</si>
  <si>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</si>
  <si>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</si>
  <si>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</si>
  <si>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</si>
  <si>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</si>
  <si>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</si>
  <si>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</si>
  <si>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</si>
  <si>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</si>
  <si>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</si>
  <si>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Each</t>
  </si>
  <si>
    <t>contains</t>
  </si>
  <si>
    <t>Each mL of 0.1 M Silver Nitrate VS is Equivalent to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</si>
  <si>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</si>
  <si>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</si>
  <si>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</si>
  <si>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</si>
  <si>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</si>
  <si>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</si>
  <si>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</si>
  <si>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</si>
  <si>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</si>
  <si>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</si>
  <si>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A15 2</t>
  </si>
  <si>
    <t>Artesunate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</si>
  <si>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</si>
  <si>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</si>
  <si>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</si>
  <si>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</si>
  <si>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</si>
  <si>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</si>
  <si>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</si>
  <si>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</si>
  <si>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AV (</t>
    </r>
    <r>
      <rPr>
        <sz val="14"/>
        <rFont val="Calibri"/>
        <family val="2"/>
      </rPr>
      <t>≤</t>
    </r>
    <r>
      <rPr>
        <sz val="14"/>
        <rFont val="Book Antiqua"/>
        <family val="1"/>
      </rPr>
      <t xml:space="preserve"> 15)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</si>
  <si>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</si>
  <si>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</si>
  <si>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</si>
  <si>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</si>
  <si>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</si>
  <si>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</si>
  <si>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</si>
  <si>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</si>
  <si>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NDQD201511511</t>
  </si>
  <si>
    <t xml:space="preserve">Artesun </t>
  </si>
  <si>
    <t>Artesunate 60mg</t>
  </si>
  <si>
    <t>Sodium Bicarbonate</t>
  </si>
  <si>
    <t>Each Pack contains: Sodium BiCarbonate 50mg/mL</t>
  </si>
  <si>
    <t>Sodium Carbonate</t>
  </si>
  <si>
    <t>Bugigi</t>
  </si>
  <si>
    <t>Sodium Chloride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</si>
</sst>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%&quot;"/>
    <numFmt numFmtId="173" formatCode="0.00\ &quot;M&quot;"/>
    <numFmt numFmtId="174" formatCode="0\ &quot;mL&quot;"/>
    <numFmt numFmtId="175" formatCode="0\ &quot;mg&quot;"/>
    <numFmt numFmtId="176" formatCode="0.000\ &quot;mg&quot;"/>
  </numFmts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b/>
      <sz val="20"/>
      <color rgb="FF000000"/>
      <name val="Book Antiqua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sz val="14"/>
      <name val="Arial"/>
      <family val="2"/>
    </font>
    <font>
      <i/>
      <sz val="14"/>
      <name val="Arial"/>
      <family val="2"/>
    </font>
    <font>
      <vertAlign val="superscript"/>
      <sz val="14"/>
      <name val="Book Antiqua"/>
      <family val="1"/>
    </font>
    <font>
      <sz val="10"/>
      <name val="Book Antiqua"/>
      <family val="1"/>
    </font>
    <font>
      <b/>
      <u/>
      <sz val="12"/>
      <name val="Book Antiqua"/>
      <family val="1"/>
    </font>
    <font>
      <sz val="12"/>
      <name val="Book Antiqua"/>
      <family val="1"/>
    </font>
    <font>
      <b/>
      <sz val="12"/>
      <name val="Book Antiqua"/>
      <family val="1"/>
    </font>
    <font>
      <sz val="14"/>
      <name val="Calibri"/>
      <family val="2"/>
    </font>
    <font>
      <i/>
      <sz val="14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0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3" fillId="2" borderId="0"/>
    <xf numFmtId="0" fontId="1" fillId="2" borderId="0"/>
    <xf numFmtId="0" fontId="31" fillId="2" borderId="0"/>
  </cellStyleXfs>
  <cellXfs count="485"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2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3" borderId="3" xfId="0" applyFont="1" applyFill="1" applyBorder="1" applyAlignment="1" applyProtection="1">
      <alignment horizontal="center"/>
      <protection locked="0"/>
    </xf>
    <xf numFmtId="2" fontId="8" fillId="3" borderId="3" xfId="0" applyNumberFormat="1" applyFont="1" applyFill="1" applyBorder="1" applyAlignment="1" applyProtection="1">
      <alignment horizontal="center"/>
      <protection locked="0"/>
    </xf>
    <xf numFmtId="2" fontId="8" fillId="3" borderId="4" xfId="0" applyNumberFormat="1" applyFont="1" applyFill="1" applyBorder="1" applyAlignment="1" applyProtection="1">
      <alignment horizontal="center"/>
      <protection locked="0"/>
    </xf>
    <xf numFmtId="0" fontId="8" fillId="3" borderId="5" xfId="0" applyFont="1" applyFill="1" applyBorder="1" applyAlignment="1" applyProtection="1">
      <alignment horizontal="center"/>
      <protection locked="0"/>
    </xf>
    <xf numFmtId="2" fontId="8" fillId="3" borderId="5" xfId="0" applyNumberFormat="1" applyFont="1" applyFill="1" applyBorder="1" applyAlignment="1" applyProtection="1">
      <alignment horizontal="center"/>
      <protection locked="0"/>
    </xf>
    <xf numFmtId="0" fontId="7" fillId="2" borderId="4" xfId="0" applyFont="1" applyFill="1" applyBorder="1"/>
    <xf numFmtId="1" fontId="6" fillId="4" borderId="2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0" fontId="7" fillId="2" borderId="3" xfId="0" applyFont="1" applyFill="1" applyBorder="1"/>
    <xf numFmtId="10" fontId="6" fillId="5" borderId="1" xfId="0" applyNumberFormat="1" applyFont="1" applyFill="1" applyBorder="1" applyAlignment="1">
      <alignment horizontal="center"/>
    </xf>
    <xf numFmtId="165" fontId="6" fillId="2" borderId="0" xfId="0" applyNumberFormat="1" applyFont="1" applyFill="1" applyAlignment="1">
      <alignment horizontal="center"/>
    </xf>
    <xf numFmtId="0" fontId="7" fillId="2" borderId="6" xfId="0" applyFont="1" applyFill="1" applyBorder="1"/>
    <xf numFmtId="0" fontId="7" fillId="2" borderId="5" xfId="0" applyFont="1" applyFill="1" applyBorder="1"/>
    <xf numFmtId="0" fontId="6" fillId="4" borderId="1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7" xfId="0" applyFont="1" applyFill="1" applyBorder="1"/>
    <xf numFmtId="0" fontId="7" fillId="2" borderId="8" xfId="0" applyFont="1" applyFill="1" applyBorder="1"/>
    <xf numFmtId="0" fontId="7" fillId="2" borderId="0" xfId="0" applyFont="1" applyFill="1"/>
    <xf numFmtId="0" fontId="7" fillId="2" borderId="0" xfId="0" applyFont="1" applyFill="1" applyAlignment="1" applyProtection="1">
      <alignment horizontal="left"/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3" fillId="2" borderId="9" xfId="0" applyFont="1" applyFill="1" applyBorder="1"/>
    <xf numFmtId="0" fontId="3" fillId="2" borderId="0" xfId="0" applyFont="1" applyFill="1" applyAlignment="1">
      <alignment horizontal="center"/>
    </xf>
    <xf numFmtId="10" fontId="3" fillId="2" borderId="9" xfId="0" applyNumberFormat="1" applyFont="1" applyFill="1" applyBorder="1"/>
    <xf numFmtId="0" fontId="0" fillId="2" borderId="0" xfId="0" applyFill="1"/>
    <xf numFmtId="0" fontId="2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3" fillId="2" borderId="7" xfId="0" applyFont="1" applyFill="1" applyBorder="1"/>
    <xf numFmtId="0" fontId="3" fillId="2" borderId="7" xfId="0" applyFont="1" applyFill="1" applyBorder="1"/>
    <xf numFmtId="0" fontId="2" fillId="2" borderId="11" xfId="0" applyFont="1" applyFill="1" applyBorder="1"/>
    <xf numFmtId="0" fontId="3" fillId="2" borderId="11" xfId="0" applyFont="1" applyFill="1" applyBorder="1"/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4" fontId="9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 wrapText="1"/>
    </xf>
    <xf numFmtId="10" fontId="9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10" fontId="3" fillId="2" borderId="0" xfId="0" applyNumberFormat="1" applyFont="1" applyFill="1"/>
    <xf numFmtId="164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 wrapText="1"/>
    </xf>
    <xf numFmtId="0" fontId="3" fillId="2" borderId="0" xfId="0" applyFont="1" applyFill="1"/>
    <xf numFmtId="167" fontId="3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12" xfId="0" applyNumberFormat="1" applyFont="1" applyFill="1" applyBorder="1" applyAlignment="1">
      <alignment horizontal="center"/>
    </xf>
    <xf numFmtId="164" fontId="2" fillId="2" borderId="13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2" fontId="3" fillId="3" borderId="15" xfId="0" applyNumberFormat="1" applyFont="1" applyFill="1" applyBorder="1" applyAlignment="1" applyProtection="1">
      <alignment horizontal="center"/>
      <protection locked="0"/>
    </xf>
    <xf numFmtId="2" fontId="3" fillId="3" borderId="14" xfId="0" applyNumberFormat="1" applyFont="1" applyFill="1" applyBorder="1" applyAlignment="1" applyProtection="1">
      <alignment horizontal="center"/>
      <protection locked="0"/>
    </xf>
    <xf numFmtId="2" fontId="3" fillId="2" borderId="14" xfId="0" applyNumberFormat="1" applyFont="1" applyFill="1" applyBorder="1" applyAlignment="1">
      <alignment horizontal="center"/>
    </xf>
    <xf numFmtId="10" fontId="3" fillId="2" borderId="16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3" borderId="16" xfId="0" applyNumberFormat="1" applyFont="1" applyFill="1" applyBorder="1" applyAlignment="1" applyProtection="1">
      <alignment horizontal="center"/>
      <protection locked="0"/>
    </xf>
    <xf numFmtId="2" fontId="3" fillId="3" borderId="17" xfId="0" applyNumberFormat="1" applyFont="1" applyFill="1" applyBorder="1" applyAlignment="1" applyProtection="1">
      <alignment horizontal="center"/>
      <protection locked="0"/>
    </xf>
    <xf numFmtId="2" fontId="3" fillId="2" borderId="17" xfId="0" applyNumberFormat="1" applyFont="1" applyFill="1" applyBorder="1" applyAlignment="1">
      <alignment horizontal="center"/>
    </xf>
    <xf numFmtId="2" fontId="3" fillId="3" borderId="16" xfId="0" applyNumberFormat="1" applyFont="1" applyFill="1" applyBorder="1" applyAlignment="1" applyProtection="1">
      <alignment horizontal="center" wrapText="1"/>
      <protection locked="0"/>
    </xf>
    <xf numFmtId="1" fontId="3" fillId="2" borderId="18" xfId="0" applyNumberFormat="1" applyFont="1" applyFill="1" applyBorder="1" applyAlignment="1">
      <alignment horizontal="center"/>
    </xf>
    <xf numFmtId="2" fontId="3" fillId="3" borderId="19" xfId="0" applyNumberFormat="1" applyFont="1" applyFill="1" applyBorder="1" applyAlignment="1" applyProtection="1">
      <alignment horizontal="center" wrapText="1"/>
      <protection locked="0"/>
    </xf>
    <xf numFmtId="2" fontId="3" fillId="3" borderId="18" xfId="0" applyNumberFormat="1" applyFont="1" applyFill="1" applyBorder="1" applyAlignment="1" applyProtection="1">
      <alignment horizontal="center"/>
      <protection locked="0"/>
    </xf>
    <xf numFmtId="2" fontId="3" fillId="2" borderId="18" xfId="0" applyNumberFormat="1" applyFont="1" applyFill="1" applyBorder="1" applyAlignment="1">
      <alignment horizontal="center"/>
    </xf>
    <xf numFmtId="10" fontId="3" fillId="2" borderId="19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right"/>
    </xf>
    <xf numFmtId="166" fontId="3" fillId="2" borderId="21" xfId="0" applyNumberFormat="1" applyFont="1" applyFill="1" applyBorder="1" applyAlignment="1">
      <alignment horizontal="center"/>
    </xf>
    <xf numFmtId="166" fontId="3" fillId="2" borderId="22" xfId="0" applyNumberFormat="1" applyFont="1" applyFill="1" applyBorder="1" applyAlignment="1">
      <alignment horizontal="center"/>
    </xf>
    <xf numFmtId="166" fontId="3" fillId="2" borderId="23" xfId="0" applyNumberFormat="1" applyFont="1" applyFill="1" applyBorder="1" applyAlignment="1">
      <alignment horizontal="center"/>
    </xf>
    <xf numFmtId="0" fontId="3" fillId="2" borderId="24" xfId="0" applyFont="1" applyFill="1" applyBorder="1" applyAlignment="1">
      <alignment horizontal="right"/>
    </xf>
    <xf numFmtId="166" fontId="2" fillId="2" borderId="25" xfId="0" applyNumberFormat="1" applyFont="1" applyFill="1" applyBorder="1" applyAlignment="1">
      <alignment horizontal="center"/>
    </xf>
    <xf numFmtId="166" fontId="2" fillId="2" borderId="26" xfId="0" applyNumberFormat="1" applyFont="1" applyFill="1" applyBorder="1" applyAlignment="1">
      <alignment horizontal="center"/>
    </xf>
    <xf numFmtId="166" fontId="2" fillId="2" borderId="27" xfId="0" applyNumberFormat="1" applyFont="1" applyFill="1" applyBorder="1" applyAlignment="1">
      <alignment horizontal="center"/>
    </xf>
    <xf numFmtId="164" fontId="3" fillId="2" borderId="0" xfId="0" applyNumberFormat="1" applyFont="1" applyFill="1"/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wrapText="1"/>
    </xf>
    <xf numFmtId="165" fontId="2" fillId="2" borderId="28" xfId="0" applyNumberFormat="1" applyFont="1" applyFill="1" applyBorder="1" applyAlignment="1">
      <alignment horizontal="center"/>
    </xf>
    <xf numFmtId="168" fontId="2" fillId="2" borderId="29" xfId="0" applyNumberFormat="1" applyFont="1" applyFill="1" applyBorder="1" applyAlignment="1">
      <alignment horizontal="center" vertical="center"/>
    </xf>
    <xf numFmtId="165" fontId="2" fillId="2" borderId="18" xfId="0" applyNumberFormat="1" applyFont="1" applyFill="1" applyBorder="1" applyAlignment="1">
      <alignment horizontal="center"/>
    </xf>
    <xf numFmtId="0" fontId="3" fillId="2" borderId="9" xfId="0" applyFont="1" applyFill="1" applyBorder="1"/>
    <xf numFmtId="10" fontId="3" fillId="2" borderId="30" xfId="0" applyNumberFormat="1" applyFont="1" applyFill="1" applyBorder="1"/>
    <xf numFmtId="0" fontId="2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3" fillId="2" borderId="7" xfId="0" applyFont="1" applyFill="1" applyBorder="1"/>
    <xf numFmtId="0" fontId="3" fillId="2" borderId="7" xfId="0" applyFont="1" applyFill="1" applyBorder="1"/>
    <xf numFmtId="0" fontId="2" fillId="2" borderId="11" xfId="0" applyFont="1" applyFill="1" applyBorder="1"/>
    <xf numFmtId="0" fontId="3" fillId="2" borderId="11" xfId="0" applyFont="1" applyFill="1" applyBorder="1"/>
    <xf numFmtId="0" fontId="12" fillId="3" borderId="37" xfId="0" applyFont="1" applyFill="1" applyBorder="1" applyAlignment="1" applyProtection="1">
      <alignment horizontal="center"/>
      <protection locked="0"/>
    </xf>
    <xf numFmtId="0" fontId="12" fillId="3" borderId="34" xfId="0" applyFont="1" applyFill="1" applyBorder="1" applyAlignment="1" applyProtection="1">
      <alignment horizontal="center"/>
      <protection locked="0"/>
    </xf>
    <xf numFmtId="0" fontId="12" fillId="3" borderId="38" xfId="0" applyFont="1" applyFill="1" applyBorder="1" applyAlignment="1" applyProtection="1">
      <alignment horizontal="center"/>
      <protection locked="0"/>
    </xf>
    <xf numFmtId="0" fontId="14" fillId="2" borderId="0" xfId="1" applyFont="1"/>
    <xf numFmtId="0" fontId="1" fillId="2" borderId="0" xfId="2"/>
    <xf numFmtId="0" fontId="16" fillId="2" borderId="0" xfId="1" applyFont="1"/>
    <xf numFmtId="0" fontId="17" fillId="2" borderId="0" xfId="1" applyFont="1"/>
    <xf numFmtId="0" fontId="17" fillId="9" borderId="0" xfId="1" applyFont="1" applyFill="1" applyAlignment="1" applyProtection="1">
      <alignment horizontal="left"/>
      <protection locked="0"/>
    </xf>
    <xf numFmtId="0" fontId="19" fillId="9" borderId="0" xfId="1" applyFont="1" applyFill="1" applyAlignment="1" applyProtection="1">
      <alignment horizontal="left"/>
      <protection locked="0"/>
    </xf>
    <xf numFmtId="0" fontId="19" fillId="9" borderId="0" xfId="1" quotePrefix="1" applyFont="1" applyFill="1" applyAlignment="1" applyProtection="1">
      <protection locked="0"/>
    </xf>
    <xf numFmtId="0" fontId="14" fillId="9" borderId="0" xfId="1" quotePrefix="1" applyFont="1" applyFill="1" applyAlignment="1" applyProtection="1">
      <protection locked="0"/>
    </xf>
    <xf numFmtId="170" fontId="19" fillId="9" borderId="0" xfId="1" applyNumberFormat="1" applyFont="1" applyFill="1" applyAlignment="1" applyProtection="1">
      <alignment horizontal="left"/>
      <protection locked="0"/>
    </xf>
    <xf numFmtId="0" fontId="19" fillId="2" borderId="0" xfId="1" applyFont="1"/>
    <xf numFmtId="170" fontId="14" fillId="2" borderId="0" xfId="1" applyNumberFormat="1" applyFont="1" applyAlignment="1">
      <alignment horizontal="left"/>
    </xf>
    <xf numFmtId="0" fontId="16" fillId="2" borderId="0" xfId="1" applyFont="1" applyAlignment="1">
      <alignment horizontal="left"/>
    </xf>
    <xf numFmtId="0" fontId="17" fillId="2" borderId="0" xfId="1" applyFont="1" applyAlignment="1">
      <alignment horizontal="right"/>
    </xf>
    <xf numFmtId="0" fontId="14" fillId="2" borderId="0" xfId="1" applyFont="1" applyAlignment="1">
      <alignment horizontal="right"/>
    </xf>
    <xf numFmtId="0" fontId="18" fillId="9" borderId="0" xfId="1" applyFont="1" applyFill="1" applyBorder="1" applyAlignment="1" applyProtection="1">
      <alignment horizontal="center"/>
      <protection locked="0"/>
    </xf>
    <xf numFmtId="0" fontId="19" fillId="9" borderId="0" xfId="1" applyFont="1" applyFill="1" applyAlignment="1" applyProtection="1">
      <alignment horizontal="center"/>
      <protection locked="0"/>
    </xf>
    <xf numFmtId="0" fontId="20" fillId="2" borderId="0" xfId="2" applyFont="1"/>
    <xf numFmtId="0" fontId="17" fillId="2" borderId="0" xfId="1" applyFont="1" applyAlignment="1">
      <alignment horizontal="center"/>
    </xf>
    <xf numFmtId="0" fontId="21" fillId="2" borderId="0" xfId="1" applyFont="1" applyFill="1"/>
    <xf numFmtId="2" fontId="18" fillId="9" borderId="0" xfId="1" applyNumberFormat="1" applyFont="1" applyFill="1" applyAlignment="1" applyProtection="1">
      <alignment horizontal="center"/>
      <protection locked="0"/>
    </xf>
    <xf numFmtId="0" fontId="15" fillId="2" borderId="0" xfId="1" applyFont="1" applyFill="1" applyBorder="1" applyAlignment="1">
      <alignment vertical="center" wrapText="1"/>
    </xf>
    <xf numFmtId="2" fontId="17" fillId="2" borderId="0" xfId="1" applyNumberFormat="1" applyFont="1" applyAlignment="1">
      <alignment horizontal="center"/>
    </xf>
    <xf numFmtId="0" fontId="15" fillId="2" borderId="0" xfId="1" applyFont="1" applyFill="1" applyBorder="1" applyAlignment="1">
      <alignment horizontal="left" vertical="center" wrapText="1"/>
    </xf>
    <xf numFmtId="169" fontId="17" fillId="2" borderId="0" xfId="1" applyNumberFormat="1" applyFont="1" applyAlignment="1">
      <alignment horizontal="center"/>
    </xf>
    <xf numFmtId="0" fontId="14" fillId="2" borderId="51" xfId="1" applyFont="1" applyBorder="1" applyAlignment="1">
      <alignment horizontal="right"/>
    </xf>
    <xf numFmtId="0" fontId="18" fillId="9" borderId="52" xfId="1" applyFont="1" applyFill="1" applyBorder="1" applyAlignment="1" applyProtection="1">
      <alignment horizontal="center"/>
      <protection locked="0"/>
    </xf>
    <xf numFmtId="0" fontId="14" fillId="2" borderId="56" xfId="1" applyFont="1" applyBorder="1" applyAlignment="1">
      <alignment horizontal="right"/>
    </xf>
    <xf numFmtId="0" fontId="18" fillId="9" borderId="57" xfId="1" applyFont="1" applyFill="1" applyBorder="1" applyAlignment="1" applyProtection="1">
      <alignment horizontal="center"/>
      <protection locked="0"/>
    </xf>
    <xf numFmtId="0" fontId="17" fillId="2" borderId="58" xfId="1" applyFont="1" applyBorder="1" applyAlignment="1">
      <alignment horizontal="center"/>
    </xf>
    <xf numFmtId="0" fontId="17" fillId="2" borderId="59" xfId="1" applyFont="1" applyBorder="1" applyAlignment="1">
      <alignment horizontal="center"/>
    </xf>
    <xf numFmtId="0" fontId="17" fillId="2" borderId="60" xfId="1" applyFont="1" applyBorder="1" applyAlignment="1">
      <alignment horizontal="center"/>
    </xf>
    <xf numFmtId="0" fontId="17" fillId="2" borderId="61" xfId="1" applyFont="1" applyBorder="1" applyAlignment="1">
      <alignment horizontal="center"/>
    </xf>
    <xf numFmtId="0" fontId="14" fillId="2" borderId="62" xfId="1" applyFont="1" applyBorder="1" applyAlignment="1">
      <alignment horizontal="center"/>
    </xf>
    <xf numFmtId="0" fontId="18" fillId="9" borderId="63" xfId="1" applyFont="1" applyFill="1" applyBorder="1" applyAlignment="1" applyProtection="1">
      <alignment horizontal="center"/>
      <protection locked="0"/>
    </xf>
    <xf numFmtId="171" fontId="14" fillId="2" borderId="60" xfId="1" applyNumberFormat="1" applyFont="1" applyBorder="1" applyAlignment="1">
      <alignment horizontal="center"/>
    </xf>
    <xf numFmtId="171" fontId="14" fillId="2" borderId="61" xfId="1" applyNumberFormat="1" applyFont="1" applyBorder="1" applyAlignment="1">
      <alignment horizontal="center"/>
    </xf>
    <xf numFmtId="0" fontId="14" fillId="2" borderId="64" xfId="1" applyFont="1" applyBorder="1" applyAlignment="1">
      <alignment horizontal="center"/>
    </xf>
    <xf numFmtId="0" fontId="18" fillId="9" borderId="56" xfId="1" applyFont="1" applyFill="1" applyBorder="1" applyAlignment="1" applyProtection="1">
      <alignment horizontal="center"/>
      <protection locked="0"/>
    </xf>
    <xf numFmtId="171" fontId="14" fillId="2" borderId="65" xfId="1" applyNumberFormat="1" applyFont="1" applyBorder="1" applyAlignment="1">
      <alignment horizontal="center"/>
    </xf>
    <xf numFmtId="171" fontId="14" fillId="2" borderId="57" xfId="1" applyNumberFormat="1" applyFont="1" applyBorder="1" applyAlignment="1">
      <alignment horizontal="center"/>
    </xf>
    <xf numFmtId="0" fontId="14" fillId="2" borderId="66" xfId="1" applyFont="1" applyBorder="1" applyAlignment="1">
      <alignment horizontal="center"/>
    </xf>
    <xf numFmtId="0" fontId="18" fillId="9" borderId="67" xfId="1" applyFont="1" applyFill="1" applyBorder="1" applyAlignment="1" applyProtection="1">
      <alignment horizontal="center"/>
      <protection locked="0"/>
    </xf>
    <xf numFmtId="171" fontId="14" fillId="2" borderId="68" xfId="1" applyNumberFormat="1" applyFont="1" applyBorder="1" applyAlignment="1">
      <alignment horizontal="center"/>
    </xf>
    <xf numFmtId="171" fontId="14" fillId="2" borderId="69" xfId="1" applyNumberFormat="1" applyFont="1" applyBorder="1" applyAlignment="1">
      <alignment horizontal="center"/>
    </xf>
    <xf numFmtId="0" fontId="14" fillId="2" borderId="64" xfId="1" applyFont="1" applyBorder="1" applyAlignment="1">
      <alignment horizontal="right"/>
    </xf>
    <xf numFmtId="1" fontId="17" fillId="10" borderId="70" xfId="1" applyNumberFormat="1" applyFont="1" applyFill="1" applyBorder="1" applyAlignment="1">
      <alignment horizontal="center"/>
    </xf>
    <xf numFmtId="171" fontId="17" fillId="10" borderId="71" xfId="1" applyNumberFormat="1" applyFont="1" applyFill="1" applyBorder="1" applyAlignment="1">
      <alignment horizontal="center"/>
    </xf>
    <xf numFmtId="171" fontId="17" fillId="10" borderId="72" xfId="1" applyNumberFormat="1" applyFont="1" applyFill="1" applyBorder="1" applyAlignment="1">
      <alignment horizontal="center"/>
    </xf>
    <xf numFmtId="0" fontId="23" fillId="2" borderId="0" xfId="2" applyFont="1" applyBorder="1" applyAlignment="1">
      <alignment horizontal="center"/>
    </xf>
    <xf numFmtId="0" fontId="14" fillId="2" borderId="54" xfId="1" applyFont="1" applyBorder="1" applyAlignment="1">
      <alignment horizontal="right"/>
    </xf>
    <xf numFmtId="0" fontId="18" fillId="9" borderId="73" xfId="1" applyFont="1" applyFill="1" applyBorder="1" applyAlignment="1" applyProtection="1">
      <alignment horizontal="center"/>
      <protection locked="0"/>
    </xf>
    <xf numFmtId="0" fontId="14" fillId="2" borderId="0" xfId="1" applyFont="1" applyFill="1" applyBorder="1"/>
    <xf numFmtId="0" fontId="14" fillId="2" borderId="74" xfId="1" applyFont="1" applyBorder="1" applyAlignment="1">
      <alignment horizontal="right"/>
    </xf>
    <xf numFmtId="2" fontId="14" fillId="10" borderId="75" xfId="1" applyNumberFormat="1" applyFont="1" applyFill="1" applyBorder="1" applyAlignment="1">
      <alignment horizontal="center"/>
    </xf>
    <xf numFmtId="0" fontId="14" fillId="2" borderId="0" xfId="1" applyFont="1" applyFill="1" applyBorder="1" applyAlignment="1">
      <alignment horizontal="center"/>
    </xf>
    <xf numFmtId="0" fontId="14" fillId="2" borderId="72" xfId="1" applyFont="1" applyFill="1" applyBorder="1" applyAlignment="1" applyProtection="1">
      <alignment horizontal="center"/>
    </xf>
    <xf numFmtId="2" fontId="14" fillId="11" borderId="75" xfId="1" applyNumberFormat="1" applyFont="1" applyFill="1" applyBorder="1" applyAlignment="1">
      <alignment horizontal="center"/>
    </xf>
    <xf numFmtId="2" fontId="14" fillId="2" borderId="0" xfId="1" applyNumberFormat="1" applyFont="1" applyFill="1" applyBorder="1" applyAlignment="1">
      <alignment horizontal="center"/>
    </xf>
    <xf numFmtId="2" fontId="14" fillId="10" borderId="76" xfId="1" applyNumberFormat="1" applyFont="1" applyFill="1" applyBorder="1" applyAlignment="1">
      <alignment horizontal="center"/>
    </xf>
    <xf numFmtId="0" fontId="14" fillId="2" borderId="79" xfId="1" applyFont="1" applyBorder="1" applyAlignment="1">
      <alignment horizontal="right"/>
    </xf>
    <xf numFmtId="0" fontId="18" fillId="9" borderId="75" xfId="1" applyFont="1" applyFill="1" applyBorder="1" applyAlignment="1" applyProtection="1">
      <alignment horizontal="center"/>
      <protection locked="0"/>
    </xf>
    <xf numFmtId="1" fontId="14" fillId="2" borderId="0" xfId="1" applyNumberFormat="1" applyFont="1" applyFill="1" applyBorder="1" applyAlignment="1">
      <alignment horizontal="center"/>
    </xf>
    <xf numFmtId="0" fontId="14" fillId="2" borderId="63" xfId="1" applyFont="1" applyBorder="1" applyAlignment="1">
      <alignment horizontal="right"/>
    </xf>
    <xf numFmtId="0" fontId="14" fillId="2" borderId="0" xfId="1" applyFont="1" applyBorder="1" applyAlignment="1">
      <alignment horizontal="right"/>
    </xf>
    <xf numFmtId="2" fontId="14" fillId="10" borderId="80" xfId="1" applyNumberFormat="1" applyFont="1" applyFill="1" applyBorder="1" applyAlignment="1">
      <alignment horizontal="center"/>
    </xf>
    <xf numFmtId="171" fontId="17" fillId="11" borderId="81" xfId="1" applyNumberFormat="1" applyFont="1" applyFill="1" applyBorder="1" applyAlignment="1">
      <alignment horizontal="center"/>
    </xf>
    <xf numFmtId="171" fontId="14" fillId="2" borderId="0" xfId="1" applyNumberFormat="1" applyFont="1" applyFill="1" applyBorder="1" applyAlignment="1">
      <alignment horizontal="center"/>
    </xf>
    <xf numFmtId="10" fontId="14" fillId="10" borderId="75" xfId="1" applyNumberFormat="1" applyFont="1" applyFill="1" applyBorder="1" applyAlignment="1">
      <alignment horizontal="center"/>
    </xf>
    <xf numFmtId="0" fontId="14" fillId="2" borderId="77" xfId="1" applyFont="1" applyBorder="1" applyAlignment="1">
      <alignment horizontal="right"/>
    </xf>
    <xf numFmtId="0" fontId="14" fillId="11" borderId="80" xfId="1" applyFont="1" applyFill="1" applyBorder="1" applyAlignment="1">
      <alignment horizontal="center"/>
    </xf>
    <xf numFmtId="0" fontId="17" fillId="2" borderId="0" xfId="1" quotePrefix="1" applyFont="1" applyAlignment="1">
      <alignment horizontal="left"/>
    </xf>
    <xf numFmtId="0" fontId="14" fillId="2" borderId="0" xfId="1" quotePrefix="1" applyFont="1" applyAlignment="1">
      <alignment horizontal="left"/>
    </xf>
    <xf numFmtId="0" fontId="14" fillId="2" borderId="0" xfId="1" applyFont="1" applyAlignment="1">
      <alignment horizontal="left"/>
    </xf>
    <xf numFmtId="0" fontId="18" fillId="9" borderId="0" xfId="1" applyFont="1" applyFill="1" applyAlignment="1" applyProtection="1">
      <alignment horizontal="center"/>
      <protection locked="0"/>
    </xf>
    <xf numFmtId="0" fontId="14" fillId="2" borderId="0" xfId="1" applyFont="1" applyAlignment="1">
      <alignment horizontal="center"/>
    </xf>
    <xf numFmtId="0" fontId="24" fillId="2" borderId="0" xfId="1" applyFont="1"/>
    <xf numFmtId="0" fontId="25" fillId="2" borderId="0" xfId="1" applyFont="1"/>
    <xf numFmtId="0" fontId="17" fillId="2" borderId="82" xfId="1" applyFont="1" applyFill="1" applyBorder="1" applyAlignment="1">
      <alignment horizontal="center"/>
    </xf>
    <xf numFmtId="0" fontId="17" fillId="11" borderId="83" xfId="1" applyFont="1" applyFill="1" applyBorder="1" applyAlignment="1">
      <alignment horizontal="center"/>
    </xf>
    <xf numFmtId="0" fontId="17" fillId="11" borderId="84" xfId="1" applyFont="1" applyFill="1" applyBorder="1" applyAlignment="1">
      <alignment horizontal="center"/>
    </xf>
    <xf numFmtId="0" fontId="17" fillId="11" borderId="85" xfId="1" applyFont="1" applyFill="1" applyBorder="1" applyAlignment="1">
      <alignment horizontal="center" wrapText="1"/>
    </xf>
    <xf numFmtId="0" fontId="17" fillId="11" borderId="58" xfId="1" applyFont="1" applyFill="1" applyBorder="1" applyAlignment="1">
      <alignment horizontal="center" wrapText="1"/>
    </xf>
    <xf numFmtId="0" fontId="26" fillId="2" borderId="0" xfId="1" applyFont="1" applyFill="1" applyBorder="1" applyAlignment="1">
      <alignment horizontal="center" wrapText="1"/>
    </xf>
    <xf numFmtId="0" fontId="14" fillId="2" borderId="63" xfId="1" applyFont="1" applyFill="1" applyBorder="1" applyAlignment="1">
      <alignment horizontal="center"/>
    </xf>
    <xf numFmtId="0" fontId="19" fillId="9" borderId="86" xfId="1" applyFont="1" applyFill="1" applyBorder="1" applyAlignment="1">
      <alignment horizontal="center" wrapText="1"/>
    </xf>
    <xf numFmtId="2" fontId="14" fillId="2" borderId="60" xfId="1" quotePrefix="1" applyNumberFormat="1" applyFont="1" applyFill="1" applyBorder="1" applyAlignment="1">
      <alignment horizontal="center"/>
    </xf>
    <xf numFmtId="2" fontId="14" fillId="2" borderId="86" xfId="1" applyNumberFormat="1" applyFont="1" applyBorder="1" applyAlignment="1">
      <alignment horizontal="center"/>
    </xf>
    <xf numFmtId="2" fontId="14" fillId="2" borderId="62" xfId="1" applyNumberFormat="1" applyFont="1" applyBorder="1" applyAlignment="1">
      <alignment horizontal="center"/>
    </xf>
    <xf numFmtId="0" fontId="14" fillId="2" borderId="56" xfId="1" applyFont="1" applyFill="1" applyBorder="1" applyAlignment="1">
      <alignment horizontal="center"/>
    </xf>
    <xf numFmtId="0" fontId="19" fillId="9" borderId="87" xfId="1" applyFont="1" applyFill="1" applyBorder="1" applyAlignment="1">
      <alignment horizontal="center" wrapText="1"/>
    </xf>
    <xf numFmtId="2" fontId="14" fillId="2" borderId="65" xfId="1" quotePrefix="1" applyNumberFormat="1" applyFont="1" applyFill="1" applyBorder="1" applyAlignment="1">
      <alignment horizontal="center"/>
    </xf>
    <xf numFmtId="2" fontId="14" fillId="2" borderId="87" xfId="1" applyNumberFormat="1" applyFont="1" applyBorder="1" applyAlignment="1">
      <alignment horizontal="center"/>
    </xf>
    <xf numFmtId="2" fontId="14" fillId="2" borderId="64" xfId="1" applyNumberFormat="1" applyFont="1" applyBorder="1" applyAlignment="1">
      <alignment horizontal="center"/>
    </xf>
    <xf numFmtId="0" fontId="14" fillId="2" borderId="77" xfId="1" applyFont="1" applyFill="1" applyBorder="1" applyAlignment="1">
      <alignment horizontal="center"/>
    </xf>
    <xf numFmtId="0" fontId="19" fillId="9" borderId="88" xfId="1" applyFont="1" applyFill="1" applyBorder="1" applyAlignment="1">
      <alignment horizontal="center" wrapText="1"/>
    </xf>
    <xf numFmtId="2" fontId="14" fillId="2" borderId="71" xfId="1" quotePrefix="1" applyNumberFormat="1" applyFont="1" applyFill="1" applyBorder="1" applyAlignment="1">
      <alignment horizontal="center"/>
    </xf>
    <xf numFmtId="2" fontId="14" fillId="2" borderId="88" xfId="1" applyNumberFormat="1" applyFont="1" applyBorder="1" applyAlignment="1">
      <alignment horizontal="center"/>
    </xf>
    <xf numFmtId="2" fontId="14" fillId="2" borderId="78" xfId="1" applyNumberFormat="1" applyFont="1" applyBorder="1" applyAlignment="1">
      <alignment horizontal="center"/>
    </xf>
    <xf numFmtId="0" fontId="14" fillId="2" borderId="0" xfId="1" applyFont="1" applyFill="1" applyBorder="1" applyAlignment="1"/>
    <xf numFmtId="0" fontId="14" fillId="2" borderId="64" xfId="1" applyFont="1" applyBorder="1"/>
    <xf numFmtId="2" fontId="25" fillId="2" borderId="0" xfId="1" applyNumberFormat="1" applyFont="1" applyFill="1" applyBorder="1" applyAlignment="1">
      <alignment horizontal="center"/>
    </xf>
    <xf numFmtId="0" fontId="14" fillId="2" borderId="56" xfId="1" applyFont="1" applyBorder="1" applyAlignment="1">
      <alignment horizontal="center"/>
    </xf>
    <xf numFmtId="10" fontId="17" fillId="2" borderId="0" xfId="1" applyNumberFormat="1" applyFont="1" applyFill="1" applyBorder="1" applyAlignment="1">
      <alignment horizontal="center"/>
    </xf>
    <xf numFmtId="2" fontId="17" fillId="12" borderId="90" xfId="1" applyNumberFormat="1" applyFont="1" applyFill="1" applyBorder="1" applyAlignment="1">
      <alignment horizontal="center"/>
    </xf>
    <xf numFmtId="2" fontId="18" fillId="12" borderId="90" xfId="1" applyNumberFormat="1" applyFont="1" applyFill="1" applyBorder="1" applyAlignment="1">
      <alignment horizontal="center"/>
    </xf>
    <xf numFmtId="10" fontId="26" fillId="2" borderId="0" xfId="1" applyNumberFormat="1" applyFont="1" applyFill="1" applyBorder="1" applyAlignment="1">
      <alignment horizontal="center"/>
    </xf>
    <xf numFmtId="10" fontId="17" fillId="10" borderId="90" xfId="1" applyNumberFormat="1" applyFont="1" applyFill="1" applyBorder="1" applyAlignment="1">
      <alignment horizontal="center"/>
    </xf>
    <xf numFmtId="10" fontId="18" fillId="10" borderId="90" xfId="1" applyNumberFormat="1" applyFont="1" applyFill="1" applyBorder="1" applyAlignment="1">
      <alignment horizontal="center"/>
    </xf>
    <xf numFmtId="0" fontId="14" fillId="2" borderId="77" xfId="1" applyFont="1" applyBorder="1" applyAlignment="1">
      <alignment horizontal="center"/>
    </xf>
    <xf numFmtId="10" fontId="17" fillId="2" borderId="89" xfId="1" applyNumberFormat="1" applyFont="1" applyFill="1" applyBorder="1" applyAlignment="1">
      <alignment horizontal="center"/>
    </xf>
    <xf numFmtId="2" fontId="17" fillId="12" borderId="91" xfId="1" applyNumberFormat="1" applyFont="1" applyFill="1" applyBorder="1" applyAlignment="1">
      <alignment horizontal="center"/>
    </xf>
    <xf numFmtId="2" fontId="18" fillId="12" borderId="91" xfId="1" applyNumberFormat="1" applyFont="1" applyFill="1" applyBorder="1" applyAlignment="1">
      <alignment horizontal="center"/>
    </xf>
    <xf numFmtId="0" fontId="14" fillId="2" borderId="0" xfId="1" applyFont="1" applyBorder="1"/>
    <xf numFmtId="0" fontId="25" fillId="2" borderId="0" xfId="1" applyFont="1" applyFill="1" applyBorder="1" applyAlignment="1">
      <alignment horizontal="center"/>
    </xf>
    <xf numFmtId="0" fontId="14" fillId="2" borderId="0" xfId="1" quotePrefix="1" applyFont="1" applyBorder="1" applyAlignment="1">
      <alignment horizontal="right"/>
    </xf>
    <xf numFmtId="0" fontId="14" fillId="2" borderId="0" xfId="1" applyFont="1" applyBorder="1" applyAlignment="1"/>
    <xf numFmtId="172" fontId="17" fillId="2" borderId="0" xfId="1" applyNumberFormat="1" applyFont="1" applyFill="1" applyBorder="1" applyAlignment="1">
      <alignment horizontal="center"/>
    </xf>
    <xf numFmtId="0" fontId="17" fillId="2" borderId="0" xfId="1" applyFont="1" applyFill="1" applyBorder="1" applyAlignment="1">
      <alignment horizontal="center"/>
    </xf>
    <xf numFmtId="0" fontId="17" fillId="2" borderId="0" xfId="1" quotePrefix="1" applyFont="1" applyBorder="1" applyAlignment="1">
      <alignment horizontal="center"/>
    </xf>
    <xf numFmtId="165" fontId="17" fillId="2" borderId="0" xfId="1" applyNumberFormat="1" applyFont="1" applyFill="1" applyBorder="1" applyAlignment="1">
      <alignment horizontal="center"/>
    </xf>
    <xf numFmtId="0" fontId="16" fillId="2" borderId="0" xfId="1" quotePrefix="1" applyFont="1" applyAlignment="1">
      <alignment horizontal="left"/>
    </xf>
    <xf numFmtId="0" fontId="14" fillId="2" borderId="94" xfId="1" applyFont="1" applyBorder="1" applyAlignment="1">
      <alignment horizontal="right"/>
    </xf>
    <xf numFmtId="2" fontId="14" fillId="2" borderId="94" xfId="1" applyNumberFormat="1" applyFont="1" applyBorder="1" applyAlignment="1">
      <alignment horizontal="center"/>
    </xf>
    <xf numFmtId="0" fontId="19" fillId="9" borderId="94" xfId="1" applyFont="1" applyFill="1" applyBorder="1" applyAlignment="1" applyProtection="1">
      <alignment horizontal="center"/>
      <protection locked="0"/>
    </xf>
    <xf numFmtId="1" fontId="17" fillId="10" borderId="94" xfId="1" applyNumberFormat="1" applyFont="1" applyFill="1" applyBorder="1" applyAlignment="1">
      <alignment horizontal="center"/>
    </xf>
    <xf numFmtId="0" fontId="17" fillId="2" borderId="0" xfId="1" applyFont="1" applyFill="1" applyAlignment="1" applyProtection="1">
      <alignment horizontal="center"/>
      <protection locked="0"/>
    </xf>
    <xf numFmtId="0" fontId="21" fillId="2" borderId="0" xfId="2" applyFont="1" applyFill="1"/>
    <xf numFmtId="0" fontId="28" fillId="2" borderId="0" xfId="1" applyFont="1" applyFill="1"/>
    <xf numFmtId="0" fontId="18" fillId="9" borderId="58" xfId="1" applyFont="1" applyFill="1" applyBorder="1" applyAlignment="1" applyProtection="1">
      <alignment horizontal="center"/>
      <protection locked="0"/>
    </xf>
    <xf numFmtId="0" fontId="17" fillId="2" borderId="53" xfId="1" applyFont="1" applyBorder="1" applyAlignment="1">
      <alignment horizontal="center"/>
    </xf>
    <xf numFmtId="0" fontId="17" fillId="2" borderId="54" xfId="1" applyFont="1" applyBorder="1" applyAlignment="1">
      <alignment horizontal="center"/>
    </xf>
    <xf numFmtId="0" fontId="18" fillId="9" borderId="64" xfId="1" applyFont="1" applyFill="1" applyBorder="1" applyAlignment="1" applyProtection="1">
      <alignment horizontal="center"/>
      <protection locked="0"/>
    </xf>
    <xf numFmtId="171" fontId="14" fillId="2" borderId="86" xfId="1" applyNumberFormat="1" applyFont="1" applyBorder="1" applyAlignment="1">
      <alignment horizontal="center"/>
    </xf>
    <xf numFmtId="0" fontId="18" fillId="9" borderId="95" xfId="1" applyFont="1" applyFill="1" applyBorder="1" applyAlignment="1" applyProtection="1">
      <alignment horizontal="center"/>
      <protection locked="0"/>
    </xf>
    <xf numFmtId="171" fontId="14" fillId="2" borderId="87" xfId="1" applyNumberFormat="1" applyFont="1" applyBorder="1" applyAlignment="1">
      <alignment horizontal="center"/>
    </xf>
    <xf numFmtId="171" fontId="18" fillId="9" borderId="0" xfId="1" applyNumberFormat="1" applyFont="1" applyFill="1" applyBorder="1" applyAlignment="1" applyProtection="1">
      <alignment horizontal="center"/>
      <protection locked="0"/>
    </xf>
    <xf numFmtId="171" fontId="14" fillId="2" borderId="96" xfId="1" applyNumberFormat="1" applyFont="1" applyBorder="1" applyAlignment="1">
      <alignment horizontal="center"/>
    </xf>
    <xf numFmtId="171" fontId="18" fillId="9" borderId="97" xfId="1" applyNumberFormat="1" applyFont="1" applyFill="1" applyBorder="1" applyAlignment="1" applyProtection="1">
      <alignment horizontal="center"/>
      <protection locked="0"/>
    </xf>
    <xf numFmtId="171" fontId="17" fillId="10" borderId="98" xfId="1" applyNumberFormat="1" applyFont="1" applyFill="1" applyBorder="1" applyAlignment="1">
      <alignment horizontal="center"/>
    </xf>
    <xf numFmtId="171" fontId="17" fillId="10" borderId="80" xfId="1" applyNumberFormat="1" applyFont="1" applyFill="1" applyBorder="1" applyAlignment="1">
      <alignment horizontal="center"/>
    </xf>
    <xf numFmtId="0" fontId="18" fillId="9" borderId="99" xfId="1" applyFont="1" applyFill="1" applyBorder="1" applyAlignment="1" applyProtection="1">
      <alignment horizontal="center"/>
      <protection locked="0"/>
    </xf>
    <xf numFmtId="2" fontId="14" fillId="10" borderId="90" xfId="1" applyNumberFormat="1" applyFont="1" applyFill="1" applyBorder="1" applyAlignment="1">
      <alignment horizontal="center"/>
    </xf>
    <xf numFmtId="0" fontId="14" fillId="2" borderId="0" xfId="1" applyFont="1" applyFill="1" applyBorder="1" applyAlignment="1" applyProtection="1">
      <alignment horizontal="center"/>
    </xf>
    <xf numFmtId="2" fontId="14" fillId="11" borderId="90" xfId="1" applyNumberFormat="1" applyFont="1" applyFill="1" applyBorder="1" applyAlignment="1">
      <alignment horizontal="center"/>
    </xf>
    <xf numFmtId="0" fontId="23" fillId="2" borderId="0" xfId="2" applyFont="1" applyBorder="1"/>
    <xf numFmtId="0" fontId="14" fillId="2" borderId="59" xfId="1" applyFont="1" applyBorder="1" applyAlignment="1">
      <alignment horizontal="right"/>
    </xf>
    <xf numFmtId="166" fontId="14" fillId="11" borderId="90" xfId="1" applyNumberFormat="1" applyFont="1" applyFill="1" applyBorder="1" applyAlignment="1" applyProtection="1">
      <alignment horizontal="center"/>
    </xf>
    <xf numFmtId="2" fontId="23" fillId="2" borderId="0" xfId="2" applyNumberFormat="1" applyFont="1" applyFill="1" applyBorder="1" applyAlignment="1">
      <alignment horizontal="center"/>
    </xf>
    <xf numFmtId="0" fontId="14" fillId="2" borderId="100" xfId="1" applyFont="1" applyBorder="1" applyAlignment="1">
      <alignment horizontal="right"/>
    </xf>
    <xf numFmtId="2" fontId="14" fillId="11" borderId="61" xfId="1" applyNumberFormat="1" applyFont="1" applyFill="1" applyBorder="1" applyAlignment="1" applyProtection="1">
      <alignment horizontal="center"/>
    </xf>
    <xf numFmtId="0" fontId="14" fillId="2" borderId="73" xfId="1" applyFont="1" applyBorder="1" applyAlignment="1">
      <alignment horizontal="right"/>
    </xf>
    <xf numFmtId="171" fontId="17" fillId="11" borderId="73" xfId="1" applyNumberFormat="1" applyFont="1" applyFill="1" applyBorder="1" applyAlignment="1">
      <alignment horizontal="center"/>
    </xf>
    <xf numFmtId="2" fontId="23" fillId="2" borderId="0" xfId="2" applyNumberFormat="1" applyFont="1" applyBorder="1" applyAlignment="1">
      <alignment horizontal="center"/>
    </xf>
    <xf numFmtId="0" fontId="14" fillId="2" borderId="75" xfId="1" applyFont="1" applyBorder="1" applyAlignment="1">
      <alignment horizontal="right"/>
    </xf>
    <xf numFmtId="10" fontId="17" fillId="10" borderId="75" xfId="1" applyNumberFormat="1" applyFont="1" applyFill="1" applyBorder="1" applyAlignment="1">
      <alignment horizontal="center"/>
    </xf>
    <xf numFmtId="0" fontId="14" fillId="2" borderId="76" xfId="1" applyFont="1" applyBorder="1" applyAlignment="1">
      <alignment horizontal="right"/>
    </xf>
    <xf numFmtId="0" fontId="17" fillId="11" borderId="76" xfId="1" applyFont="1" applyFill="1" applyBorder="1" applyAlignment="1">
      <alignment horizontal="center"/>
    </xf>
    <xf numFmtId="0" fontId="17" fillId="2" borderId="53" xfId="1" applyFont="1" applyFill="1" applyBorder="1" applyAlignment="1">
      <alignment horizontal="center"/>
    </xf>
    <xf numFmtId="0" fontId="17" fillId="2" borderId="83" xfId="1" applyFont="1" applyFill="1" applyBorder="1" applyAlignment="1">
      <alignment horizontal="center"/>
    </xf>
    <xf numFmtId="0" fontId="17" fillId="2" borderId="85" xfId="1" applyFont="1" applyFill="1" applyBorder="1"/>
    <xf numFmtId="0" fontId="17" fillId="2" borderId="58" xfId="1" applyFont="1" applyFill="1" applyBorder="1" applyAlignment="1">
      <alignment horizontal="center" wrapText="1"/>
    </xf>
    <xf numFmtId="171" fontId="18" fillId="9" borderId="65" xfId="1" applyNumberFormat="1" applyFont="1" applyFill="1" applyBorder="1" applyAlignment="1" applyProtection="1">
      <alignment horizontal="center"/>
      <protection locked="0"/>
    </xf>
    <xf numFmtId="2" fontId="14" fillId="2" borderId="60" xfId="1" applyNumberFormat="1" applyFont="1" applyBorder="1" applyAlignment="1">
      <alignment horizontal="center"/>
    </xf>
    <xf numFmtId="10" fontId="14" fillId="2" borderId="61" xfId="1" applyNumberFormat="1" applyFont="1" applyBorder="1" applyAlignment="1" applyProtection="1">
      <alignment horizontal="center"/>
    </xf>
    <xf numFmtId="2" fontId="14" fillId="2" borderId="65" xfId="1" applyNumberFormat="1" applyFont="1" applyBorder="1" applyAlignment="1">
      <alignment horizontal="center"/>
    </xf>
    <xf numFmtId="10" fontId="14" fillId="2" borderId="57" xfId="1" applyNumberFormat="1" applyFont="1" applyBorder="1" applyAlignment="1" applyProtection="1">
      <alignment horizontal="center"/>
    </xf>
    <xf numFmtId="0" fontId="14" fillId="2" borderId="67" xfId="1" applyFont="1" applyFill="1" applyBorder="1" applyAlignment="1">
      <alignment horizontal="center"/>
    </xf>
    <xf numFmtId="171" fontId="18" fillId="9" borderId="68" xfId="1" applyNumberFormat="1" applyFont="1" applyFill="1" applyBorder="1" applyAlignment="1" applyProtection="1">
      <alignment horizontal="center"/>
      <protection locked="0"/>
    </xf>
    <xf numFmtId="2" fontId="14" fillId="2" borderId="68" xfId="1" applyNumberFormat="1" applyFont="1" applyBorder="1" applyAlignment="1">
      <alignment horizontal="center"/>
    </xf>
    <xf numFmtId="10" fontId="14" fillId="2" borderId="69" xfId="1" applyNumberFormat="1" applyFont="1" applyBorder="1" applyAlignment="1" applyProtection="1">
      <alignment horizontal="center"/>
    </xf>
    <xf numFmtId="0" fontId="14" fillId="2" borderId="0" xfId="1" applyFont="1" applyBorder="1" applyAlignment="1">
      <alignment horizontal="center"/>
    </xf>
    <xf numFmtId="171" fontId="17" fillId="2" borderId="0" xfId="1" applyNumberFormat="1" applyFont="1" applyFill="1" applyBorder="1" applyAlignment="1">
      <alignment horizontal="center"/>
    </xf>
    <xf numFmtId="171" fontId="14" fillId="2" borderId="92" xfId="1" quotePrefix="1" applyNumberFormat="1" applyFont="1" applyBorder="1" applyAlignment="1">
      <alignment horizontal="right"/>
    </xf>
    <xf numFmtId="10" fontId="18" fillId="11" borderId="90" xfId="1" applyNumberFormat="1" applyFont="1" applyFill="1" applyBorder="1" applyAlignment="1">
      <alignment horizontal="center"/>
    </xf>
    <xf numFmtId="0" fontId="14" fillId="2" borderId="64" xfId="1" applyFont="1" applyFill="1" applyBorder="1" applyAlignment="1" applyProtection="1">
      <alignment horizontal="center"/>
    </xf>
    <xf numFmtId="0" fontId="14" fillId="2" borderId="56" xfId="1" applyFont="1" applyBorder="1"/>
    <xf numFmtId="0" fontId="14" fillId="2" borderId="101" xfId="1" applyFont="1" applyBorder="1"/>
    <xf numFmtId="0" fontId="14" fillId="2" borderId="77" xfId="1" applyFont="1" applyBorder="1"/>
    <xf numFmtId="0" fontId="14" fillId="2" borderId="102" xfId="1" applyFont="1" applyBorder="1" applyAlignment="1">
      <alignment horizontal="center"/>
    </xf>
    <xf numFmtId="0" fontId="14" fillId="2" borderId="103" xfId="1" applyFont="1" applyBorder="1" applyAlignment="1">
      <alignment horizontal="right"/>
    </xf>
    <xf numFmtId="0" fontId="18" fillId="11" borderId="76" xfId="1" applyFont="1" applyFill="1" applyBorder="1" applyAlignment="1">
      <alignment horizontal="center"/>
    </xf>
    <xf numFmtId="0" fontId="15" fillId="2" borderId="89" xfId="1" applyFont="1" applyFill="1" applyBorder="1" applyAlignment="1">
      <alignment horizontal="left" vertical="center" wrapText="1"/>
    </xf>
    <xf numFmtId="0" fontId="14" fillId="2" borderId="89" xfId="1" applyFont="1" applyBorder="1"/>
    <xf numFmtId="0" fontId="17" fillId="2" borderId="84" xfId="1" applyFont="1" applyBorder="1" applyAlignment="1">
      <alignment horizontal="center"/>
    </xf>
    <xf numFmtId="0" fontId="14" fillId="2" borderId="84" xfId="1" applyFont="1" applyBorder="1" applyAlignment="1">
      <alignment horizontal="center"/>
    </xf>
    <xf numFmtId="0" fontId="17" fillId="2" borderId="0" xfId="1" applyFont="1" applyBorder="1" applyAlignment="1">
      <alignment horizontal="right"/>
    </xf>
    <xf numFmtId="0" fontId="14" fillId="2" borderId="97" xfId="1" quotePrefix="1" applyFont="1" applyBorder="1" applyAlignment="1"/>
    <xf numFmtId="0" fontId="14" fillId="2" borderId="97" xfId="1" applyFont="1" applyBorder="1" applyAlignment="1"/>
    <xf numFmtId="0" fontId="17" fillId="2" borderId="74" xfId="1" applyFont="1" applyBorder="1" applyAlignment="1"/>
    <xf numFmtId="0" fontId="14" fillId="2" borderId="74" xfId="1" applyFont="1" applyBorder="1" applyAlignment="1"/>
    <xf numFmtId="0" fontId="4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169" fontId="2" fillId="2" borderId="31" xfId="0" applyNumberFormat="1" applyFont="1" applyFill="1" applyBorder="1" applyAlignment="1">
      <alignment horizontal="center" vertical="center"/>
    </xf>
    <xf numFmtId="169" fontId="2" fillId="2" borderId="3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wrapText="1"/>
    </xf>
    <xf numFmtId="0" fontId="10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15" fillId="2" borderId="48" xfId="1" applyFont="1" applyFill="1" applyBorder="1" applyAlignment="1">
      <alignment horizontal="left" vertical="center" wrapText="1"/>
    </xf>
    <xf numFmtId="0" fontId="15" fillId="2" borderId="49" xfId="1" applyFont="1" applyFill="1" applyBorder="1" applyAlignment="1">
      <alignment horizontal="left" vertical="center" wrapText="1"/>
    </xf>
    <xf numFmtId="0" fontId="15" fillId="2" borderId="50" xfId="1" applyFont="1" applyFill="1" applyBorder="1" applyAlignment="1">
      <alignment horizontal="left" vertical="center" wrapText="1"/>
    </xf>
    <xf numFmtId="0" fontId="17" fillId="2" borderId="53" xfId="1" applyFont="1" applyBorder="1" applyAlignment="1">
      <alignment horizontal="center"/>
    </xf>
    <xf numFmtId="0" fontId="17" fillId="2" borderId="55" xfId="1" applyFont="1" applyBorder="1" applyAlignment="1">
      <alignment horizontal="center"/>
    </xf>
    <xf numFmtId="0" fontId="15" fillId="2" borderId="51" xfId="1" applyFont="1" applyFill="1" applyBorder="1" applyAlignment="1">
      <alignment horizontal="left" vertical="center" wrapText="1"/>
    </xf>
    <xf numFmtId="0" fontId="15" fillId="2" borderId="84" xfId="1" applyFont="1" applyFill="1" applyBorder="1" applyAlignment="1">
      <alignment horizontal="left" vertical="center" wrapText="1"/>
    </xf>
    <xf numFmtId="0" fontId="15" fillId="2" borderId="77" xfId="1" applyFont="1" applyFill="1" applyBorder="1" applyAlignment="1">
      <alignment horizontal="left" vertical="center" wrapText="1"/>
    </xf>
    <xf numFmtId="0" fontId="15" fillId="2" borderId="89" xfId="1" applyFont="1" applyFill="1" applyBorder="1" applyAlignment="1">
      <alignment horizontal="left" vertical="center" wrapText="1"/>
    </xf>
    <xf numFmtId="0" fontId="15" fillId="2" borderId="58" xfId="1" applyFont="1" applyFill="1" applyBorder="1" applyAlignment="1">
      <alignment horizontal="left" vertical="center" wrapText="1"/>
    </xf>
    <xf numFmtId="0" fontId="15" fillId="2" borderId="78" xfId="1" applyFont="1" applyFill="1" applyBorder="1" applyAlignment="1">
      <alignment horizontal="left" vertical="center" wrapText="1"/>
    </xf>
    <xf numFmtId="0" fontId="17" fillId="2" borderId="0" xfId="1" quotePrefix="1" applyFont="1" applyBorder="1" applyAlignment="1">
      <alignment horizontal="center"/>
    </xf>
    <xf numFmtId="0" fontId="17" fillId="2" borderId="84" xfId="1" applyFont="1" applyBorder="1" applyAlignment="1">
      <alignment horizontal="center"/>
    </xf>
    <xf numFmtId="0" fontId="17" fillId="2" borderId="92" xfId="1" applyFont="1" applyBorder="1" applyAlignment="1">
      <alignment horizontal="center"/>
    </xf>
    <xf numFmtId="0" fontId="17" fillId="2" borderId="93" xfId="1" applyFont="1" applyBorder="1" applyAlignment="1">
      <alignment horizontal="center"/>
    </xf>
    <xf numFmtId="0" fontId="18" fillId="9" borderId="0" xfId="1" applyFont="1" applyFill="1" applyAlignment="1" applyProtection="1">
      <alignment horizontal="left"/>
      <protection locked="0"/>
    </xf>
    <xf numFmtId="0" fontId="19" fillId="9" borderId="0" xfId="1" applyFont="1" applyFill="1" applyAlignment="1" applyProtection="1">
      <alignment horizontal="left"/>
      <protection locked="0"/>
    </xf>
    <xf numFmtId="0" fontId="15" fillId="2" borderId="48" xfId="1" applyFont="1" applyFill="1" applyBorder="1" applyAlignment="1">
      <alignment horizontal="justify" vertical="center" wrapText="1"/>
    </xf>
    <xf numFmtId="0" fontId="15" fillId="2" borderId="49" xfId="1" applyFont="1" applyFill="1" applyBorder="1" applyAlignment="1">
      <alignment horizontal="justify" vertical="center" wrapText="1"/>
    </xf>
    <xf numFmtId="0" fontId="15" fillId="2" borderId="50" xfId="1" applyFont="1" applyFill="1" applyBorder="1" applyAlignment="1">
      <alignment horizontal="justify" vertical="center" wrapText="1"/>
    </xf>
    <xf numFmtId="0" fontId="17" fillId="2" borderId="54" xfId="1" applyFont="1" applyBorder="1" applyAlignment="1">
      <alignment horizontal="center"/>
    </xf>
    <xf numFmtId="0" fontId="15" fillId="2" borderId="48" xfId="1" applyFont="1" applyBorder="1" applyAlignment="1">
      <alignment horizontal="center"/>
    </xf>
    <xf numFmtId="0" fontId="15" fillId="2" borderId="49" xfId="1" applyFont="1" applyBorder="1" applyAlignment="1">
      <alignment horizontal="center"/>
    </xf>
    <xf numFmtId="0" fontId="15" fillId="2" borderId="50" xfId="1" applyFont="1" applyBorder="1" applyAlignment="1">
      <alignment horizontal="center"/>
    </xf>
    <xf numFmtId="0" fontId="30" fillId="2" borderId="0" xfId="0" applyFont="1" applyFill="1" applyAlignment="1">
      <alignment horizontal="center"/>
    </xf>
    <xf numFmtId="0" fontId="32" fillId="2" borderId="0" xfId="3" applyFont="1" applyFill="1" applyAlignment="1">
      <alignment horizontal="center" vertical="center"/>
    </xf>
    <xf numFmtId="0" fontId="33" fillId="2" borderId="0" xfId="3" applyFont="1" applyFill="1"/>
    <xf numFmtId="0" fontId="34" fillId="2" borderId="0" xfId="3" applyFont="1" applyFill="1" applyAlignment="1">
      <alignment horizontal="center" vertical="center"/>
    </xf>
    <xf numFmtId="0" fontId="35" fillId="2" borderId="0" xfId="3" applyFont="1" applyFill="1" applyAlignment="1">
      <alignment horizontal="left"/>
    </xf>
    <xf numFmtId="0" fontId="36" fillId="2" borderId="44" xfId="3" applyFont="1" applyFill="1" applyBorder="1" applyAlignment="1">
      <alignment horizontal="center" vertical="center"/>
    </xf>
    <xf numFmtId="0" fontId="36" fillId="2" borderId="30" xfId="3" applyFont="1" applyFill="1" applyBorder="1" applyAlignment="1">
      <alignment horizontal="center" vertical="center"/>
    </xf>
    <xf numFmtId="0" fontId="36" fillId="2" borderId="13" xfId="3" applyFont="1" applyFill="1" applyBorder="1" applyAlignment="1">
      <alignment horizontal="center" vertical="center"/>
    </xf>
    <xf numFmtId="0" fontId="37" fillId="2" borderId="10" xfId="3" applyFont="1" applyFill="1" applyBorder="1" applyAlignment="1">
      <alignment horizontal="center" vertical="center"/>
    </xf>
    <xf numFmtId="0" fontId="31" fillId="2" borderId="0" xfId="3" applyFill="1"/>
    <xf numFmtId="0" fontId="38" fillId="2" borderId="0" xfId="3" applyFont="1" applyFill="1" applyAlignment="1">
      <alignment vertical="center"/>
    </xf>
    <xf numFmtId="0" fontId="38" fillId="3" borderId="0" xfId="3" applyFont="1" applyFill="1" applyAlignment="1" applyProtection="1">
      <alignment vertical="center"/>
      <protection locked="0"/>
    </xf>
    <xf numFmtId="0" fontId="39" fillId="3" borderId="0" xfId="3" applyFont="1" applyFill="1" applyAlignment="1" applyProtection="1">
      <alignment horizontal="left" vertical="center"/>
      <protection locked="0"/>
    </xf>
    <xf numFmtId="0" fontId="39" fillId="2" borderId="0" xfId="3" applyFont="1" applyFill="1" applyAlignment="1" applyProtection="1">
      <alignment vertical="center"/>
      <protection locked="0"/>
    </xf>
    <xf numFmtId="0" fontId="39" fillId="3" borderId="0" xfId="3" applyFont="1" applyFill="1" applyAlignment="1" applyProtection="1">
      <alignment vertical="center"/>
      <protection locked="0"/>
    </xf>
    <xf numFmtId="0" fontId="39" fillId="3" borderId="0" xfId="3" applyFont="1" applyFill="1" applyProtection="1">
      <protection locked="0"/>
    </xf>
    <xf numFmtId="170" fontId="39" fillId="3" borderId="0" xfId="3" applyNumberFormat="1" applyFont="1" applyFill="1" applyAlignment="1" applyProtection="1">
      <alignment horizontal="left" vertical="center"/>
      <protection locked="0"/>
    </xf>
    <xf numFmtId="170" fontId="39" fillId="2" borderId="0" xfId="3" applyNumberFormat="1" applyFont="1" applyFill="1" applyAlignment="1">
      <alignment horizontal="left" vertical="center"/>
    </xf>
    <xf numFmtId="0" fontId="37" fillId="2" borderId="0" xfId="3" applyFont="1" applyFill="1" applyAlignment="1">
      <alignment horizontal="left" vertical="center"/>
    </xf>
    <xf numFmtId="0" fontId="38" fillId="2" borderId="0" xfId="3" applyFont="1" applyFill="1" applyAlignment="1">
      <alignment horizontal="left" vertical="center"/>
    </xf>
    <xf numFmtId="0" fontId="39" fillId="2" borderId="0" xfId="3" applyFont="1" applyFill="1" applyAlignment="1">
      <alignment horizontal="right" vertical="center"/>
    </xf>
    <xf numFmtId="0" fontId="38" fillId="2" borderId="0" xfId="3" applyFont="1" applyFill="1" applyAlignment="1">
      <alignment horizontal="center" vertical="center"/>
    </xf>
    <xf numFmtId="0" fontId="39" fillId="2" borderId="0" xfId="3" applyFont="1" applyFill="1" applyAlignment="1">
      <alignment vertical="center"/>
    </xf>
    <xf numFmtId="0" fontId="38" fillId="2" borderId="0" xfId="3" applyFont="1" applyFill="1" applyAlignment="1">
      <alignment vertical="center" wrapText="1"/>
    </xf>
    <xf numFmtId="0" fontId="39" fillId="2" borderId="0" xfId="3" applyFont="1" applyFill="1"/>
    <xf numFmtId="0" fontId="29" fillId="2" borderId="0" xfId="3" applyFont="1" applyFill="1" applyAlignment="1" applyProtection="1">
      <alignment horizontal="left"/>
      <protection locked="0"/>
    </xf>
    <xf numFmtId="0" fontId="38" fillId="2" borderId="0" xfId="3" applyFont="1" applyFill="1" applyAlignment="1">
      <alignment horizontal="right"/>
    </xf>
    <xf numFmtId="2" fontId="40" fillId="3" borderId="0" xfId="3" applyNumberFormat="1" applyFont="1" applyFill="1" applyAlignment="1" applyProtection="1">
      <alignment horizontal="left"/>
      <protection locked="0"/>
    </xf>
    <xf numFmtId="2" fontId="40" fillId="3" borderId="0" xfId="3" applyNumberFormat="1" applyFont="1" applyFill="1" applyAlignment="1" applyProtection="1">
      <alignment horizontal="center"/>
      <protection locked="0"/>
    </xf>
    <xf numFmtId="0" fontId="39" fillId="2" borderId="34" xfId="3" applyFont="1" applyFill="1" applyBorder="1" applyAlignment="1">
      <alignment horizontal="right" vertical="center"/>
    </xf>
    <xf numFmtId="2" fontId="40" fillId="2" borderId="0" xfId="3" applyNumberFormat="1" applyFont="1" applyFill="1" applyAlignment="1" applyProtection="1">
      <alignment horizontal="center"/>
      <protection locked="0"/>
    </xf>
    <xf numFmtId="0" fontId="36" fillId="2" borderId="0" xfId="3" applyFont="1" applyFill="1" applyAlignment="1">
      <alignment vertical="center" wrapText="1"/>
    </xf>
    <xf numFmtId="173" fontId="40" fillId="3" borderId="0" xfId="3" applyNumberFormat="1" applyFont="1" applyFill="1" applyAlignment="1" applyProtection="1">
      <alignment horizontal="center"/>
      <protection locked="0"/>
    </xf>
    <xf numFmtId="2" fontId="39" fillId="2" borderId="0" xfId="3" applyNumberFormat="1" applyFont="1" applyFill="1" applyAlignment="1">
      <alignment horizontal="right"/>
    </xf>
    <xf numFmtId="2" fontId="38" fillId="2" borderId="0" xfId="3" applyNumberFormat="1" applyFont="1" applyFill="1" applyAlignment="1" applyProtection="1">
      <alignment horizontal="center"/>
      <protection locked="0"/>
    </xf>
    <xf numFmtId="2" fontId="38" fillId="2" borderId="0" xfId="3" applyNumberFormat="1" applyFont="1" applyFill="1" applyAlignment="1">
      <alignment horizontal="centerContinuous"/>
    </xf>
    <xf numFmtId="2" fontId="38" fillId="2" borderId="31" xfId="3" applyNumberFormat="1" applyFont="1" applyFill="1" applyBorder="1" applyAlignment="1">
      <alignment horizontal="center" vertical="center"/>
    </xf>
    <xf numFmtId="2" fontId="38" fillId="2" borderId="10" xfId="3" applyNumberFormat="1" applyFont="1" applyFill="1" applyBorder="1" applyAlignment="1">
      <alignment horizontal="center" vertical="center"/>
    </xf>
    <xf numFmtId="2" fontId="38" fillId="2" borderId="35" xfId="3" applyNumberFormat="1" applyFont="1" applyFill="1" applyBorder="1" applyAlignment="1">
      <alignment horizontal="center" vertical="center"/>
    </xf>
    <xf numFmtId="0" fontId="39" fillId="2" borderId="28" xfId="3" applyFont="1" applyFill="1" applyBorder="1" applyAlignment="1">
      <alignment horizontal="center"/>
    </xf>
    <xf numFmtId="2" fontId="40" fillId="3" borderId="28" xfId="3" applyNumberFormat="1" applyFont="1" applyFill="1" applyBorder="1" applyAlignment="1" applyProtection="1">
      <alignment horizontal="center"/>
      <protection locked="0"/>
    </xf>
    <xf numFmtId="166" fontId="39" fillId="2" borderId="39" xfId="3" applyNumberFormat="1" applyFont="1" applyFill="1" applyBorder="1" applyAlignment="1">
      <alignment horizontal="center"/>
    </xf>
    <xf numFmtId="171" fontId="40" fillId="3" borderId="28" xfId="3" applyNumberFormat="1" applyFont="1" applyFill="1" applyBorder="1" applyAlignment="1" applyProtection="1">
      <alignment horizontal="center"/>
      <protection locked="0"/>
    </xf>
    <xf numFmtId="164" fontId="39" fillId="2" borderId="39" xfId="3" applyNumberFormat="1" applyFont="1" applyFill="1" applyBorder="1" applyAlignment="1">
      <alignment horizontal="center"/>
    </xf>
    <xf numFmtId="10" fontId="39" fillId="2" borderId="28" xfId="3" applyNumberFormat="1" applyFont="1" applyFill="1" applyBorder="1" applyAlignment="1">
      <alignment horizontal="center"/>
    </xf>
    <xf numFmtId="164" fontId="39" fillId="2" borderId="28" xfId="3" applyNumberFormat="1" applyFont="1" applyFill="1" applyBorder="1" applyAlignment="1">
      <alignment horizontal="center"/>
    </xf>
    <xf numFmtId="0" fontId="39" fillId="2" borderId="17" xfId="3" applyFont="1" applyFill="1" applyBorder="1" applyAlignment="1">
      <alignment horizontal="center"/>
    </xf>
    <xf numFmtId="2" fontId="40" fillId="3" borderId="17" xfId="3" applyNumberFormat="1" applyFont="1" applyFill="1" applyBorder="1" applyAlignment="1" applyProtection="1">
      <alignment horizontal="center"/>
      <protection locked="0"/>
    </xf>
    <xf numFmtId="166" fontId="39" fillId="2" borderId="11" xfId="3" applyNumberFormat="1" applyFont="1" applyFill="1" applyBorder="1" applyAlignment="1">
      <alignment horizontal="center"/>
    </xf>
    <xf numFmtId="171" fontId="40" fillId="3" borderId="17" xfId="3" applyNumberFormat="1" applyFont="1" applyFill="1" applyBorder="1" applyAlignment="1" applyProtection="1">
      <alignment horizontal="center"/>
      <protection locked="0"/>
    </xf>
    <xf numFmtId="164" fontId="39" fillId="2" borderId="11" xfId="3" applyNumberFormat="1" applyFont="1" applyFill="1" applyBorder="1" applyAlignment="1">
      <alignment horizontal="center"/>
    </xf>
    <xf numFmtId="10" fontId="39" fillId="2" borderId="17" xfId="3" applyNumberFormat="1" applyFont="1" applyFill="1" applyBorder="1" applyAlignment="1">
      <alignment horizontal="center"/>
    </xf>
    <xf numFmtId="164" fontId="39" fillId="2" borderId="17" xfId="3" applyNumberFormat="1" applyFont="1" applyFill="1" applyBorder="1" applyAlignment="1">
      <alignment horizontal="center"/>
    </xf>
    <xf numFmtId="0" fontId="39" fillId="2" borderId="18" xfId="3" applyFont="1" applyFill="1" applyBorder="1" applyAlignment="1">
      <alignment horizontal="center"/>
    </xf>
    <xf numFmtId="2" fontId="40" fillId="3" borderId="18" xfId="3" applyNumberFormat="1" applyFont="1" applyFill="1" applyBorder="1" applyAlignment="1" applyProtection="1">
      <alignment horizontal="center"/>
      <protection locked="0"/>
    </xf>
    <xf numFmtId="166" fontId="39" fillId="2" borderId="43" xfId="3" applyNumberFormat="1" applyFont="1" applyFill="1" applyBorder="1" applyAlignment="1">
      <alignment horizontal="center"/>
    </xf>
    <xf numFmtId="171" fontId="40" fillId="3" borderId="18" xfId="3" applyNumberFormat="1" applyFont="1" applyFill="1" applyBorder="1" applyAlignment="1" applyProtection="1">
      <alignment horizontal="center"/>
      <protection locked="0"/>
    </xf>
    <xf numFmtId="164" fontId="39" fillId="2" borderId="43" xfId="3" applyNumberFormat="1" applyFont="1" applyFill="1" applyBorder="1" applyAlignment="1">
      <alignment horizontal="center"/>
    </xf>
    <xf numFmtId="10" fontId="39" fillId="2" borderId="18" xfId="3" applyNumberFormat="1" applyFont="1" applyFill="1" applyBorder="1" applyAlignment="1">
      <alignment horizontal="center"/>
    </xf>
    <xf numFmtId="164" fontId="39" fillId="2" borderId="18" xfId="3" applyNumberFormat="1" applyFont="1" applyFill="1" applyBorder="1" applyAlignment="1">
      <alignment horizontal="center"/>
    </xf>
    <xf numFmtId="0" fontId="39" fillId="2" borderId="20" xfId="3" applyFont="1" applyFill="1" applyBorder="1" applyAlignment="1">
      <alignment horizontal="right"/>
    </xf>
    <xf numFmtId="164" fontId="38" fillId="7" borderId="28" xfId="3" applyNumberFormat="1" applyFont="1" applyFill="1" applyBorder="1" applyAlignment="1">
      <alignment horizontal="center"/>
    </xf>
    <xf numFmtId="10" fontId="38" fillId="7" borderId="41" xfId="3" applyNumberFormat="1" applyFont="1" applyFill="1" applyBorder="1" applyAlignment="1">
      <alignment horizontal="center"/>
    </xf>
    <xf numFmtId="166" fontId="38" fillId="7" borderId="12" xfId="3" applyNumberFormat="1" applyFont="1" applyFill="1" applyBorder="1" applyAlignment="1">
      <alignment horizontal="center"/>
    </xf>
    <xf numFmtId="2" fontId="39" fillId="2" borderId="45" xfId="3" applyNumberFormat="1" applyFont="1" applyFill="1" applyBorder="1"/>
    <xf numFmtId="164" fontId="39" fillId="8" borderId="45" xfId="3" applyNumberFormat="1" applyFont="1" applyFill="1" applyBorder="1"/>
    <xf numFmtId="0" fontId="39" fillId="2" borderId="40" xfId="3" applyFont="1" applyFill="1" applyBorder="1" applyAlignment="1">
      <alignment horizontal="right"/>
    </xf>
    <xf numFmtId="10" fontId="39" fillId="6" borderId="17" xfId="3" applyNumberFormat="1" applyFont="1" applyFill="1" applyBorder="1" applyAlignment="1">
      <alignment horizontal="center"/>
    </xf>
    <xf numFmtId="10" fontId="39" fillId="2" borderId="0" xfId="3" applyNumberFormat="1" applyFont="1" applyFill="1" applyAlignment="1">
      <alignment horizontal="center"/>
    </xf>
    <xf numFmtId="0" fontId="39" fillId="2" borderId="24" xfId="3" applyFont="1" applyFill="1" applyBorder="1" applyAlignment="1">
      <alignment horizontal="right"/>
    </xf>
    <xf numFmtId="0" fontId="39" fillId="7" borderId="18" xfId="3" applyFont="1" applyFill="1" applyBorder="1" applyAlignment="1">
      <alignment horizontal="center"/>
    </xf>
    <xf numFmtId="0" fontId="39" fillId="2" borderId="0" xfId="3" applyFont="1" applyFill="1" applyAlignment="1">
      <alignment horizontal="center"/>
    </xf>
    <xf numFmtId="2" fontId="39" fillId="2" borderId="46" xfId="3" applyNumberFormat="1" applyFont="1" applyFill="1" applyBorder="1"/>
    <xf numFmtId="2" fontId="39" fillId="8" borderId="45" xfId="3" applyNumberFormat="1" applyFont="1" applyFill="1" applyBorder="1"/>
    <xf numFmtId="2" fontId="39" fillId="2" borderId="47" xfId="3" applyNumberFormat="1" applyFont="1" applyFill="1" applyBorder="1"/>
    <xf numFmtId="0" fontId="37" fillId="2" borderId="0" xfId="3" applyFont="1" applyFill="1" applyAlignment="1">
      <alignment vertical="center"/>
    </xf>
    <xf numFmtId="0" fontId="39" fillId="2" borderId="0" xfId="3" applyFont="1" applyFill="1" applyAlignment="1">
      <alignment horizontal="left" vertical="center"/>
    </xf>
    <xf numFmtId="0" fontId="38" fillId="2" borderId="0" xfId="3" applyFont="1" applyFill="1" applyAlignment="1" applyProtection="1">
      <alignment horizontal="center" vertical="center"/>
      <protection locked="0"/>
    </xf>
    <xf numFmtId="0" fontId="39" fillId="2" borderId="0" xfId="3" applyFont="1" applyFill="1" applyAlignment="1">
      <alignment horizontal="center" vertical="center"/>
    </xf>
    <xf numFmtId="174" fontId="40" fillId="3" borderId="0" xfId="3" applyNumberFormat="1" applyFont="1" applyFill="1" applyAlignment="1" applyProtection="1">
      <alignment horizontal="center"/>
      <protection locked="0"/>
    </xf>
    <xf numFmtId="175" fontId="40" fillId="3" borderId="0" xfId="3" applyNumberFormat="1" applyFont="1" applyFill="1" applyAlignment="1" applyProtection="1">
      <alignment horizontal="center"/>
      <protection locked="0"/>
    </xf>
    <xf numFmtId="166" fontId="38" fillId="2" borderId="0" xfId="3" applyNumberFormat="1" applyFont="1" applyFill="1" applyAlignment="1" applyProtection="1">
      <alignment horizontal="center" vertical="center"/>
      <protection locked="0"/>
    </xf>
    <xf numFmtId="176" fontId="40" fillId="3" borderId="0" xfId="3" applyNumberFormat="1" applyFont="1" applyFill="1" applyAlignment="1" applyProtection="1">
      <alignment horizontal="center"/>
      <protection locked="0"/>
    </xf>
    <xf numFmtId="2" fontId="38" fillId="2" borderId="44" xfId="3" applyNumberFormat="1" applyFont="1" applyFill="1" applyBorder="1" applyAlignment="1">
      <alignment horizontal="center" vertical="center"/>
    </xf>
    <xf numFmtId="2" fontId="38" fillId="2" borderId="13" xfId="3" applyNumberFormat="1" applyFont="1" applyFill="1" applyBorder="1" applyAlignment="1">
      <alignment horizontal="center" vertical="center"/>
    </xf>
    <xf numFmtId="2" fontId="38" fillId="2" borderId="0" xfId="3" applyNumberFormat="1" applyFont="1" applyFill="1" applyAlignment="1">
      <alignment vertical="center"/>
    </xf>
    <xf numFmtId="2" fontId="38" fillId="2" borderId="12" xfId="3" applyNumberFormat="1" applyFont="1" applyFill="1" applyBorder="1" applyAlignment="1">
      <alignment horizontal="center" vertical="center"/>
    </xf>
    <xf numFmtId="2" fontId="38" fillId="2" borderId="33" xfId="3" applyNumberFormat="1" applyFont="1" applyFill="1" applyBorder="1" applyAlignment="1">
      <alignment horizontal="center" vertical="center"/>
    </xf>
    <xf numFmtId="2" fontId="38" fillId="2" borderId="12" xfId="3" applyNumberFormat="1" applyFont="1" applyFill="1" applyBorder="1" applyAlignment="1">
      <alignment vertical="center"/>
    </xf>
    <xf numFmtId="2" fontId="38" fillId="2" borderId="0" xfId="3" applyNumberFormat="1" applyFont="1" applyFill="1" applyAlignment="1">
      <alignment horizontal="center" vertical="center"/>
    </xf>
    <xf numFmtId="0" fontId="39" fillId="2" borderId="20" xfId="3" applyFont="1" applyFill="1" applyBorder="1" applyAlignment="1">
      <alignment horizontal="center"/>
    </xf>
    <xf numFmtId="2" fontId="40" fillId="3" borderId="20" xfId="3" applyNumberFormat="1" applyFont="1" applyFill="1" applyBorder="1" applyAlignment="1" applyProtection="1">
      <alignment horizontal="center"/>
      <protection locked="0"/>
    </xf>
    <xf numFmtId="171" fontId="40" fillId="3" borderId="21" xfId="3" applyNumberFormat="1" applyFont="1" applyFill="1" applyBorder="1" applyAlignment="1" applyProtection="1">
      <alignment horizontal="center"/>
      <protection locked="0"/>
    </xf>
    <xf numFmtId="2" fontId="40" fillId="3" borderId="23" xfId="3" applyNumberFormat="1" applyFont="1" applyFill="1" applyBorder="1" applyAlignment="1" applyProtection="1">
      <alignment horizontal="center"/>
      <protection locked="0"/>
    </xf>
    <xf numFmtId="171" fontId="39" fillId="2" borderId="39" xfId="3" applyNumberFormat="1" applyFont="1" applyFill="1" applyBorder="1" applyAlignment="1">
      <alignment horizontal="center" vertical="center"/>
    </xf>
    <xf numFmtId="166" fontId="39" fillId="2" borderId="28" xfId="3" applyNumberFormat="1" applyFont="1" applyFill="1" applyBorder="1" applyAlignment="1">
      <alignment horizontal="center" vertical="center"/>
    </xf>
    <xf numFmtId="2" fontId="39" fillId="2" borderId="29" xfId="3" applyNumberFormat="1" applyFont="1" applyFill="1" applyBorder="1" applyAlignment="1">
      <alignment horizontal="center"/>
    </xf>
    <xf numFmtId="2" fontId="39" fillId="2" borderId="39" xfId="3" applyNumberFormat="1" applyFont="1" applyFill="1" applyBorder="1" applyAlignment="1">
      <alignment horizontal="center"/>
    </xf>
    <xf numFmtId="2" fontId="39" fillId="2" borderId="0" xfId="3" applyNumberFormat="1" applyFont="1" applyFill="1" applyAlignment="1">
      <alignment horizontal="center"/>
    </xf>
    <xf numFmtId="0" fontId="39" fillId="2" borderId="40" xfId="3" applyFont="1" applyFill="1" applyBorder="1" applyAlignment="1">
      <alignment horizontal="center"/>
    </xf>
    <xf numFmtId="2" fontId="40" fillId="3" borderId="40" xfId="3" applyNumberFormat="1" applyFont="1" applyFill="1" applyBorder="1" applyAlignment="1" applyProtection="1">
      <alignment horizontal="center"/>
      <protection locked="0"/>
    </xf>
    <xf numFmtId="171" fontId="40" fillId="3" borderId="36" xfId="3" applyNumberFormat="1" applyFont="1" applyFill="1" applyBorder="1" applyAlignment="1" applyProtection="1">
      <alignment horizontal="center"/>
      <protection locked="0"/>
    </xf>
    <xf numFmtId="2" fontId="40" fillId="3" borderId="42" xfId="3" applyNumberFormat="1" applyFont="1" applyFill="1" applyBorder="1" applyAlignment="1" applyProtection="1">
      <alignment horizontal="center"/>
      <protection locked="0"/>
    </xf>
    <xf numFmtId="171" fontId="39" fillId="2" borderId="11" xfId="3" applyNumberFormat="1" applyFont="1" applyFill="1" applyBorder="1" applyAlignment="1">
      <alignment horizontal="center" vertical="center"/>
    </xf>
    <xf numFmtId="166" fontId="39" fillId="2" borderId="17" xfId="3" applyNumberFormat="1" applyFont="1" applyFill="1" applyBorder="1" applyAlignment="1">
      <alignment horizontal="center" vertical="center"/>
    </xf>
    <xf numFmtId="2" fontId="39" fillId="2" borderId="16" xfId="3" applyNumberFormat="1" applyFont="1" applyFill="1" applyBorder="1" applyAlignment="1">
      <alignment horizontal="center"/>
    </xf>
    <xf numFmtId="2" fontId="39" fillId="2" borderId="11" xfId="3" applyNumberFormat="1" applyFont="1" applyFill="1" applyBorder="1" applyAlignment="1">
      <alignment horizontal="center"/>
    </xf>
    <xf numFmtId="0" fontId="39" fillId="2" borderId="24" xfId="3" applyFont="1" applyFill="1" applyBorder="1" applyAlignment="1">
      <alignment horizontal="center"/>
    </xf>
    <xf numFmtId="2" fontId="40" fillId="3" borderId="24" xfId="3" applyNumberFormat="1" applyFont="1" applyFill="1" applyBorder="1" applyAlignment="1" applyProtection="1">
      <alignment horizontal="center"/>
      <protection locked="0"/>
    </xf>
    <xf numFmtId="171" fontId="40" fillId="3" borderId="25" xfId="3" applyNumberFormat="1" applyFont="1" applyFill="1" applyBorder="1" applyAlignment="1" applyProtection="1">
      <alignment horizontal="center"/>
      <protection locked="0"/>
    </xf>
    <xf numFmtId="2" fontId="40" fillId="3" borderId="27" xfId="3" applyNumberFormat="1" applyFont="1" applyFill="1" applyBorder="1" applyAlignment="1" applyProtection="1">
      <alignment horizontal="center"/>
      <protection locked="0"/>
    </xf>
    <xf numFmtId="0" fontId="39" fillId="2" borderId="43" xfId="3" applyFont="1" applyFill="1" applyBorder="1" applyAlignment="1">
      <alignment horizontal="center" vertical="center"/>
    </xf>
    <xf numFmtId="166" fontId="39" fillId="2" borderId="18" xfId="3" applyNumberFormat="1" applyFont="1" applyFill="1" applyBorder="1" applyAlignment="1">
      <alignment horizontal="center" vertical="center"/>
    </xf>
    <xf numFmtId="2" fontId="39" fillId="2" borderId="19" xfId="3" applyNumberFormat="1" applyFont="1" applyFill="1" applyBorder="1" applyAlignment="1">
      <alignment horizontal="center"/>
    </xf>
    <xf numFmtId="2" fontId="39" fillId="2" borderId="43" xfId="3" applyNumberFormat="1" applyFont="1" applyFill="1" applyBorder="1" applyAlignment="1">
      <alignment horizontal="center"/>
    </xf>
    <xf numFmtId="0" fontId="39" fillId="2" borderId="38" xfId="3" applyFont="1" applyFill="1" applyBorder="1" applyAlignment="1">
      <alignment horizontal="right"/>
    </xf>
    <xf numFmtId="166" fontId="38" fillId="7" borderId="14" xfId="3" applyNumberFormat="1" applyFont="1" applyFill="1" applyBorder="1" applyAlignment="1">
      <alignment horizontal="center"/>
    </xf>
    <xf numFmtId="2" fontId="40" fillId="7" borderId="14" xfId="3" applyNumberFormat="1" applyFont="1" applyFill="1" applyBorder="1" applyAlignment="1">
      <alignment horizontal="center"/>
    </xf>
    <xf numFmtId="2" fontId="40" fillId="7" borderId="38" xfId="3" applyNumberFormat="1" applyFont="1" applyFill="1" applyBorder="1" applyAlignment="1">
      <alignment horizontal="center"/>
    </xf>
    <xf numFmtId="10" fontId="40" fillId="7" borderId="14" xfId="3" applyNumberFormat="1" applyFont="1" applyFill="1" applyBorder="1" applyAlignment="1">
      <alignment horizontal="center"/>
    </xf>
    <xf numFmtId="2" fontId="40" fillId="2" borderId="0" xfId="3" applyNumberFormat="1" applyFont="1" applyFill="1" applyAlignment="1">
      <alignment horizontal="center"/>
    </xf>
    <xf numFmtId="10" fontId="41" fillId="2" borderId="17" xfId="3" applyNumberFormat="1" applyFont="1" applyFill="1" applyBorder="1" applyAlignment="1">
      <alignment horizontal="center"/>
    </xf>
    <xf numFmtId="10" fontId="41" fillId="6" borderId="40" xfId="3" applyNumberFormat="1" applyFont="1" applyFill="1" applyBorder="1" applyAlignment="1">
      <alignment horizontal="center"/>
    </xf>
    <xf numFmtId="10" fontId="41" fillId="6" borderId="17" xfId="3" applyNumberFormat="1" applyFont="1" applyFill="1" applyBorder="1" applyAlignment="1">
      <alignment horizontal="center"/>
    </xf>
    <xf numFmtId="10" fontId="41" fillId="2" borderId="0" xfId="3" applyNumberFormat="1" applyFont="1" applyFill="1" applyAlignment="1">
      <alignment horizontal="center"/>
    </xf>
    <xf numFmtId="0" fontId="41" fillId="7" borderId="18" xfId="3" applyFont="1" applyFill="1" applyBorder="1" applyAlignment="1">
      <alignment horizontal="center"/>
    </xf>
    <xf numFmtId="0" fontId="41" fillId="7" borderId="24" xfId="3" applyFont="1" applyFill="1" applyBorder="1" applyAlignment="1">
      <alignment horizontal="center"/>
    </xf>
    <xf numFmtId="0" fontId="41" fillId="2" borderId="0" xfId="3" applyFont="1" applyFill="1" applyAlignment="1">
      <alignment horizontal="center"/>
    </xf>
    <xf numFmtId="0" fontId="36" fillId="2" borderId="9" xfId="3" applyFont="1" applyFill="1" applyBorder="1" applyAlignment="1">
      <alignment horizontal="left" vertical="center" wrapText="1"/>
    </xf>
    <xf numFmtId="0" fontId="39" fillId="2" borderId="9" xfId="3" applyFont="1" applyFill="1" applyBorder="1" applyAlignment="1">
      <alignment vertical="center"/>
    </xf>
    <xf numFmtId="0" fontId="38" fillId="2" borderId="10" xfId="3" applyFont="1" applyFill="1" applyBorder="1" applyAlignment="1">
      <alignment horizontal="center" vertical="center"/>
    </xf>
    <xf numFmtId="0" fontId="38" fillId="2" borderId="10" xfId="3" applyFont="1" applyFill="1" applyBorder="1" applyAlignment="1">
      <alignment horizontal="center" vertical="center"/>
    </xf>
    <xf numFmtId="0" fontId="39" fillId="2" borderId="10" xfId="3" applyFont="1" applyFill="1" applyBorder="1" applyAlignment="1">
      <alignment horizontal="center" vertical="center"/>
    </xf>
    <xf numFmtId="0" fontId="38" fillId="2" borderId="0" xfId="3" applyFont="1" applyFill="1" applyAlignment="1">
      <alignment horizontal="right" vertical="center"/>
    </xf>
    <xf numFmtId="0" fontId="39" fillId="2" borderId="7" xfId="3" applyFont="1" applyFill="1" applyBorder="1" applyAlignment="1" applyProtection="1">
      <alignment vertical="center"/>
      <protection locked="0"/>
    </xf>
    <xf numFmtId="0" fontId="39" fillId="2" borderId="7" xfId="3" applyFont="1" applyFill="1" applyBorder="1" applyAlignment="1">
      <alignment vertical="center"/>
    </xf>
    <xf numFmtId="0" fontId="38" fillId="2" borderId="11" xfId="3" applyFont="1" applyFill="1" applyBorder="1" applyAlignment="1" applyProtection="1">
      <alignment vertical="center"/>
      <protection locked="0"/>
    </xf>
    <xf numFmtId="0" fontId="38" fillId="2" borderId="11" xfId="3" applyFont="1" applyFill="1" applyBorder="1" applyAlignment="1">
      <alignment vertical="center"/>
    </xf>
    <xf numFmtId="0" fontId="39" fillId="2" borderId="11" xfId="3" applyFont="1" applyFill="1" applyBorder="1" applyAlignment="1">
      <alignment vertical="center"/>
    </xf>
    <xf numFmtId="2" fontId="39" fillId="2" borderId="0" xfId="3" applyNumberFormat="1" applyFont="1" applyFill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3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A20151148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rtesunate"/>
      <sheetName val="sodium bicarbonate"/>
      <sheetName val="sodium chloride"/>
    </sheetNames>
    <sheetDataSet>
      <sheetData sheetId="0"/>
      <sheetData sheetId="1">
        <row r="46">
          <cell r="C46" t="str">
            <v>% Deviation from mean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C20" sqref="C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12" t="s">
        <v>0</v>
      </c>
      <c r="B15" s="312"/>
      <c r="C15" s="312"/>
      <c r="D15" s="312"/>
      <c r="E15" s="31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345">
        <f>artesunate!D43</f>
        <v>23.2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</f>
        <v>4.6399999999999997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23390109</v>
      </c>
      <c r="C24" s="18">
        <v>9329.2999999999993</v>
      </c>
      <c r="D24" s="19">
        <v>1.1000000000000001</v>
      </c>
      <c r="E24" s="20">
        <v>13.9</v>
      </c>
    </row>
    <row r="25" spans="1:6" ht="16.5" customHeight="1" x14ac:dyDescent="0.3">
      <c r="A25" s="17">
        <v>2</v>
      </c>
      <c r="B25" s="18">
        <v>23446585</v>
      </c>
      <c r="C25" s="18">
        <v>9332.1</v>
      </c>
      <c r="D25" s="19">
        <v>1.1000000000000001</v>
      </c>
      <c r="E25" s="19">
        <v>13.9</v>
      </c>
    </row>
    <row r="26" spans="1:6" ht="16.5" customHeight="1" x14ac:dyDescent="0.3">
      <c r="A26" s="17">
        <v>3</v>
      </c>
      <c r="B26" s="18">
        <v>23338688</v>
      </c>
      <c r="C26" s="18">
        <v>9377</v>
      </c>
      <c r="D26" s="19">
        <v>1.1000000000000001</v>
      </c>
      <c r="E26" s="19">
        <v>13.9</v>
      </c>
    </row>
    <row r="27" spans="1:6" ht="16.5" customHeight="1" x14ac:dyDescent="0.3">
      <c r="A27" s="17">
        <v>4</v>
      </c>
      <c r="B27" s="18">
        <v>23355142</v>
      </c>
      <c r="C27" s="18">
        <v>9383</v>
      </c>
      <c r="D27" s="19">
        <v>1.1000000000000001</v>
      </c>
      <c r="E27" s="19">
        <v>13.9</v>
      </c>
    </row>
    <row r="28" spans="1:6" ht="16.5" customHeight="1" x14ac:dyDescent="0.3">
      <c r="A28" s="17">
        <v>5</v>
      </c>
      <c r="B28" s="18">
        <v>23415918</v>
      </c>
      <c r="C28" s="18">
        <v>9335.7999999999993</v>
      </c>
      <c r="D28" s="19">
        <v>1.1000000000000001</v>
      </c>
      <c r="E28" s="19">
        <v>13.9</v>
      </c>
    </row>
    <row r="29" spans="1:6" ht="16.5" customHeight="1" x14ac:dyDescent="0.3">
      <c r="A29" s="17">
        <v>6</v>
      </c>
      <c r="B29" s="21">
        <v>23403916</v>
      </c>
      <c r="C29" s="21">
        <v>9327.2999999999993</v>
      </c>
      <c r="D29" s="22">
        <v>1.1000000000000001</v>
      </c>
      <c r="E29" s="22">
        <v>13.9</v>
      </c>
    </row>
    <row r="30" spans="1:6" ht="16.5" customHeight="1" x14ac:dyDescent="0.3">
      <c r="A30" s="23" t="s">
        <v>18</v>
      </c>
      <c r="B30" s="24">
        <f>AVERAGE(B24:B29)</f>
        <v>23391726.333333332</v>
      </c>
      <c r="C30" s="25">
        <f>AVERAGE(C24:C29)</f>
        <v>9347.4166666666661</v>
      </c>
      <c r="D30" s="26">
        <f>AVERAGE(D24:D29)</f>
        <v>1.0999999999999999</v>
      </c>
      <c r="E30" s="26">
        <f>AVERAGE(E24:E29)</f>
        <v>13.9</v>
      </c>
    </row>
    <row r="31" spans="1:6" ht="16.5" customHeight="1" x14ac:dyDescent="0.3">
      <c r="A31" s="27" t="s">
        <v>19</v>
      </c>
      <c r="B31" s="28">
        <f>(STDEV(B24:B29)/B30)</f>
        <v>1.6990046680863192E-3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13" t="s">
        <v>26</v>
      </c>
      <c r="C59" s="31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16" workbookViewId="0">
      <selection activeCell="B50" sqref="B50:C50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19" t="s">
        <v>31</v>
      </c>
      <c r="B8" s="319"/>
      <c r="C8" s="319"/>
      <c r="D8" s="319"/>
      <c r="E8" s="319"/>
      <c r="F8" s="319"/>
      <c r="G8" s="319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20" t="s">
        <v>32</v>
      </c>
      <c r="B10" s="320"/>
      <c r="C10" s="320"/>
      <c r="D10" s="320"/>
      <c r="E10" s="320"/>
      <c r="F10" s="320"/>
      <c r="G10" s="320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14" t="s">
        <v>33</v>
      </c>
      <c r="B11" s="314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14" t="s">
        <v>34</v>
      </c>
      <c r="B12" s="314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14" t="s">
        <v>35</v>
      </c>
      <c r="B13" s="314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14" t="s">
        <v>36</v>
      </c>
      <c r="B14" s="314"/>
      <c r="C14" s="318" t="s">
        <v>11</v>
      </c>
      <c r="D14" s="318"/>
      <c r="E14" s="318"/>
      <c r="F14" s="318"/>
      <c r="G14" s="318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14" t="s">
        <v>37</v>
      </c>
      <c r="B15" s="314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14" t="s">
        <v>38</v>
      </c>
      <c r="B16" s="314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15" t="s">
        <v>1</v>
      </c>
      <c r="B18" s="315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10522.93</v>
      </c>
      <c r="C21" s="83">
        <v>10456.370000000001</v>
      </c>
      <c r="D21" s="84">
        <f t="shared" ref="D21:D40" si="0">B21-C21</f>
        <v>66.559999999999491</v>
      </c>
      <c r="E21" s="85">
        <f t="shared" ref="E21:E40" si="1">(D21-$D$43)/$D$43</f>
        <v>2.3727735691302043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10486.07</v>
      </c>
      <c r="C22" s="88">
        <v>10421.950000000001</v>
      </c>
      <c r="D22" s="89">
        <f t="shared" si="0"/>
        <v>64.119999999998981</v>
      </c>
      <c r="E22" s="85">
        <f t="shared" si="1"/>
        <v>2.2491322303579766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10327.51</v>
      </c>
      <c r="C23" s="88">
        <v>10261.39</v>
      </c>
      <c r="D23" s="89">
        <f t="shared" si="0"/>
        <v>66.1200000000008</v>
      </c>
      <c r="E23" s="85">
        <f t="shared" si="1"/>
        <v>2.3504775900074146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10548.64</v>
      </c>
      <c r="C24" s="88">
        <v>10483.450000000001</v>
      </c>
      <c r="D24" s="89">
        <f t="shared" si="0"/>
        <v>65.18999999999869</v>
      </c>
      <c r="E24" s="85">
        <f t="shared" si="1"/>
        <v>2.303351997770362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10438.98</v>
      </c>
      <c r="C25" s="88">
        <v>10375.200000000001</v>
      </c>
      <c r="D25" s="89">
        <f t="shared" si="0"/>
        <v>63.779999999998836</v>
      </c>
      <c r="E25" s="85">
        <f t="shared" si="1"/>
        <v>2.2319035192175805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10364.16</v>
      </c>
      <c r="C26" s="88">
        <v>10295.24</v>
      </c>
      <c r="D26" s="89">
        <f t="shared" si="0"/>
        <v>68.920000000000073</v>
      </c>
      <c r="E26" s="85">
        <f t="shared" si="1"/>
        <v>2.492361093516462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/>
      <c r="C27" s="88"/>
      <c r="D27" s="89">
        <f t="shared" si="0"/>
        <v>0</v>
      </c>
      <c r="E27" s="85">
        <f t="shared" si="1"/>
        <v>-1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/>
      <c r="C28" s="88"/>
      <c r="D28" s="89">
        <f t="shared" si="0"/>
        <v>0</v>
      </c>
      <c r="E28" s="85">
        <f t="shared" si="1"/>
        <v>-1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/>
      <c r="C29" s="88"/>
      <c r="D29" s="89">
        <f t="shared" si="0"/>
        <v>0</v>
      </c>
      <c r="E29" s="85">
        <f t="shared" si="1"/>
        <v>-1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/>
      <c r="C30" s="88"/>
      <c r="D30" s="89">
        <f t="shared" si="0"/>
        <v>0</v>
      </c>
      <c r="E30" s="85">
        <f t="shared" si="1"/>
        <v>-1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/>
      <c r="C31" s="88"/>
      <c r="D31" s="89">
        <f t="shared" si="0"/>
        <v>0</v>
      </c>
      <c r="E31" s="85">
        <f t="shared" si="1"/>
        <v>-1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/>
      <c r="C32" s="88"/>
      <c r="D32" s="89">
        <f t="shared" si="0"/>
        <v>0</v>
      </c>
      <c r="E32" s="85">
        <f t="shared" si="1"/>
        <v>-1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/>
      <c r="C33" s="88"/>
      <c r="D33" s="89">
        <f t="shared" si="0"/>
        <v>0</v>
      </c>
      <c r="E33" s="85">
        <f t="shared" si="1"/>
        <v>-1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/>
      <c r="C34" s="88"/>
      <c r="D34" s="89">
        <f t="shared" si="0"/>
        <v>0</v>
      </c>
      <c r="E34" s="85">
        <f t="shared" si="1"/>
        <v>-1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/>
      <c r="C35" s="88"/>
      <c r="D35" s="89">
        <f t="shared" si="0"/>
        <v>0</v>
      </c>
      <c r="E35" s="85">
        <f t="shared" si="1"/>
        <v>-1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/>
      <c r="C36" s="88"/>
      <c r="D36" s="89">
        <f t="shared" si="0"/>
        <v>0</v>
      </c>
      <c r="E36" s="85">
        <f t="shared" si="1"/>
        <v>-1</v>
      </c>
      <c r="G36" s="66"/>
      <c r="H36" s="66"/>
    </row>
    <row r="37" spans="1:15" ht="15" x14ac:dyDescent="0.3">
      <c r="A37" s="86">
        <v>17</v>
      </c>
      <c r="B37" s="90"/>
      <c r="C37" s="88"/>
      <c r="D37" s="89">
        <f t="shared" si="0"/>
        <v>0</v>
      </c>
      <c r="E37" s="85">
        <f t="shared" si="1"/>
        <v>-1</v>
      </c>
    </row>
    <row r="38" spans="1:15" ht="15" x14ac:dyDescent="0.3">
      <c r="A38" s="86">
        <v>18</v>
      </c>
      <c r="B38" s="90"/>
      <c r="C38" s="88"/>
      <c r="D38" s="89">
        <f t="shared" si="0"/>
        <v>0</v>
      </c>
      <c r="E38" s="85">
        <f t="shared" si="1"/>
        <v>-1</v>
      </c>
    </row>
    <row r="39" spans="1:15" ht="15" x14ac:dyDescent="0.3">
      <c r="A39" s="86">
        <v>19</v>
      </c>
      <c r="B39" s="90"/>
      <c r="C39" s="88"/>
      <c r="D39" s="89">
        <f t="shared" si="0"/>
        <v>0</v>
      </c>
      <c r="E39" s="85">
        <f t="shared" si="1"/>
        <v>-1</v>
      </c>
    </row>
    <row r="40" spans="1:15" ht="14.25" customHeight="1" x14ac:dyDescent="0.3">
      <c r="A40" s="91">
        <v>20</v>
      </c>
      <c r="B40" s="92"/>
      <c r="C40" s="93"/>
      <c r="D40" s="94">
        <f t="shared" si="0"/>
        <v>0</v>
      </c>
      <c r="E40" s="95">
        <f t="shared" si="1"/>
        <v>-1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62688.290000000008</v>
      </c>
      <c r="C42" s="98">
        <f>SUM(C21:C40)</f>
        <v>62293.599999999999</v>
      </c>
      <c r="D42" s="99">
        <f>SUM(D21:D40)</f>
        <v>394.68999999999687</v>
      </c>
    </row>
    <row r="43" spans="1:15" ht="15.75" customHeight="1" x14ac:dyDescent="0.3">
      <c r="A43" s="100" t="s">
        <v>47</v>
      </c>
      <c r="B43" s="101">
        <f>AVERAGE(B21:B40)</f>
        <v>10448.048333333334</v>
      </c>
      <c r="C43" s="102">
        <f>AVERAGE(C21:C40)</f>
        <v>10382.266666666666</v>
      </c>
      <c r="D43" s="103">
        <f>AVERAGE(D21:D40)</f>
        <v>19.734499999999844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316">
        <f>D43</f>
        <v>19.734499999999844</v>
      </c>
      <c r="C47" s="107">
        <f>-(IF(D43&gt;300, 7.5%, 10%))</f>
        <v>-0.1</v>
      </c>
      <c r="D47" s="108">
        <f>IF(D43&lt;300, D43*0.9, D43*0.925)</f>
        <v>17.761049999999859</v>
      </c>
    </row>
    <row r="48" spans="1:15" ht="15.75" customHeight="1" x14ac:dyDescent="0.3">
      <c r="B48" s="317"/>
      <c r="C48" s="109">
        <f>+(IF(D43&gt;300, 7.5%, 10%))</f>
        <v>0.1</v>
      </c>
      <c r="D48" s="108">
        <f>IF(D43&lt;300, D43*1.1, D43*1.075)</f>
        <v>21.70794999999983</v>
      </c>
    </row>
    <row r="49" spans="1:7" ht="14.25" customHeight="1" x14ac:dyDescent="0.3">
      <c r="A49" s="110"/>
      <c r="C49" s="22">
        <f>D42/6</f>
        <v>65.78166666666614</v>
      </c>
      <c r="D49" s="111"/>
    </row>
    <row r="50" spans="1:7" ht="15" customHeight="1" x14ac:dyDescent="0.3">
      <c r="B50" s="313" t="s">
        <v>26</v>
      </c>
      <c r="C50" s="313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36" priority="1" operator="notBetween">
      <formula>IF(+$D$43&lt;300, -10.5%, -7.5%)</formula>
      <formula>IF(+$D$43&lt;300, 10.5%, 7.5%)</formula>
    </cfRule>
  </conditionalFormatting>
  <conditionalFormatting sqref="E22">
    <cfRule type="cellIs" dxfId="35" priority="2" operator="notBetween">
      <formula>IF(+$D$43&lt;300, -10.5%, -7.5%)</formula>
      <formula>IF(+$D$43&lt;300, 10.5%, 7.5%)</formula>
    </cfRule>
  </conditionalFormatting>
  <conditionalFormatting sqref="E23">
    <cfRule type="cellIs" dxfId="34" priority="3" operator="notBetween">
      <formula>IF(+$D$43&lt;300, -10.5%, -7.5%)</formula>
      <formula>IF(+$D$43&lt;300, 10.5%, 7.5%)</formula>
    </cfRule>
  </conditionalFormatting>
  <conditionalFormatting sqref="E24">
    <cfRule type="cellIs" dxfId="33" priority="4" operator="notBetween">
      <formula>IF(+$D$43&lt;300, -10.5%, -7.5%)</formula>
      <formula>IF(+$D$43&lt;300, 10.5%, 7.5%)</formula>
    </cfRule>
  </conditionalFormatting>
  <conditionalFormatting sqref="E25">
    <cfRule type="cellIs" dxfId="32" priority="5" operator="notBetween">
      <formula>IF(+$D$43&lt;300, -10.5%, -7.5%)</formula>
      <formula>IF(+$D$43&lt;300, 10.5%, 7.5%)</formula>
    </cfRule>
  </conditionalFormatting>
  <conditionalFormatting sqref="E26">
    <cfRule type="cellIs" dxfId="31" priority="6" operator="notBetween">
      <formula>IF(+$D$43&lt;300, -10.5%, -7.5%)</formula>
      <formula>IF(+$D$43&lt;300, 10.5%, 7.5%)</formula>
    </cfRule>
  </conditionalFormatting>
  <conditionalFormatting sqref="E27">
    <cfRule type="cellIs" dxfId="30" priority="7" operator="notBetween">
      <formula>IF(+$D$43&lt;300, -10.5%, -7.5%)</formula>
      <formula>IF(+$D$43&lt;300, 10.5%, 7.5%)</formula>
    </cfRule>
  </conditionalFormatting>
  <conditionalFormatting sqref="E28">
    <cfRule type="cellIs" dxfId="29" priority="8" operator="notBetween">
      <formula>IF(+$D$43&lt;300, -10.5%, -7.5%)</formula>
      <formula>IF(+$D$43&lt;300, 10.5%, 7.5%)</formula>
    </cfRule>
  </conditionalFormatting>
  <conditionalFormatting sqref="E29">
    <cfRule type="cellIs" dxfId="28" priority="9" operator="notBetween">
      <formula>IF(+$D$43&lt;300, -10.5%, -7.5%)</formula>
      <formula>IF(+$D$43&lt;300, 10.5%, 7.5%)</formula>
    </cfRule>
  </conditionalFormatting>
  <conditionalFormatting sqref="E30">
    <cfRule type="cellIs" dxfId="27" priority="10" operator="notBetween">
      <formula>IF(+$D$43&lt;300, -10.5%, -7.5%)</formula>
      <formula>IF(+$D$43&lt;300, 10.5%, 7.5%)</formula>
    </cfRule>
  </conditionalFormatting>
  <conditionalFormatting sqref="E31">
    <cfRule type="cellIs" dxfId="26" priority="11" operator="notBetween">
      <formula>IF(+$D$43&lt;300, -10.5%, -7.5%)</formula>
      <formula>IF(+$D$43&lt;300, 10.5%, 7.5%)</formula>
    </cfRule>
  </conditionalFormatting>
  <conditionalFormatting sqref="E32">
    <cfRule type="cellIs" dxfId="25" priority="12" operator="notBetween">
      <formula>IF(+$D$43&lt;300, -10.5%, -7.5%)</formula>
      <formula>IF(+$D$43&lt;300, 10.5%, 7.5%)</formula>
    </cfRule>
  </conditionalFormatting>
  <conditionalFormatting sqref="E33">
    <cfRule type="cellIs" dxfId="24" priority="13" operator="notBetween">
      <formula>IF(+$D$43&lt;300, -10.5%, -7.5%)</formula>
      <formula>IF(+$D$43&lt;300, 10.5%, 7.5%)</formula>
    </cfRule>
  </conditionalFormatting>
  <conditionalFormatting sqref="E34">
    <cfRule type="cellIs" dxfId="23" priority="14" operator="notBetween">
      <formula>IF(+$D$43&lt;300, -10.5%, -7.5%)</formula>
      <formula>IF(+$D$43&lt;300, 10.5%, 7.5%)</formula>
    </cfRule>
  </conditionalFormatting>
  <conditionalFormatting sqref="E35">
    <cfRule type="cellIs" dxfId="22" priority="15" operator="notBetween">
      <formula>IF(+$D$43&lt;300, -10.5%, -7.5%)</formula>
      <formula>IF(+$D$43&lt;300, 10.5%, 7.5%)</formula>
    </cfRule>
  </conditionalFormatting>
  <conditionalFormatting sqref="E36">
    <cfRule type="cellIs" dxfId="21" priority="16" operator="notBetween">
      <formula>IF(+$D$43&lt;300, -10.5%, -7.5%)</formula>
      <formula>IF(+$D$43&lt;300, 10.5%, 7.5%)</formula>
    </cfRule>
  </conditionalFormatting>
  <conditionalFormatting sqref="E37">
    <cfRule type="cellIs" dxfId="20" priority="17" operator="notBetween">
      <formula>IF(+$D$43&lt;300, -10.5%, -7.5%)</formula>
      <formula>IF(+$D$43&lt;300, 10.5%, 7.5%)</formula>
    </cfRule>
  </conditionalFormatting>
  <conditionalFormatting sqref="E38">
    <cfRule type="cellIs" dxfId="19" priority="18" operator="notBetween">
      <formula>IF(+$D$43&lt;300, -10.5%, -7.5%)</formula>
      <formula>IF(+$D$43&lt;300, 10.5%, 7.5%)</formula>
    </cfRule>
  </conditionalFormatting>
  <conditionalFormatting sqref="E39">
    <cfRule type="cellIs" dxfId="18" priority="19" operator="notBetween">
      <formula>IF(+$D$43&lt;300, -10.5%, -7.5%)</formula>
      <formula>IF(+$D$43&lt;300, 10.5%, 7.5%)</formula>
    </cfRule>
  </conditionalFormatting>
  <conditionalFormatting sqref="E40">
    <cfRule type="cellIs" dxfId="17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79" zoomScale="69" zoomScaleNormal="69" workbookViewId="0">
      <selection activeCell="D43" sqref="D43"/>
    </sheetView>
  </sheetViews>
  <sheetFormatPr defaultRowHeight="15" x14ac:dyDescent="0.25"/>
  <cols>
    <col min="1" max="1" width="54.85546875" style="123" customWidth="1"/>
    <col min="2" max="2" width="39.42578125" style="123" customWidth="1"/>
    <col min="3" max="3" width="42.5703125" style="123" customWidth="1"/>
    <col min="4" max="4" width="21" style="123" customWidth="1"/>
    <col min="5" max="5" width="28.28515625" style="123" customWidth="1"/>
    <col min="6" max="6" width="20.28515625" style="123" customWidth="1"/>
    <col min="7" max="7" width="29.42578125" style="123" customWidth="1"/>
    <col min="8" max="16384" width="9.140625" style="123"/>
  </cols>
  <sheetData>
    <row r="1" spans="1:8" ht="18.75" x14ac:dyDescent="0.3">
      <c r="A1" s="122"/>
      <c r="B1" s="122"/>
      <c r="C1" s="122"/>
      <c r="D1" s="122"/>
      <c r="E1" s="122"/>
      <c r="F1" s="122"/>
      <c r="G1" s="122"/>
      <c r="H1" s="122"/>
    </row>
    <row r="2" spans="1:8" ht="18.75" x14ac:dyDescent="0.3">
      <c r="A2" s="122"/>
      <c r="B2" s="122"/>
      <c r="C2" s="122"/>
      <c r="D2" s="122"/>
      <c r="E2" s="122"/>
      <c r="F2" s="122"/>
      <c r="G2" s="122"/>
      <c r="H2" s="122"/>
    </row>
    <row r="3" spans="1:8" ht="18.75" x14ac:dyDescent="0.3">
      <c r="A3" s="122"/>
      <c r="B3" s="122"/>
      <c r="C3" s="122"/>
      <c r="D3" s="122"/>
      <c r="E3" s="122"/>
      <c r="F3" s="122"/>
      <c r="G3" s="122"/>
      <c r="H3" s="122"/>
    </row>
    <row r="4" spans="1:8" ht="18.75" x14ac:dyDescent="0.3">
      <c r="A4" s="122"/>
      <c r="B4" s="122"/>
      <c r="C4" s="122"/>
      <c r="D4" s="122"/>
      <c r="E4" s="122"/>
      <c r="F4" s="122"/>
      <c r="G4" s="122"/>
      <c r="H4" s="122"/>
    </row>
    <row r="5" spans="1:8" ht="18.75" x14ac:dyDescent="0.3">
      <c r="A5" s="122"/>
      <c r="B5" s="122"/>
      <c r="C5" s="122"/>
      <c r="D5" s="122"/>
      <c r="E5" s="122"/>
      <c r="F5" s="122"/>
      <c r="G5" s="122"/>
      <c r="H5" s="122"/>
    </row>
    <row r="6" spans="1:8" ht="18.75" x14ac:dyDescent="0.3">
      <c r="A6" s="122"/>
      <c r="B6" s="122"/>
      <c r="C6" s="122"/>
      <c r="D6" s="122"/>
      <c r="E6" s="122"/>
      <c r="F6" s="122"/>
      <c r="G6" s="122"/>
      <c r="H6" s="122"/>
    </row>
    <row r="7" spans="1:8" ht="18.75" x14ac:dyDescent="0.3">
      <c r="A7" s="122"/>
      <c r="B7" s="122"/>
      <c r="C7" s="122"/>
      <c r="D7" s="122"/>
      <c r="E7" s="122"/>
      <c r="F7" s="122"/>
      <c r="G7" s="122"/>
      <c r="H7" s="122"/>
    </row>
    <row r="8" spans="1:8" ht="18.75" x14ac:dyDescent="0.3">
      <c r="A8" s="122"/>
      <c r="B8" s="122"/>
      <c r="C8" s="122"/>
      <c r="D8" s="122"/>
      <c r="E8" s="122"/>
      <c r="F8" s="122"/>
      <c r="G8" s="122"/>
      <c r="H8" s="122"/>
    </row>
    <row r="9" spans="1:8" ht="18.75" x14ac:dyDescent="0.3">
      <c r="A9" s="122"/>
      <c r="B9" s="122"/>
      <c r="C9" s="122"/>
      <c r="D9" s="122"/>
      <c r="E9" s="122"/>
      <c r="F9" s="122"/>
      <c r="G9" s="122"/>
      <c r="H9" s="122"/>
    </row>
    <row r="10" spans="1:8" ht="18.75" x14ac:dyDescent="0.3">
      <c r="A10" s="122"/>
      <c r="B10" s="122"/>
      <c r="C10" s="122"/>
      <c r="D10" s="122"/>
      <c r="E10" s="122"/>
      <c r="F10" s="122"/>
      <c r="G10" s="122"/>
      <c r="H10" s="122"/>
    </row>
    <row r="11" spans="1:8" ht="18.75" x14ac:dyDescent="0.3">
      <c r="A11" s="122"/>
      <c r="B11" s="122"/>
      <c r="C11" s="122"/>
      <c r="D11" s="122"/>
      <c r="E11" s="122"/>
      <c r="F11" s="122"/>
      <c r="G11" s="122"/>
      <c r="H11" s="122"/>
    </row>
    <row r="12" spans="1:8" ht="18.75" x14ac:dyDescent="0.3">
      <c r="A12" s="122"/>
      <c r="B12" s="122"/>
      <c r="C12" s="122"/>
      <c r="D12" s="122"/>
      <c r="E12" s="122"/>
      <c r="F12" s="122"/>
      <c r="G12" s="122"/>
      <c r="H12" s="122"/>
    </row>
    <row r="13" spans="1:8" ht="18.75" x14ac:dyDescent="0.3">
      <c r="A13" s="122"/>
      <c r="B13" s="122"/>
      <c r="C13" s="122"/>
      <c r="D13" s="122"/>
      <c r="E13" s="122"/>
      <c r="F13" s="122"/>
      <c r="G13" s="122"/>
      <c r="H13" s="122"/>
    </row>
    <row r="14" spans="1:8" ht="18.75" x14ac:dyDescent="0.3">
      <c r="A14" s="122"/>
      <c r="B14" s="122"/>
      <c r="C14" s="122"/>
      <c r="D14" s="122"/>
      <c r="E14" s="122"/>
      <c r="F14" s="122"/>
      <c r="G14" s="122"/>
      <c r="H14" s="122"/>
    </row>
    <row r="15" spans="1:8" ht="19.5" thickBot="1" x14ac:dyDescent="0.35">
      <c r="A15" s="122"/>
      <c r="B15" s="122"/>
      <c r="C15" s="122"/>
      <c r="D15" s="122"/>
      <c r="E15" s="122"/>
      <c r="F15" s="122"/>
      <c r="G15" s="122"/>
      <c r="H15" s="122"/>
    </row>
    <row r="16" spans="1:8" ht="19.5" thickBot="1" x14ac:dyDescent="0.35">
      <c r="A16" s="342" t="s">
        <v>31</v>
      </c>
      <c r="B16" s="343"/>
      <c r="C16" s="343"/>
      <c r="D16" s="343"/>
      <c r="E16" s="343"/>
      <c r="F16" s="343"/>
      <c r="G16" s="343"/>
      <c r="H16" s="344"/>
    </row>
    <row r="17" spans="1:8" ht="18.75" x14ac:dyDescent="0.3">
      <c r="A17" s="124" t="s">
        <v>50</v>
      </c>
      <c r="B17" s="124"/>
      <c r="C17" s="122"/>
      <c r="D17" s="122"/>
      <c r="E17" s="122"/>
      <c r="F17" s="122"/>
      <c r="G17" s="122"/>
      <c r="H17" s="122"/>
    </row>
    <row r="18" spans="1:8" ht="26.25" x14ac:dyDescent="0.4">
      <c r="A18" s="125" t="s">
        <v>33</v>
      </c>
      <c r="B18" s="336" t="s">
        <v>160</v>
      </c>
      <c r="C18" s="336"/>
      <c r="D18" s="126"/>
      <c r="E18" s="126"/>
      <c r="F18" s="122"/>
      <c r="G18" s="122"/>
      <c r="H18" s="122"/>
    </row>
    <row r="19" spans="1:8" ht="26.25" x14ac:dyDescent="0.4">
      <c r="A19" s="125" t="s">
        <v>34</v>
      </c>
      <c r="B19" s="127" t="s">
        <v>159</v>
      </c>
      <c r="C19" s="122">
        <v>12</v>
      </c>
      <c r="E19" s="122"/>
      <c r="F19" s="122"/>
      <c r="G19" s="122"/>
      <c r="H19" s="122"/>
    </row>
    <row r="20" spans="1:8" ht="26.25" x14ac:dyDescent="0.4">
      <c r="A20" s="125" t="s">
        <v>35</v>
      </c>
      <c r="B20" s="337" t="s">
        <v>141</v>
      </c>
      <c r="C20" s="337"/>
      <c r="D20" s="122"/>
      <c r="E20" s="122"/>
      <c r="F20" s="122"/>
      <c r="G20" s="122"/>
      <c r="H20" s="122"/>
    </row>
    <row r="21" spans="1:8" ht="26.25" x14ac:dyDescent="0.4">
      <c r="A21" s="125" t="s">
        <v>36</v>
      </c>
      <c r="B21" s="128" t="s">
        <v>161</v>
      </c>
      <c r="C21" s="128"/>
      <c r="D21" s="129"/>
      <c r="E21" s="129"/>
      <c r="F21" s="129"/>
      <c r="G21" s="129"/>
      <c r="H21" s="129"/>
    </row>
    <row r="22" spans="1:8" ht="26.25" x14ac:dyDescent="0.4">
      <c r="A22" s="125" t="s">
        <v>37</v>
      </c>
      <c r="B22" s="130">
        <v>42478</v>
      </c>
      <c r="C22" s="131"/>
      <c r="D22" s="122"/>
      <c r="E22" s="122"/>
      <c r="F22" s="122"/>
      <c r="G22" s="122"/>
      <c r="H22" s="122"/>
    </row>
    <row r="23" spans="1:8" ht="26.25" x14ac:dyDescent="0.4">
      <c r="A23" s="125" t="s">
        <v>38</v>
      </c>
      <c r="B23" s="130">
        <v>42524</v>
      </c>
      <c r="C23" s="131"/>
      <c r="D23" s="122"/>
      <c r="E23" s="122"/>
      <c r="F23" s="122"/>
      <c r="G23" s="122"/>
      <c r="H23" s="122"/>
    </row>
    <row r="24" spans="1:8" ht="18.75" x14ac:dyDescent="0.3">
      <c r="A24" s="125"/>
      <c r="B24" s="132"/>
      <c r="C24" s="122"/>
      <c r="D24" s="122"/>
      <c r="E24" s="122"/>
      <c r="F24" s="122"/>
      <c r="G24" s="122"/>
      <c r="H24" s="122"/>
    </row>
    <row r="25" spans="1:8" ht="18.75" x14ac:dyDescent="0.3">
      <c r="A25" s="133" t="s">
        <v>1</v>
      </c>
      <c r="B25" s="132"/>
      <c r="C25" s="122"/>
      <c r="D25" s="122"/>
      <c r="E25" s="122"/>
      <c r="F25" s="122"/>
      <c r="G25" s="122"/>
      <c r="H25" s="122"/>
    </row>
    <row r="26" spans="1:8" ht="26.25" x14ac:dyDescent="0.4">
      <c r="A26" s="134" t="s">
        <v>4</v>
      </c>
      <c r="B26" s="336" t="s">
        <v>141</v>
      </c>
      <c r="C26" s="336"/>
      <c r="D26" s="122"/>
      <c r="E26" s="122"/>
      <c r="F26" s="122"/>
      <c r="G26" s="122"/>
      <c r="H26" s="122"/>
    </row>
    <row r="27" spans="1:8" ht="26.25" x14ac:dyDescent="0.4">
      <c r="A27" s="135" t="s">
        <v>51</v>
      </c>
      <c r="B27" s="337" t="s">
        <v>140</v>
      </c>
      <c r="C27" s="337"/>
      <c r="D27" s="122"/>
      <c r="E27" s="122"/>
      <c r="F27" s="122"/>
      <c r="G27" s="122"/>
      <c r="H27" s="122"/>
    </row>
    <row r="28" spans="1:8" ht="27" thickBot="1" x14ac:dyDescent="0.45">
      <c r="A28" s="135" t="s">
        <v>6</v>
      </c>
      <c r="B28" s="136">
        <v>99.7</v>
      </c>
      <c r="C28" s="122"/>
      <c r="D28" s="122"/>
      <c r="E28" s="122"/>
      <c r="F28" s="122"/>
      <c r="G28" s="122"/>
      <c r="H28" s="122"/>
    </row>
    <row r="29" spans="1:8" ht="27" thickBot="1" x14ac:dyDescent="0.45">
      <c r="A29" s="135" t="s">
        <v>52</v>
      </c>
      <c r="B29" s="137">
        <v>0</v>
      </c>
      <c r="C29" s="321" t="s">
        <v>53</v>
      </c>
      <c r="D29" s="322"/>
      <c r="E29" s="322"/>
      <c r="F29" s="322"/>
      <c r="G29" s="323"/>
      <c r="H29" s="138"/>
    </row>
    <row r="30" spans="1:8" ht="19.5" thickBot="1" x14ac:dyDescent="0.35">
      <c r="A30" s="135" t="s">
        <v>54</v>
      </c>
      <c r="B30" s="139">
        <f>B28-B29</f>
        <v>99.7</v>
      </c>
      <c r="C30" s="140"/>
      <c r="D30" s="140"/>
      <c r="E30" s="140"/>
      <c r="F30" s="140"/>
      <c r="G30" s="140"/>
      <c r="H30" s="138"/>
    </row>
    <row r="31" spans="1:8" ht="27" thickBot="1" x14ac:dyDescent="0.45">
      <c r="A31" s="135" t="s">
        <v>55</v>
      </c>
      <c r="B31" s="141">
        <v>1</v>
      </c>
      <c r="C31" s="321" t="s">
        <v>56</v>
      </c>
      <c r="D31" s="322"/>
      <c r="E31" s="322"/>
      <c r="F31" s="322"/>
      <c r="G31" s="323"/>
      <c r="H31" s="142"/>
    </row>
    <row r="32" spans="1:8" ht="27" thickBot="1" x14ac:dyDescent="0.45">
      <c r="A32" s="135" t="s">
        <v>57</v>
      </c>
      <c r="B32" s="141">
        <v>1</v>
      </c>
      <c r="C32" s="321" t="s">
        <v>58</v>
      </c>
      <c r="D32" s="322"/>
      <c r="E32" s="322"/>
      <c r="F32" s="322"/>
      <c r="G32" s="323"/>
      <c r="H32" s="142"/>
    </row>
    <row r="33" spans="1:8" ht="18.75" x14ac:dyDescent="0.3">
      <c r="A33" s="135"/>
      <c r="B33" s="143"/>
      <c r="C33" s="144"/>
      <c r="D33" s="144"/>
      <c r="E33" s="144"/>
      <c r="F33" s="144"/>
      <c r="G33" s="144"/>
      <c r="H33" s="144"/>
    </row>
    <row r="34" spans="1:8" ht="18.75" x14ac:dyDescent="0.3">
      <c r="A34" s="135" t="s">
        <v>59</v>
      </c>
      <c r="B34" s="145">
        <f>B31/B32</f>
        <v>1</v>
      </c>
      <c r="C34" s="122" t="s">
        <v>60</v>
      </c>
      <c r="D34" s="122"/>
      <c r="E34" s="122"/>
      <c r="F34" s="122"/>
      <c r="G34" s="122"/>
      <c r="H34" s="138"/>
    </row>
    <row r="35" spans="1:8" ht="19.5" thickBot="1" x14ac:dyDescent="0.35">
      <c r="A35" s="135"/>
      <c r="B35" s="139"/>
      <c r="C35" s="138"/>
      <c r="D35" s="138"/>
      <c r="E35" s="138"/>
      <c r="F35" s="138"/>
      <c r="G35" s="122"/>
      <c r="H35" s="138"/>
    </row>
    <row r="36" spans="1:8" ht="27" thickBot="1" x14ac:dyDescent="0.45">
      <c r="A36" s="146" t="s">
        <v>61</v>
      </c>
      <c r="B36" s="147">
        <v>5</v>
      </c>
      <c r="C36" s="122"/>
      <c r="D36" s="324" t="s">
        <v>62</v>
      </c>
      <c r="E36" s="341"/>
      <c r="F36" s="324" t="s">
        <v>63</v>
      </c>
      <c r="G36" s="325"/>
      <c r="H36" s="138"/>
    </row>
    <row r="37" spans="1:8" ht="26.25" x14ac:dyDescent="0.4">
      <c r="A37" s="148" t="s">
        <v>142</v>
      </c>
      <c r="B37" s="149">
        <v>1</v>
      </c>
      <c r="C37" s="150" t="s">
        <v>64</v>
      </c>
      <c r="D37" s="151" t="s">
        <v>65</v>
      </c>
      <c r="E37" s="152" t="s">
        <v>66</v>
      </c>
      <c r="F37" s="151" t="s">
        <v>65</v>
      </c>
      <c r="G37" s="153" t="s">
        <v>66</v>
      </c>
      <c r="H37" s="138"/>
    </row>
    <row r="38" spans="1:8" ht="26.25" x14ac:dyDescent="0.4">
      <c r="A38" s="148" t="s">
        <v>143</v>
      </c>
      <c r="B38" s="149">
        <v>1</v>
      </c>
      <c r="C38" s="154">
        <v>1</v>
      </c>
      <c r="D38" s="119">
        <v>23444196</v>
      </c>
      <c r="E38" s="156">
        <f>IF(ISBLANK(D38),"-",$D$48/$D$45*D38)</f>
        <v>20271327.776432749</v>
      </c>
      <c r="F38" s="119">
        <v>21397682</v>
      </c>
      <c r="G38" s="157">
        <f>IF(ISBLANK(F38),"-",$D$48/$F$45*F38)</f>
        <v>20152176.717947271</v>
      </c>
      <c r="H38" s="138"/>
    </row>
    <row r="39" spans="1:8" ht="26.25" x14ac:dyDescent="0.4">
      <c r="A39" s="148" t="s">
        <v>144</v>
      </c>
      <c r="B39" s="149">
        <v>1</v>
      </c>
      <c r="C39" s="158">
        <v>2</v>
      </c>
      <c r="D39" s="120">
        <v>23437322</v>
      </c>
      <c r="E39" s="160">
        <f>IF(ISBLANK(D39),"-",$D$48/$D$45*D39)</f>
        <v>20265384.083284337</v>
      </c>
      <c r="F39" s="120">
        <v>21448377</v>
      </c>
      <c r="G39" s="161">
        <f>IF(ISBLANK(F39),"-",$D$48/$F$45*F39)</f>
        <v>20199920.88942885</v>
      </c>
      <c r="H39" s="138"/>
    </row>
    <row r="40" spans="1:8" ht="26.25" x14ac:dyDescent="0.4">
      <c r="A40" s="148" t="s">
        <v>145</v>
      </c>
      <c r="B40" s="149">
        <v>1</v>
      </c>
      <c r="C40" s="158">
        <v>3</v>
      </c>
      <c r="D40" s="120">
        <v>23461070</v>
      </c>
      <c r="E40" s="160">
        <f>IF(ISBLANK(D40),"-",$D$48/$D$45*D40)</f>
        <v>20285918.099124964</v>
      </c>
      <c r="F40" s="120">
        <v>21447750</v>
      </c>
      <c r="G40" s="161">
        <f>IF(ISBLANK(F40),"-",$D$48/$F$45*F40)</f>
        <v>20199330.385522764</v>
      </c>
      <c r="H40" s="122"/>
    </row>
    <row r="41" spans="1:8" ht="26.25" x14ac:dyDescent="0.4">
      <c r="A41" s="148" t="s">
        <v>146</v>
      </c>
      <c r="B41" s="149">
        <v>1</v>
      </c>
      <c r="C41" s="162">
        <v>4</v>
      </c>
      <c r="D41" s="121"/>
      <c r="E41" s="164" t="str">
        <f>IF(ISBLANK(D41),"-",$D$48/$D$45*D41)</f>
        <v>-</v>
      </c>
      <c r="F41" s="121"/>
      <c r="G41" s="165" t="str">
        <f>IF(ISBLANK(F41),"-",$D$48/$F$45*F41)</f>
        <v>-</v>
      </c>
      <c r="H41" s="122"/>
    </row>
    <row r="42" spans="1:8" ht="27" thickBot="1" x14ac:dyDescent="0.45">
      <c r="A42" s="148" t="s">
        <v>147</v>
      </c>
      <c r="B42" s="149">
        <v>1</v>
      </c>
      <c r="C42" s="166" t="s">
        <v>67</v>
      </c>
      <c r="D42" s="167">
        <f>AVERAGE(D38:D41)</f>
        <v>23447529.333333332</v>
      </c>
      <c r="E42" s="168">
        <f>AVERAGE(E38:E41)</f>
        <v>20274209.986280683</v>
      </c>
      <c r="F42" s="167">
        <f>AVERAGE(F38:F41)</f>
        <v>21431269.666666668</v>
      </c>
      <c r="G42" s="169">
        <f>AVERAGE(G38:G41)</f>
        <v>20183809.330966294</v>
      </c>
      <c r="H42" s="170"/>
    </row>
    <row r="43" spans="1:8" ht="26.25" x14ac:dyDescent="0.4">
      <c r="A43" s="148" t="s">
        <v>148</v>
      </c>
      <c r="B43" s="149">
        <v>1</v>
      </c>
      <c r="C43" s="171" t="s">
        <v>68</v>
      </c>
      <c r="D43" s="172">
        <v>23.2</v>
      </c>
      <c r="E43" s="173"/>
      <c r="F43" s="172">
        <v>21.3</v>
      </c>
      <c r="G43" s="122"/>
      <c r="H43" s="170"/>
    </row>
    <row r="44" spans="1:8" ht="26.25" x14ac:dyDescent="0.4">
      <c r="A44" s="148" t="s">
        <v>149</v>
      </c>
      <c r="B44" s="149">
        <v>1</v>
      </c>
      <c r="C44" s="174" t="s">
        <v>69</v>
      </c>
      <c r="D44" s="175">
        <f>D43*$B$34</f>
        <v>23.2</v>
      </c>
      <c r="E44" s="176"/>
      <c r="F44" s="175">
        <f>F43*$B$34</f>
        <v>21.3</v>
      </c>
      <c r="G44" s="122"/>
      <c r="H44" s="170"/>
    </row>
    <row r="45" spans="1:8" ht="19.5" thickBot="1" x14ac:dyDescent="0.35">
      <c r="A45" s="148" t="s">
        <v>70</v>
      </c>
      <c r="B45" s="177">
        <f>(B44/B43)*(B42/B41)*(B40/B39)*(B38/B37)*B36</f>
        <v>5</v>
      </c>
      <c r="C45" s="174" t="s">
        <v>71</v>
      </c>
      <c r="D45" s="178">
        <f>D44*$B$30/100</f>
        <v>23.130399999999998</v>
      </c>
      <c r="E45" s="179"/>
      <c r="F45" s="178">
        <f>F44*$B$30/100</f>
        <v>21.2361</v>
      </c>
      <c r="G45" s="122"/>
      <c r="H45" s="170"/>
    </row>
    <row r="46" spans="1:8" ht="19.5" thickBot="1" x14ac:dyDescent="0.35">
      <c r="A46" s="326" t="s">
        <v>72</v>
      </c>
      <c r="B46" s="330"/>
      <c r="C46" s="174" t="s">
        <v>73</v>
      </c>
      <c r="D46" s="175">
        <f>D45/$B$45</f>
        <v>4.62608</v>
      </c>
      <c r="E46" s="179"/>
      <c r="F46" s="180">
        <f>F45/$B$45</f>
        <v>4.2472200000000004</v>
      </c>
      <c r="G46" s="122"/>
      <c r="H46" s="170"/>
    </row>
    <row r="47" spans="1:8" ht="27" thickBot="1" x14ac:dyDescent="0.45">
      <c r="A47" s="328"/>
      <c r="B47" s="331"/>
      <c r="C47" s="181" t="s">
        <v>74</v>
      </c>
      <c r="D47" s="182">
        <v>4</v>
      </c>
      <c r="E47" s="122"/>
      <c r="F47" s="183"/>
      <c r="G47" s="122"/>
      <c r="H47" s="170"/>
    </row>
    <row r="48" spans="1:8" ht="18.75" x14ac:dyDescent="0.3">
      <c r="A48" s="122"/>
      <c r="B48" s="122"/>
      <c r="C48" s="184" t="s">
        <v>75</v>
      </c>
      <c r="D48" s="178">
        <f>D47*$B$45</f>
        <v>20</v>
      </c>
      <c r="E48" s="122"/>
      <c r="F48" s="183"/>
      <c r="G48" s="122"/>
      <c r="H48" s="170"/>
    </row>
    <row r="49" spans="1:8" ht="19.5" thickBot="1" x14ac:dyDescent="0.35">
      <c r="A49" s="122"/>
      <c r="B49" s="122"/>
      <c r="C49" s="185" t="s">
        <v>76</v>
      </c>
      <c r="D49" s="186">
        <f>D48/B34</f>
        <v>20</v>
      </c>
      <c r="E49" s="122"/>
      <c r="F49" s="183"/>
      <c r="G49" s="122"/>
      <c r="H49" s="170"/>
    </row>
    <row r="50" spans="1:8" ht="18.75" x14ac:dyDescent="0.3">
      <c r="A50" s="122"/>
      <c r="B50" s="122"/>
      <c r="C50" s="146" t="s">
        <v>77</v>
      </c>
      <c r="D50" s="187">
        <f>AVERAGE(E38:E41,G38:G41)</f>
        <v>20229009.65862349</v>
      </c>
      <c r="E50" s="122"/>
      <c r="F50" s="188"/>
      <c r="G50" s="122"/>
      <c r="H50" s="170"/>
    </row>
    <row r="51" spans="1:8" ht="18.75" x14ac:dyDescent="0.3">
      <c r="A51" s="122"/>
      <c r="B51" s="122"/>
      <c r="C51" s="148" t="s">
        <v>78</v>
      </c>
      <c r="D51" s="189">
        <f>STDEV(E38:E41,G38:G41)/D50</f>
        <v>2.6141926453772217E-3</v>
      </c>
      <c r="E51" s="122"/>
      <c r="F51" s="188"/>
      <c r="G51" s="122"/>
      <c r="H51" s="170"/>
    </row>
    <row r="52" spans="1:8" ht="19.5" thickBot="1" x14ac:dyDescent="0.35">
      <c r="A52" s="122"/>
      <c r="B52" s="122"/>
      <c r="C52" s="190" t="s">
        <v>20</v>
      </c>
      <c r="D52" s="191">
        <f>COUNT(E38:E41,G38:G41)</f>
        <v>6</v>
      </c>
      <c r="E52" s="122"/>
      <c r="F52" s="188"/>
      <c r="G52" s="122"/>
      <c r="H52" s="122"/>
    </row>
    <row r="53" spans="1:8" ht="18.75" x14ac:dyDescent="0.3">
      <c r="A53" s="122"/>
      <c r="B53" s="122"/>
      <c r="C53" s="122"/>
      <c r="D53" s="122"/>
      <c r="E53" s="122"/>
      <c r="F53" s="122"/>
      <c r="G53" s="122"/>
      <c r="H53" s="122"/>
    </row>
    <row r="54" spans="1:8" ht="18.75" x14ac:dyDescent="0.3">
      <c r="A54" s="124" t="s">
        <v>1</v>
      </c>
      <c r="B54" s="192" t="s">
        <v>79</v>
      </c>
      <c r="C54" s="122"/>
      <c r="D54" s="122"/>
      <c r="E54" s="122"/>
      <c r="F54" s="122"/>
      <c r="G54" s="122"/>
      <c r="H54" s="122"/>
    </row>
    <row r="55" spans="1:8" ht="18.75" x14ac:dyDescent="0.3">
      <c r="A55" s="122" t="s">
        <v>80</v>
      </c>
      <c r="B55" s="193" t="str">
        <f>B21</f>
        <v>Artesunate 60mg</v>
      </c>
      <c r="C55" s="122"/>
      <c r="D55" s="122"/>
      <c r="E55" s="122"/>
      <c r="F55" s="122"/>
      <c r="G55" s="122"/>
      <c r="H55" s="122"/>
    </row>
    <row r="56" spans="1:8" ht="26.25" x14ac:dyDescent="0.4">
      <c r="A56" s="194" t="s">
        <v>81</v>
      </c>
      <c r="B56" s="195">
        <v>60</v>
      </c>
      <c r="C56" s="122" t="str">
        <f>B20</f>
        <v>Artesunate</v>
      </c>
      <c r="D56" s="122"/>
      <c r="E56" s="122"/>
      <c r="F56" s="122"/>
      <c r="G56" s="122"/>
      <c r="H56" s="196"/>
    </row>
    <row r="57" spans="1:8" ht="17.25" thickBot="1" x14ac:dyDescent="0.35">
      <c r="A57" s="197"/>
      <c r="B57" s="197"/>
      <c r="C57" s="197"/>
      <c r="D57" s="198"/>
      <c r="E57" s="198"/>
      <c r="F57" s="198"/>
      <c r="G57" s="198"/>
      <c r="H57" s="198"/>
    </row>
    <row r="58" spans="1:8" ht="57.75" x14ac:dyDescent="0.4">
      <c r="A58" s="146" t="s">
        <v>82</v>
      </c>
      <c r="B58" s="147">
        <v>10</v>
      </c>
      <c r="C58" s="199" t="s">
        <v>83</v>
      </c>
      <c r="D58" s="200" t="s">
        <v>84</v>
      </c>
      <c r="E58" s="201" t="s">
        <v>85</v>
      </c>
      <c r="F58" s="202" t="s">
        <v>86</v>
      </c>
      <c r="G58" s="203" t="s">
        <v>87</v>
      </c>
      <c r="H58" s="204"/>
    </row>
    <row r="59" spans="1:8" ht="26.25" x14ac:dyDescent="0.4">
      <c r="A59" s="148" t="s">
        <v>142</v>
      </c>
      <c r="B59" s="149">
        <v>4</v>
      </c>
      <c r="C59" s="205">
        <v>1</v>
      </c>
      <c r="D59" s="206">
        <v>26309915</v>
      </c>
      <c r="E59" s="207">
        <f>IF(ISBLANK(D59),"-",D59/$D$50*$D$47*$B$67)</f>
        <v>65.030160754271677</v>
      </c>
      <c r="F59" s="208">
        <f>E59/$E$70*100</f>
        <v>100.00466259150255</v>
      </c>
      <c r="G59" s="209">
        <f t="shared" ref="G59:G68" si="0">IF(ISBLANK(D59),"-",E59/$B$56*100)</f>
        <v>108.38360125711945</v>
      </c>
      <c r="H59" s="204"/>
    </row>
    <row r="60" spans="1:8" ht="26.25" x14ac:dyDescent="0.4">
      <c r="A60" s="148" t="s">
        <v>143</v>
      </c>
      <c r="B60" s="149">
        <v>5</v>
      </c>
      <c r="C60" s="210">
        <v>2</v>
      </c>
      <c r="D60" s="211">
        <v>26475570</v>
      </c>
      <c r="E60" s="212">
        <f t="shared" ref="E60:E68" si="1">IF(ISBLANK(D60),"-",D60/$D$50*$D$47*$B$67)</f>
        <v>65.439609864226938</v>
      </c>
      <c r="F60" s="213">
        <f t="shared" ref="F60:F68" si="2">E60/$E$70*100</f>
        <v>100.63432150076149</v>
      </c>
      <c r="G60" s="214">
        <f t="shared" si="0"/>
        <v>109.06601644037823</v>
      </c>
      <c r="H60" s="204"/>
    </row>
    <row r="61" spans="1:8" ht="26.25" x14ac:dyDescent="0.4">
      <c r="A61" s="148" t="s">
        <v>144</v>
      </c>
      <c r="B61" s="149">
        <v>1</v>
      </c>
      <c r="C61" s="210">
        <v>3</v>
      </c>
      <c r="D61" s="211">
        <v>26332151</v>
      </c>
      <c r="E61" s="212">
        <f t="shared" si="1"/>
        <v>65.085121428015086</v>
      </c>
      <c r="F61" s="213">
        <f t="shared" si="2"/>
        <v>100.08918219855505</v>
      </c>
      <c r="G61" s="214">
        <f t="shared" si="0"/>
        <v>108.47520238002515</v>
      </c>
      <c r="H61" s="204"/>
    </row>
    <row r="62" spans="1:8" ht="26.25" x14ac:dyDescent="0.4">
      <c r="A62" s="148" t="s">
        <v>145</v>
      </c>
      <c r="B62" s="149">
        <v>1</v>
      </c>
      <c r="C62" s="210">
        <v>4</v>
      </c>
      <c r="D62" s="211">
        <v>26302738</v>
      </c>
      <c r="E62" s="212">
        <f t="shared" si="1"/>
        <v>65.012421378688998</v>
      </c>
      <c r="F62" s="213">
        <f t="shared" si="2"/>
        <v>99.977382630186867</v>
      </c>
      <c r="G62" s="214">
        <f t="shared" si="0"/>
        <v>108.35403563114834</v>
      </c>
      <c r="H62" s="204"/>
    </row>
    <row r="63" spans="1:8" ht="26.25" x14ac:dyDescent="0.4">
      <c r="A63" s="148" t="s">
        <v>146</v>
      </c>
      <c r="B63" s="149">
        <v>1</v>
      </c>
      <c r="C63" s="210">
        <v>5</v>
      </c>
      <c r="D63" s="211">
        <v>26160927</v>
      </c>
      <c r="E63" s="212">
        <f t="shared" si="1"/>
        <v>64.661907432645307</v>
      </c>
      <c r="F63" s="213">
        <f t="shared" si="2"/>
        <v>99.438355377276196</v>
      </c>
      <c r="G63" s="214">
        <f t="shared" si="0"/>
        <v>107.76984572107551</v>
      </c>
      <c r="H63" s="204"/>
    </row>
    <row r="64" spans="1:8" ht="26.25" x14ac:dyDescent="0.4">
      <c r="A64" s="148" t="s">
        <v>147</v>
      </c>
      <c r="B64" s="149">
        <v>1</v>
      </c>
      <c r="C64" s="210">
        <v>6</v>
      </c>
      <c r="D64" s="211">
        <v>26270829</v>
      </c>
      <c r="E64" s="212">
        <f t="shared" si="1"/>
        <v>64.933551971489919</v>
      </c>
      <c r="F64" s="213">
        <f t="shared" si="2"/>
        <v>99.856095701717805</v>
      </c>
      <c r="G64" s="214">
        <f t="shared" si="0"/>
        <v>108.22258661914988</v>
      </c>
      <c r="H64" s="204"/>
    </row>
    <row r="65" spans="1:8" ht="26.25" x14ac:dyDescent="0.4">
      <c r="A65" s="148" t="s">
        <v>148</v>
      </c>
      <c r="B65" s="149">
        <v>1</v>
      </c>
      <c r="C65" s="210">
        <v>7</v>
      </c>
      <c r="D65" s="211"/>
      <c r="E65" s="212" t="str">
        <f t="shared" si="1"/>
        <v>-</v>
      </c>
      <c r="F65" s="213" t="e">
        <f t="shared" si="2"/>
        <v>#VALUE!</v>
      </c>
      <c r="G65" s="214" t="str">
        <f t="shared" si="0"/>
        <v>-</v>
      </c>
      <c r="H65" s="204"/>
    </row>
    <row r="66" spans="1:8" ht="26.25" x14ac:dyDescent="0.4">
      <c r="A66" s="148" t="s">
        <v>149</v>
      </c>
      <c r="B66" s="149">
        <v>1</v>
      </c>
      <c r="C66" s="210">
        <v>8</v>
      </c>
      <c r="D66" s="211"/>
      <c r="E66" s="212" t="str">
        <f t="shared" si="1"/>
        <v>-</v>
      </c>
      <c r="F66" s="213" t="e">
        <f t="shared" si="2"/>
        <v>#VALUE!</v>
      </c>
      <c r="G66" s="214" t="str">
        <f t="shared" si="0"/>
        <v>-</v>
      </c>
      <c r="H66" s="204"/>
    </row>
    <row r="67" spans="1:8" ht="27" thickBot="1" x14ac:dyDescent="0.45">
      <c r="A67" s="148" t="s">
        <v>70</v>
      </c>
      <c r="B67" s="177">
        <f>(B66/B65)*(B64/B63)*(B62/B61)*(B60/B59)*B58</f>
        <v>12.5</v>
      </c>
      <c r="C67" s="210">
        <v>9</v>
      </c>
      <c r="D67" s="211"/>
      <c r="E67" s="212" t="str">
        <f t="shared" si="1"/>
        <v>-</v>
      </c>
      <c r="F67" s="213" t="e">
        <f t="shared" si="2"/>
        <v>#VALUE!</v>
      </c>
      <c r="G67" s="214" t="str">
        <f t="shared" si="0"/>
        <v>-</v>
      </c>
      <c r="H67" s="204"/>
    </row>
    <row r="68" spans="1:8" ht="27" thickBot="1" x14ac:dyDescent="0.45">
      <c r="A68" s="326" t="s">
        <v>72</v>
      </c>
      <c r="B68" s="327"/>
      <c r="C68" s="215">
        <v>10</v>
      </c>
      <c r="D68" s="216"/>
      <c r="E68" s="217" t="str">
        <f t="shared" si="1"/>
        <v>-</v>
      </c>
      <c r="F68" s="218" t="e">
        <f t="shared" si="2"/>
        <v>#VALUE!</v>
      </c>
      <c r="G68" s="219" t="str">
        <f t="shared" si="0"/>
        <v>-</v>
      </c>
      <c r="H68" s="204"/>
    </row>
    <row r="69" spans="1:8" ht="19.5" thickBot="1" x14ac:dyDescent="0.35">
      <c r="A69" s="328"/>
      <c r="B69" s="329"/>
      <c r="C69" s="210"/>
      <c r="D69" s="179"/>
      <c r="E69" s="220"/>
      <c r="F69" s="198"/>
      <c r="G69" s="221"/>
      <c r="H69" s="222"/>
    </row>
    <row r="70" spans="1:8" ht="26.25" x14ac:dyDescent="0.4">
      <c r="A70" s="198"/>
      <c r="B70" s="198"/>
      <c r="C70" s="223" t="s">
        <v>88</v>
      </c>
      <c r="D70" s="224"/>
      <c r="E70" s="225">
        <f>AVERAGE(E59:E68)</f>
        <v>65.027128804889657</v>
      </c>
      <c r="F70" s="225" t="e">
        <f>AVERAGE(F59:F68)</f>
        <v>#VALUE!</v>
      </c>
      <c r="G70" s="226">
        <f>AVERAGE(G59:G68)</f>
        <v>108.37854800814942</v>
      </c>
      <c r="H70" s="227"/>
    </row>
    <row r="71" spans="1:8" ht="26.25" x14ac:dyDescent="0.4">
      <c r="A71" s="198"/>
      <c r="B71" s="198"/>
      <c r="C71" s="223"/>
      <c r="D71" s="224"/>
      <c r="E71" s="228">
        <f>STDEV(E59:E68)/E70</f>
        <v>3.8652390491219712E-3</v>
      </c>
      <c r="F71" s="228" t="e">
        <f>STDEV(F59:F68)/F70</f>
        <v>#VALUE!</v>
      </c>
      <c r="G71" s="229">
        <f>STDEV(G59:G68)/G70</f>
        <v>3.8652390491219794E-3</v>
      </c>
      <c r="H71" s="227"/>
    </row>
    <row r="72" spans="1:8" ht="27" thickBot="1" x14ac:dyDescent="0.45">
      <c r="A72" s="198"/>
      <c r="B72" s="198"/>
      <c r="C72" s="230"/>
      <c r="D72" s="231"/>
      <c r="E72" s="232">
        <f>COUNT(E59:E68)</f>
        <v>6</v>
      </c>
      <c r="F72" s="232">
        <f>COUNT(F59:F68)</f>
        <v>6</v>
      </c>
      <c r="G72" s="233">
        <f>COUNT(G59:G68)</f>
        <v>6</v>
      </c>
      <c r="H72" s="227"/>
    </row>
    <row r="73" spans="1:8" ht="18.75" x14ac:dyDescent="0.3">
      <c r="A73" s="198"/>
      <c r="B73" s="234"/>
      <c r="C73" s="234"/>
      <c r="D73" s="176"/>
      <c r="E73" s="224"/>
      <c r="F73" s="173"/>
      <c r="G73" s="235"/>
      <c r="H73" s="227"/>
    </row>
    <row r="74" spans="1:8" ht="18.75" x14ac:dyDescent="0.3">
      <c r="A74" s="134" t="s">
        <v>89</v>
      </c>
      <c r="B74" s="236" t="s">
        <v>90</v>
      </c>
      <c r="C74" s="332" t="str">
        <f>B20</f>
        <v>Artesunate</v>
      </c>
      <c r="D74" s="332"/>
      <c r="E74" s="237" t="s">
        <v>91</v>
      </c>
      <c r="F74" s="237"/>
      <c r="G74" s="238">
        <f>G70</f>
        <v>108.37854800814942</v>
      </c>
      <c r="H74" s="239"/>
    </row>
    <row r="75" spans="1:8" ht="18.75" x14ac:dyDescent="0.3">
      <c r="A75" s="134"/>
      <c r="B75" s="236"/>
      <c r="C75" s="240"/>
      <c r="D75" s="240"/>
      <c r="E75" s="237"/>
      <c r="F75" s="237"/>
      <c r="G75" s="241"/>
      <c r="H75" s="239"/>
    </row>
    <row r="76" spans="1:8" ht="18.75" x14ac:dyDescent="0.3">
      <c r="A76" s="124" t="s">
        <v>1</v>
      </c>
      <c r="B76" s="242" t="s">
        <v>92</v>
      </c>
      <c r="C76" s="122"/>
      <c r="D76" s="122"/>
      <c r="E76" s="122"/>
      <c r="F76" s="122"/>
      <c r="G76" s="198"/>
      <c r="H76" s="198"/>
    </row>
    <row r="77" spans="1:8" ht="18.75" x14ac:dyDescent="0.3">
      <c r="A77" s="124"/>
      <c r="B77" s="192"/>
      <c r="C77" s="122"/>
      <c r="D77" s="122"/>
      <c r="E77" s="122"/>
      <c r="F77" s="122"/>
      <c r="G77" s="198"/>
      <c r="H77" s="198"/>
    </row>
    <row r="78" spans="1:8" ht="18.75" x14ac:dyDescent="0.3">
      <c r="A78" s="198"/>
      <c r="B78" s="334" t="s">
        <v>93</v>
      </c>
      <c r="C78" s="335"/>
      <c r="D78" s="122"/>
      <c r="E78" s="198"/>
      <c r="F78" s="198"/>
      <c r="G78" s="198"/>
      <c r="H78" s="198"/>
    </row>
    <row r="79" spans="1:8" ht="18.75" x14ac:dyDescent="0.3">
      <c r="A79" s="198"/>
      <c r="B79" s="243" t="s">
        <v>47</v>
      </c>
      <c r="C79" s="244">
        <f>G70</f>
        <v>108.37854800814942</v>
      </c>
      <c r="D79" s="122"/>
      <c r="E79" s="198"/>
      <c r="F79" s="198"/>
      <c r="G79" s="198"/>
      <c r="H79" s="198"/>
    </row>
    <row r="80" spans="1:8" ht="26.25" x14ac:dyDescent="0.4">
      <c r="A80" s="198"/>
      <c r="B80" s="243" t="s">
        <v>94</v>
      </c>
      <c r="C80" s="245">
        <v>2.4</v>
      </c>
      <c r="D80" s="122"/>
      <c r="E80" s="198"/>
      <c r="F80" s="198"/>
      <c r="G80" s="198"/>
      <c r="H80" s="198"/>
    </row>
    <row r="81" spans="1:8" ht="18.75" x14ac:dyDescent="0.3">
      <c r="A81" s="198"/>
      <c r="B81" s="243" t="s">
        <v>95</v>
      </c>
      <c r="C81" s="244">
        <f>STDEV(G59:G68)</f>
        <v>0.41890899584824026</v>
      </c>
      <c r="D81" s="122"/>
      <c r="E81" s="198"/>
      <c r="F81" s="198"/>
      <c r="G81" s="198"/>
      <c r="H81" s="198"/>
    </row>
    <row r="82" spans="1:8" ht="18.75" x14ac:dyDescent="0.3">
      <c r="A82" s="198"/>
      <c r="B82" s="243" t="s">
        <v>96</v>
      </c>
      <c r="C82" s="244">
        <f>IF(OR(G70&lt;98.5,G70&gt;101.5),(IF(98.5&gt;G70,98.5,101.5)),C79)</f>
        <v>101.5</v>
      </c>
      <c r="D82" s="122"/>
      <c r="E82" s="198"/>
      <c r="F82" s="198"/>
      <c r="G82" s="198"/>
      <c r="H82" s="198"/>
    </row>
    <row r="83" spans="1:8" ht="18.75" x14ac:dyDescent="0.3">
      <c r="A83" s="198"/>
      <c r="B83" s="243" t="s">
        <v>150</v>
      </c>
      <c r="C83" s="246">
        <f>ABS(C82-C79)+(C80*C81)</f>
        <v>7.8839295981851993</v>
      </c>
      <c r="D83" s="122"/>
      <c r="E83" s="198"/>
      <c r="F83" s="198"/>
      <c r="G83" s="198"/>
      <c r="H83" s="198"/>
    </row>
    <row r="84" spans="1:8" ht="18.75" x14ac:dyDescent="0.3">
      <c r="A84" s="194"/>
      <c r="B84" s="247"/>
      <c r="C84" s="122"/>
      <c r="D84" s="122"/>
      <c r="E84" s="122"/>
      <c r="F84" s="122"/>
      <c r="G84" s="122"/>
      <c r="H84" s="196"/>
    </row>
    <row r="85" spans="1:8" ht="18.75" x14ac:dyDescent="0.3">
      <c r="A85" s="133" t="s">
        <v>97</v>
      </c>
      <c r="B85" s="133" t="s">
        <v>98</v>
      </c>
      <c r="C85" s="122"/>
      <c r="D85" s="122"/>
      <c r="E85" s="122"/>
      <c r="F85" s="122"/>
      <c r="G85" s="122"/>
      <c r="H85" s="122"/>
    </row>
    <row r="86" spans="1:8" ht="18.75" x14ac:dyDescent="0.3">
      <c r="A86" s="133"/>
      <c r="B86" s="133"/>
      <c r="C86" s="122"/>
      <c r="D86" s="122"/>
      <c r="E86" s="122"/>
      <c r="F86" s="122"/>
      <c r="G86" s="122"/>
      <c r="H86" s="122"/>
    </row>
    <row r="87" spans="1:8" ht="26.25" x14ac:dyDescent="0.4">
      <c r="A87" s="134" t="s">
        <v>4</v>
      </c>
      <c r="B87" s="336"/>
      <c r="C87" s="336"/>
      <c r="D87" s="122"/>
      <c r="E87" s="122"/>
      <c r="F87" s="122"/>
      <c r="G87" s="122"/>
      <c r="H87" s="122"/>
    </row>
    <row r="88" spans="1:8" ht="26.25" x14ac:dyDescent="0.4">
      <c r="A88" s="135" t="s">
        <v>51</v>
      </c>
      <c r="B88" s="337"/>
      <c r="C88" s="337"/>
      <c r="D88" s="122"/>
      <c r="E88" s="122"/>
      <c r="F88" s="122"/>
      <c r="G88" s="122"/>
      <c r="H88" s="122"/>
    </row>
    <row r="89" spans="1:8" ht="27" thickBot="1" x14ac:dyDescent="0.45">
      <c r="A89" s="135" t="s">
        <v>6</v>
      </c>
      <c r="B89" s="136">
        <f>B32</f>
        <v>1</v>
      </c>
      <c r="C89" s="122"/>
      <c r="D89" s="122"/>
      <c r="E89" s="122"/>
      <c r="F89" s="122"/>
      <c r="G89" s="122"/>
      <c r="H89" s="122"/>
    </row>
    <row r="90" spans="1:8" ht="27" thickBot="1" x14ac:dyDescent="0.45">
      <c r="A90" s="135" t="s">
        <v>52</v>
      </c>
      <c r="B90" s="136">
        <f>B33</f>
        <v>0</v>
      </c>
      <c r="C90" s="338" t="s">
        <v>99</v>
      </c>
      <c r="D90" s="339"/>
      <c r="E90" s="339"/>
      <c r="F90" s="339"/>
      <c r="G90" s="340"/>
      <c r="H90" s="138"/>
    </row>
    <row r="91" spans="1:8" ht="18.75" x14ac:dyDescent="0.3">
      <c r="A91" s="135" t="s">
        <v>54</v>
      </c>
      <c r="B91" s="139">
        <f>B89-B90</f>
        <v>1</v>
      </c>
      <c r="C91" s="248"/>
      <c r="D91" s="248"/>
      <c r="E91" s="248"/>
      <c r="F91" s="248"/>
      <c r="G91" s="249"/>
      <c r="H91" s="138"/>
    </row>
    <row r="92" spans="1:8" ht="19.5" thickBot="1" x14ac:dyDescent="0.35">
      <c r="A92" s="135"/>
      <c r="B92" s="139"/>
      <c r="C92" s="248"/>
      <c r="D92" s="248"/>
      <c r="E92" s="248"/>
      <c r="F92" s="248"/>
      <c r="G92" s="249"/>
      <c r="H92" s="138"/>
    </row>
    <row r="93" spans="1:8" ht="27" thickBot="1" x14ac:dyDescent="0.45">
      <c r="A93" s="135" t="s">
        <v>55</v>
      </c>
      <c r="B93" s="141">
        <v>1</v>
      </c>
      <c r="C93" s="321" t="s">
        <v>100</v>
      </c>
      <c r="D93" s="322"/>
      <c r="E93" s="322"/>
      <c r="F93" s="322"/>
      <c r="G93" s="322"/>
      <c r="H93" s="323"/>
    </row>
    <row r="94" spans="1:8" ht="27" thickBot="1" x14ac:dyDescent="0.45">
      <c r="A94" s="135" t="s">
        <v>57</v>
      </c>
      <c r="B94" s="141">
        <v>1</v>
      </c>
      <c r="C94" s="321" t="s">
        <v>101</v>
      </c>
      <c r="D94" s="322"/>
      <c r="E94" s="322"/>
      <c r="F94" s="322"/>
      <c r="G94" s="322"/>
      <c r="H94" s="323"/>
    </row>
    <row r="95" spans="1:8" ht="18.75" x14ac:dyDescent="0.3">
      <c r="A95" s="135"/>
      <c r="B95" s="143"/>
      <c r="C95" s="144"/>
      <c r="D95" s="144"/>
      <c r="E95" s="144"/>
      <c r="F95" s="144"/>
      <c r="G95" s="144"/>
      <c r="H95" s="144"/>
    </row>
    <row r="96" spans="1:8" ht="18.75" x14ac:dyDescent="0.3">
      <c r="A96" s="135" t="s">
        <v>59</v>
      </c>
      <c r="B96" s="145">
        <f>B93/B94</f>
        <v>1</v>
      </c>
      <c r="C96" s="122" t="s">
        <v>60</v>
      </c>
      <c r="D96" s="122"/>
      <c r="E96" s="122"/>
      <c r="F96" s="122"/>
      <c r="G96" s="122"/>
      <c r="H96" s="138"/>
    </row>
    <row r="97" spans="1:8" ht="19.5" thickBot="1" x14ac:dyDescent="0.35">
      <c r="A97" s="133"/>
      <c r="B97" s="133"/>
      <c r="C97" s="122"/>
      <c r="D97" s="122"/>
      <c r="E97" s="122"/>
      <c r="F97" s="122"/>
      <c r="G97" s="122"/>
      <c r="H97" s="122"/>
    </row>
    <row r="98" spans="1:8" ht="27" thickBot="1" x14ac:dyDescent="0.45">
      <c r="A98" s="146" t="s">
        <v>61</v>
      </c>
      <c r="B98" s="250">
        <v>1</v>
      </c>
      <c r="C98" s="122"/>
      <c r="D98" s="251" t="s">
        <v>62</v>
      </c>
      <c r="E98" s="252"/>
      <c r="F98" s="324" t="s">
        <v>63</v>
      </c>
      <c r="G98" s="325"/>
      <c r="H98" s="122"/>
    </row>
    <row r="99" spans="1:8" ht="26.25" x14ac:dyDescent="0.4">
      <c r="A99" s="148" t="s">
        <v>142</v>
      </c>
      <c r="B99" s="253">
        <v>1</v>
      </c>
      <c r="C99" s="150" t="s">
        <v>64</v>
      </c>
      <c r="D99" s="151" t="s">
        <v>65</v>
      </c>
      <c r="E99" s="152" t="s">
        <v>66</v>
      </c>
      <c r="F99" s="151" t="s">
        <v>65</v>
      </c>
      <c r="G99" s="153" t="s">
        <v>66</v>
      </c>
      <c r="H99" s="122"/>
    </row>
    <row r="100" spans="1:8" ht="26.25" x14ac:dyDescent="0.4">
      <c r="A100" s="148" t="s">
        <v>143</v>
      </c>
      <c r="B100" s="253">
        <v>1</v>
      </c>
      <c r="C100" s="154">
        <v>1</v>
      </c>
      <c r="D100" s="155"/>
      <c r="E100" s="254" t="str">
        <f>IF(ISBLANK(D100),"-",$D$110/$D$107*D100)</f>
        <v>-</v>
      </c>
      <c r="F100" s="255"/>
      <c r="G100" s="157" t="str">
        <f>IF(ISBLANK(F100),"-",$D$110/$F$107*F100)</f>
        <v>-</v>
      </c>
      <c r="H100" s="122"/>
    </row>
    <row r="101" spans="1:8" ht="26.25" x14ac:dyDescent="0.4">
      <c r="A101" s="148" t="s">
        <v>144</v>
      </c>
      <c r="B101" s="253">
        <v>1</v>
      </c>
      <c r="C101" s="158">
        <v>2</v>
      </c>
      <c r="D101" s="159"/>
      <c r="E101" s="256" t="str">
        <f t="shared" ref="E101:E102" si="3">IF(ISBLANK(D101),"-",$D$110/$D$107*D101)</f>
        <v>-</v>
      </c>
      <c r="F101" s="136"/>
      <c r="G101" s="161" t="str">
        <f t="shared" ref="G101:G103" si="4">IF(ISBLANK(F101),"-",$D$110/$F$107*F101)</f>
        <v>-</v>
      </c>
      <c r="H101" s="122"/>
    </row>
    <row r="102" spans="1:8" ht="26.25" x14ac:dyDescent="0.4">
      <c r="A102" s="148" t="s">
        <v>145</v>
      </c>
      <c r="B102" s="253">
        <v>1</v>
      </c>
      <c r="C102" s="158">
        <v>3</v>
      </c>
      <c r="D102" s="159"/>
      <c r="E102" s="256" t="str">
        <f t="shared" si="3"/>
        <v>-</v>
      </c>
      <c r="F102" s="257"/>
      <c r="G102" s="161" t="str">
        <f t="shared" si="4"/>
        <v>-</v>
      </c>
      <c r="H102" s="122"/>
    </row>
    <row r="103" spans="1:8" ht="26.25" x14ac:dyDescent="0.4">
      <c r="A103" s="148" t="s">
        <v>146</v>
      </c>
      <c r="B103" s="253">
        <v>1</v>
      </c>
      <c r="C103" s="162">
        <v>4</v>
      </c>
      <c r="D103" s="163"/>
      <c r="E103" s="258" t="str">
        <f>IF(ISBLANK(D103),"-",$D$110/$D$107*D103)</f>
        <v>-</v>
      </c>
      <c r="F103" s="259"/>
      <c r="G103" s="165" t="str">
        <f t="shared" si="4"/>
        <v>-</v>
      </c>
      <c r="H103" s="122"/>
    </row>
    <row r="104" spans="1:8" ht="27" thickBot="1" x14ac:dyDescent="0.45">
      <c r="A104" s="148" t="s">
        <v>147</v>
      </c>
      <c r="B104" s="253">
        <v>1</v>
      </c>
      <c r="C104" s="166" t="s">
        <v>67</v>
      </c>
      <c r="D104" s="260" t="e">
        <f>AVERAGE(D100:D103)</f>
        <v>#DIV/0!</v>
      </c>
      <c r="E104" s="168" t="e">
        <f>AVERAGE(E100:E103)</f>
        <v>#DIV/0!</v>
      </c>
      <c r="F104" s="260" t="e">
        <f>AVERAGE(F100:F103)</f>
        <v>#DIV/0!</v>
      </c>
      <c r="G104" s="261" t="e">
        <f>AVERAGE(G100:G103)</f>
        <v>#DIV/0!</v>
      </c>
      <c r="H104" s="122"/>
    </row>
    <row r="105" spans="1:8" ht="26.25" x14ac:dyDescent="0.4">
      <c r="A105" s="148" t="s">
        <v>148</v>
      </c>
      <c r="B105" s="136">
        <v>1</v>
      </c>
      <c r="C105" s="171" t="s">
        <v>68</v>
      </c>
      <c r="D105" s="262"/>
      <c r="E105" s="173"/>
      <c r="F105" s="172"/>
      <c r="G105" s="122"/>
      <c r="H105" s="122"/>
    </row>
    <row r="106" spans="1:8" ht="26.25" x14ac:dyDescent="0.4">
      <c r="A106" s="148" t="s">
        <v>149</v>
      </c>
      <c r="B106" s="136">
        <v>1</v>
      </c>
      <c r="C106" s="174" t="s">
        <v>69</v>
      </c>
      <c r="D106" s="263">
        <f>D105*$B$96</f>
        <v>0</v>
      </c>
      <c r="E106" s="176"/>
      <c r="F106" s="175">
        <f>F105*$B$96</f>
        <v>0</v>
      </c>
      <c r="G106" s="122"/>
      <c r="H106" s="122"/>
    </row>
    <row r="107" spans="1:8" ht="19.5" thickBot="1" x14ac:dyDescent="0.35">
      <c r="A107" s="148" t="s">
        <v>70</v>
      </c>
      <c r="B107" s="264">
        <f>(B106/B105)*(B104/B103)*(B102/B101)*(B100/B99)*B98</f>
        <v>1</v>
      </c>
      <c r="C107" s="174" t="s">
        <v>71</v>
      </c>
      <c r="D107" s="265">
        <f>D106*$B$91/100</f>
        <v>0</v>
      </c>
      <c r="E107" s="179"/>
      <c r="F107" s="178">
        <f>F106*$B$91/100</f>
        <v>0</v>
      </c>
      <c r="G107" s="122"/>
      <c r="H107" s="122"/>
    </row>
    <row r="108" spans="1:8" ht="19.5" thickBot="1" x14ac:dyDescent="0.35">
      <c r="A108" s="326" t="s">
        <v>72</v>
      </c>
      <c r="B108" s="327"/>
      <c r="C108" s="174" t="s">
        <v>73</v>
      </c>
      <c r="D108" s="263">
        <f>D107/$B$107</f>
        <v>0</v>
      </c>
      <c r="E108" s="179"/>
      <c r="F108" s="180">
        <f>F107/$B$107</f>
        <v>0</v>
      </c>
      <c r="G108" s="266"/>
      <c r="H108" s="170"/>
    </row>
    <row r="109" spans="1:8" ht="19.5" thickBot="1" x14ac:dyDescent="0.35">
      <c r="A109" s="328"/>
      <c r="B109" s="329"/>
      <c r="C109" s="267" t="s">
        <v>74</v>
      </c>
      <c r="D109" s="268">
        <f>$B$56/$B$125</f>
        <v>60</v>
      </c>
      <c r="E109" s="122"/>
      <c r="F109" s="183"/>
      <c r="G109" s="269"/>
      <c r="H109" s="170"/>
    </row>
    <row r="110" spans="1:8" ht="18.75" x14ac:dyDescent="0.3">
      <c r="A110" s="122"/>
      <c r="B110" s="122"/>
      <c r="C110" s="267" t="s">
        <v>75</v>
      </c>
      <c r="D110" s="263">
        <f>D109*$B$107</f>
        <v>60</v>
      </c>
      <c r="E110" s="122"/>
      <c r="F110" s="183"/>
      <c r="G110" s="266"/>
      <c r="H110" s="170"/>
    </row>
    <row r="111" spans="1:8" ht="19.5" thickBot="1" x14ac:dyDescent="0.35">
      <c r="A111" s="122"/>
      <c r="B111" s="122"/>
      <c r="C111" s="270" t="s">
        <v>76</v>
      </c>
      <c r="D111" s="271">
        <f>D110/B96</f>
        <v>60</v>
      </c>
      <c r="E111" s="122"/>
      <c r="F111" s="188"/>
      <c r="G111" s="266"/>
      <c r="H111" s="170"/>
    </row>
    <row r="112" spans="1:8" ht="18.75" x14ac:dyDescent="0.3">
      <c r="A112" s="122"/>
      <c r="B112" s="122"/>
      <c r="C112" s="272" t="s">
        <v>77</v>
      </c>
      <c r="D112" s="273" t="e">
        <f>AVERAGE(E100:E103,G100:G103)</f>
        <v>#DIV/0!</v>
      </c>
      <c r="E112" s="122"/>
      <c r="F112" s="188"/>
      <c r="G112" s="274"/>
      <c r="H112" s="170"/>
    </row>
    <row r="113" spans="1:8" ht="18.75" x14ac:dyDescent="0.3">
      <c r="A113" s="122"/>
      <c r="B113" s="122"/>
      <c r="C113" s="275" t="s">
        <v>78</v>
      </c>
      <c r="D113" s="276" t="e">
        <f>STDEV(E100:E103,G100:G103)/D112</f>
        <v>#DIV/0!</v>
      </c>
      <c r="E113" s="122"/>
      <c r="F113" s="188"/>
      <c r="G113" s="266"/>
      <c r="H113" s="170"/>
    </row>
    <row r="114" spans="1:8" ht="19.5" thickBot="1" x14ac:dyDescent="0.35">
      <c r="A114" s="122"/>
      <c r="B114" s="122"/>
      <c r="C114" s="277" t="s">
        <v>20</v>
      </c>
      <c r="D114" s="278">
        <f>COUNT(E100:E103,G100:G103)</f>
        <v>0</v>
      </c>
      <c r="E114" s="122"/>
      <c r="F114" s="188"/>
      <c r="G114" s="266"/>
      <c r="H114" s="170"/>
    </row>
    <row r="115" spans="1:8" ht="19.5" thickBot="1" x14ac:dyDescent="0.35">
      <c r="A115" s="124"/>
      <c r="B115" s="124"/>
      <c r="C115" s="124"/>
      <c r="D115" s="124"/>
      <c r="E115" s="124"/>
      <c r="F115" s="122"/>
      <c r="G115" s="122"/>
      <c r="H115" s="122"/>
    </row>
    <row r="116" spans="1:8" ht="39" x14ac:dyDescent="0.4">
      <c r="A116" s="146" t="s">
        <v>102</v>
      </c>
      <c r="B116" s="250">
        <v>1</v>
      </c>
      <c r="C116" s="279" t="s">
        <v>103</v>
      </c>
      <c r="D116" s="280" t="s">
        <v>65</v>
      </c>
      <c r="E116" s="281" t="s">
        <v>104</v>
      </c>
      <c r="F116" s="282" t="s">
        <v>105</v>
      </c>
      <c r="G116" s="122"/>
      <c r="H116" s="122"/>
    </row>
    <row r="117" spans="1:8" ht="26.25" x14ac:dyDescent="0.4">
      <c r="A117" s="148" t="s">
        <v>151</v>
      </c>
      <c r="B117" s="253">
        <v>1</v>
      </c>
      <c r="C117" s="210">
        <v>1</v>
      </c>
      <c r="D117" s="283"/>
      <c r="E117" s="284" t="str">
        <f>IF(ISBLANK(D117),"-",D117/$D$112*$D$109*$B$125)</f>
        <v>-</v>
      </c>
      <c r="F117" s="285" t="str">
        <f>IF(ISBLANK(D117), "-", E117/$B$56)</f>
        <v>-</v>
      </c>
      <c r="G117" s="122"/>
      <c r="H117" s="122"/>
    </row>
    <row r="118" spans="1:8" ht="26.25" x14ac:dyDescent="0.4">
      <c r="A118" s="148" t="s">
        <v>152</v>
      </c>
      <c r="B118" s="253">
        <v>1</v>
      </c>
      <c r="C118" s="210">
        <v>2</v>
      </c>
      <c r="D118" s="283"/>
      <c r="E118" s="286" t="str">
        <f t="shared" ref="E118:E122" si="5">IF(ISBLANK(D118),"-",D118/$D$112*$D$109*$B$125)</f>
        <v>-</v>
      </c>
      <c r="F118" s="287" t="str">
        <f t="shared" ref="F118:F121" si="6">IF(ISBLANK(D118), "-", E118/$B$56)</f>
        <v>-</v>
      </c>
      <c r="G118" s="122"/>
      <c r="H118" s="122"/>
    </row>
    <row r="119" spans="1:8" ht="26.25" x14ac:dyDescent="0.4">
      <c r="A119" s="148" t="s">
        <v>153</v>
      </c>
      <c r="B119" s="253">
        <v>1</v>
      </c>
      <c r="C119" s="210">
        <v>3</v>
      </c>
      <c r="D119" s="283"/>
      <c r="E119" s="286" t="str">
        <f t="shared" si="5"/>
        <v>-</v>
      </c>
      <c r="F119" s="287" t="str">
        <f t="shared" si="6"/>
        <v>-</v>
      </c>
      <c r="G119" s="122"/>
      <c r="H119" s="122"/>
    </row>
    <row r="120" spans="1:8" ht="26.25" x14ac:dyDescent="0.4">
      <c r="A120" s="148" t="s">
        <v>154</v>
      </c>
      <c r="B120" s="253">
        <v>1</v>
      </c>
      <c r="C120" s="210">
        <v>4</v>
      </c>
      <c r="D120" s="283"/>
      <c r="E120" s="286" t="str">
        <f t="shared" si="5"/>
        <v>-</v>
      </c>
      <c r="F120" s="287" t="str">
        <f t="shared" si="6"/>
        <v>-</v>
      </c>
      <c r="G120" s="122"/>
      <c r="H120" s="122"/>
    </row>
    <row r="121" spans="1:8" ht="26.25" x14ac:dyDescent="0.4">
      <c r="A121" s="148" t="s">
        <v>155</v>
      </c>
      <c r="B121" s="253">
        <v>1</v>
      </c>
      <c r="C121" s="210">
        <v>5</v>
      </c>
      <c r="D121" s="283"/>
      <c r="E121" s="286" t="str">
        <f t="shared" si="5"/>
        <v>-</v>
      </c>
      <c r="F121" s="287" t="str">
        <f t="shared" si="6"/>
        <v>-</v>
      </c>
      <c r="G121" s="122"/>
      <c r="H121" s="122"/>
    </row>
    <row r="122" spans="1:8" ht="26.25" x14ac:dyDescent="0.4">
      <c r="A122" s="148" t="s">
        <v>156</v>
      </c>
      <c r="B122" s="253">
        <v>1</v>
      </c>
      <c r="C122" s="288">
        <v>6</v>
      </c>
      <c r="D122" s="289"/>
      <c r="E122" s="290" t="str">
        <f t="shared" si="5"/>
        <v>-</v>
      </c>
      <c r="F122" s="291" t="str">
        <f>IF(ISBLANK(D122), "-", E122/$B$56)</f>
        <v>-</v>
      </c>
      <c r="G122" s="122"/>
      <c r="H122" s="122"/>
    </row>
    <row r="123" spans="1:8" ht="26.25" x14ac:dyDescent="0.4">
      <c r="A123" s="148" t="s">
        <v>157</v>
      </c>
      <c r="B123" s="253">
        <v>1</v>
      </c>
      <c r="C123" s="210"/>
      <c r="D123" s="292"/>
      <c r="E123" s="234"/>
      <c r="F123" s="214"/>
      <c r="G123" s="122"/>
      <c r="H123" s="122"/>
    </row>
    <row r="124" spans="1:8" ht="26.25" x14ac:dyDescent="0.4">
      <c r="A124" s="148" t="s">
        <v>158</v>
      </c>
      <c r="B124" s="253">
        <v>1</v>
      </c>
      <c r="C124" s="210"/>
      <c r="D124" s="293"/>
      <c r="E124" s="294" t="s">
        <v>67</v>
      </c>
      <c r="F124" s="295" t="e">
        <f>AVERAGE(F117:F122)</f>
        <v>#DIV/0!</v>
      </c>
      <c r="G124" s="122"/>
      <c r="H124" s="122"/>
    </row>
    <row r="125" spans="1:8" ht="27" thickBot="1" x14ac:dyDescent="0.45">
      <c r="A125" s="148" t="s">
        <v>106</v>
      </c>
      <c r="B125" s="296">
        <f>(B124/B123)*(B122/B121)*(B120/B119)*(B118/B117)*B116</f>
        <v>1</v>
      </c>
      <c r="C125" s="297"/>
      <c r="D125" s="298"/>
      <c r="E125" s="185" t="s">
        <v>78</v>
      </c>
      <c r="F125" s="229" t="e">
        <f>STDEV(F117:F122)/F124</f>
        <v>#DIV/0!</v>
      </c>
      <c r="G125" s="122"/>
      <c r="H125" s="122"/>
    </row>
    <row r="126" spans="1:8" ht="27" thickBot="1" x14ac:dyDescent="0.45">
      <c r="A126" s="326" t="s">
        <v>72</v>
      </c>
      <c r="B126" s="330"/>
      <c r="C126" s="299"/>
      <c r="D126" s="300"/>
      <c r="E126" s="301" t="s">
        <v>20</v>
      </c>
      <c r="F126" s="302">
        <f>COUNT(F117:F122)</f>
        <v>0</v>
      </c>
      <c r="G126" s="122"/>
      <c r="H126" s="122"/>
    </row>
    <row r="127" spans="1:8" ht="19.5" thickBot="1" x14ac:dyDescent="0.35">
      <c r="A127" s="328"/>
      <c r="B127" s="331"/>
      <c r="C127" s="234"/>
      <c r="D127" s="234"/>
      <c r="E127" s="234"/>
      <c r="F127" s="292"/>
      <c r="G127" s="234"/>
      <c r="H127" s="234"/>
    </row>
    <row r="128" spans="1:8" ht="18.75" x14ac:dyDescent="0.3">
      <c r="A128" s="144"/>
      <c r="B128" s="144"/>
      <c r="C128" s="234"/>
      <c r="D128" s="234"/>
      <c r="E128" s="234"/>
      <c r="F128" s="292"/>
      <c r="G128" s="234"/>
      <c r="H128" s="234"/>
    </row>
    <row r="129" spans="1:8" ht="18.75" x14ac:dyDescent="0.3">
      <c r="A129" s="134" t="s">
        <v>89</v>
      </c>
      <c r="B129" s="236" t="s">
        <v>107</v>
      </c>
      <c r="C129" s="332" t="str">
        <f>B20</f>
        <v>Artesunate</v>
      </c>
      <c r="D129" s="332"/>
      <c r="E129" s="237" t="s">
        <v>108</v>
      </c>
      <c r="F129" s="237"/>
      <c r="G129" s="241" t="e">
        <f>F124</f>
        <v>#DIV/0!</v>
      </c>
      <c r="H129" s="234"/>
    </row>
    <row r="130" spans="1:8" ht="19.5" thickBot="1" x14ac:dyDescent="0.35">
      <c r="A130" s="303"/>
      <c r="B130" s="303"/>
      <c r="C130" s="304"/>
      <c r="D130" s="304"/>
      <c r="E130" s="304"/>
      <c r="F130" s="304"/>
      <c r="G130" s="304"/>
      <c r="H130" s="304"/>
    </row>
    <row r="131" spans="1:8" ht="18.75" x14ac:dyDescent="0.3">
      <c r="A131" s="122"/>
      <c r="B131" s="333" t="s">
        <v>26</v>
      </c>
      <c r="C131" s="333"/>
      <c r="D131" s="122"/>
      <c r="E131" s="305" t="s">
        <v>27</v>
      </c>
      <c r="F131" s="306"/>
      <c r="G131" s="333" t="s">
        <v>28</v>
      </c>
      <c r="H131" s="333"/>
    </row>
    <row r="132" spans="1:8" ht="18.75" x14ac:dyDescent="0.3">
      <c r="A132" s="307" t="s">
        <v>29</v>
      </c>
      <c r="B132" s="308"/>
      <c r="C132" s="308"/>
      <c r="D132" s="122"/>
      <c r="E132" s="308"/>
      <c r="F132" s="234"/>
      <c r="G132" s="309"/>
      <c r="H132" s="309"/>
    </row>
    <row r="133" spans="1:8" ht="18.75" x14ac:dyDescent="0.3">
      <c r="A133" s="307" t="s">
        <v>30</v>
      </c>
      <c r="B133" s="310"/>
      <c r="C133" s="310"/>
      <c r="D133" s="122"/>
      <c r="E133" s="310"/>
      <c r="F133" s="234"/>
      <c r="G133" s="311"/>
      <c r="H133" s="311"/>
    </row>
  </sheetData>
  <mergeCells count="25">
    <mergeCell ref="A68:B69"/>
    <mergeCell ref="A16:H16"/>
    <mergeCell ref="B18:C18"/>
    <mergeCell ref="B20:C20"/>
    <mergeCell ref="B26:C26"/>
    <mergeCell ref="B27:C27"/>
    <mergeCell ref="C29:G29"/>
    <mergeCell ref="C31:G31"/>
    <mergeCell ref="C32:G32"/>
    <mergeCell ref="D36:E36"/>
    <mergeCell ref="F36:G36"/>
    <mergeCell ref="A46:B47"/>
    <mergeCell ref="B131:C131"/>
    <mergeCell ref="G131:H131"/>
    <mergeCell ref="C74:D74"/>
    <mergeCell ref="B78:C78"/>
    <mergeCell ref="B87:C87"/>
    <mergeCell ref="B88:C88"/>
    <mergeCell ref="C90:G90"/>
    <mergeCell ref="C93:H93"/>
    <mergeCell ref="C94:H94"/>
    <mergeCell ref="F98:G98"/>
    <mergeCell ref="A108:B109"/>
    <mergeCell ref="A126:B127"/>
    <mergeCell ref="C129:D129"/>
  </mergeCells>
  <conditionalFormatting sqref="D51">
    <cfRule type="cellIs" dxfId="16" priority="3" operator="greaterThan">
      <formula>0.02</formula>
    </cfRule>
  </conditionalFormatting>
  <conditionalFormatting sqref="C83">
    <cfRule type="cellIs" dxfId="15" priority="2" operator="greaterThan">
      <formula>15</formula>
    </cfRule>
  </conditionalFormatting>
  <conditionalFormatting sqref="D113">
    <cfRule type="cellIs" dxfId="14" priority="1" operator="greaterThan">
      <formula>0.02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8" zoomScale="50" zoomScaleNormal="75" zoomScalePageLayoutView="50" workbookViewId="0">
      <selection activeCell="C54" sqref="C54"/>
    </sheetView>
  </sheetViews>
  <sheetFormatPr defaultRowHeight="16.5" x14ac:dyDescent="0.3"/>
  <cols>
    <col min="1" max="1" width="66.28515625" style="349" customWidth="1"/>
    <col min="2" max="2" width="32.28515625" style="349" customWidth="1"/>
    <col min="3" max="3" width="33.28515625" style="349" customWidth="1"/>
    <col min="4" max="4" width="30.5703125" style="349" customWidth="1"/>
    <col min="5" max="5" width="33.5703125" style="349" customWidth="1"/>
    <col min="6" max="6" width="39.85546875" style="349" customWidth="1"/>
    <col min="7" max="7" width="31.7109375" style="349" customWidth="1"/>
    <col min="8" max="8" width="31.140625" style="349" customWidth="1"/>
    <col min="9" max="9" width="32.28515625" style="347" customWidth="1"/>
    <col min="10" max="10" width="22.28515625" style="347" customWidth="1"/>
    <col min="11" max="11" width="19.5703125" style="347" customWidth="1"/>
    <col min="12" max="12" width="21.140625" style="347" customWidth="1"/>
    <col min="13" max="13" width="9.140625" style="347" customWidth="1"/>
    <col min="14" max="16384" width="9.140625" style="354"/>
  </cols>
  <sheetData>
    <row r="1" spans="1:9" ht="15" x14ac:dyDescent="0.3">
      <c r="A1" s="346" t="s">
        <v>109</v>
      </c>
      <c r="B1" s="346"/>
      <c r="C1" s="346"/>
      <c r="D1" s="346"/>
      <c r="E1" s="346"/>
      <c r="F1" s="346"/>
      <c r="G1" s="346"/>
      <c r="H1" s="346"/>
      <c r="I1" s="346"/>
    </row>
    <row r="2" spans="1:9" ht="15" x14ac:dyDescent="0.3">
      <c r="A2" s="346"/>
      <c r="B2" s="346"/>
      <c r="C2" s="346"/>
      <c r="D2" s="346"/>
      <c r="E2" s="346"/>
      <c r="F2" s="346"/>
      <c r="G2" s="346"/>
      <c r="H2" s="346"/>
      <c r="I2" s="346"/>
    </row>
    <row r="3" spans="1:9" ht="15" x14ac:dyDescent="0.3">
      <c r="A3" s="346"/>
      <c r="B3" s="346"/>
      <c r="C3" s="346"/>
      <c r="D3" s="346"/>
      <c r="E3" s="346"/>
      <c r="F3" s="346"/>
      <c r="G3" s="346"/>
      <c r="H3" s="346"/>
      <c r="I3" s="346"/>
    </row>
    <row r="4" spans="1:9" ht="15" x14ac:dyDescent="0.3">
      <c r="A4" s="346"/>
      <c r="B4" s="346"/>
      <c r="C4" s="346"/>
      <c r="D4" s="346"/>
      <c r="E4" s="346"/>
      <c r="F4" s="346"/>
      <c r="G4" s="346"/>
      <c r="H4" s="346"/>
      <c r="I4" s="346"/>
    </row>
    <row r="5" spans="1:9" ht="15" x14ac:dyDescent="0.3">
      <c r="A5" s="346"/>
      <c r="B5" s="346"/>
      <c r="C5" s="346"/>
      <c r="D5" s="346"/>
      <c r="E5" s="346"/>
      <c r="F5" s="346"/>
      <c r="G5" s="346"/>
      <c r="H5" s="346"/>
      <c r="I5" s="346"/>
    </row>
    <row r="6" spans="1:9" ht="15" x14ac:dyDescent="0.3">
      <c r="A6" s="346"/>
      <c r="B6" s="346"/>
      <c r="C6" s="346"/>
      <c r="D6" s="346"/>
      <c r="E6" s="346"/>
      <c r="F6" s="346"/>
      <c r="G6" s="346"/>
      <c r="H6" s="346"/>
      <c r="I6" s="346"/>
    </row>
    <row r="7" spans="1:9" ht="15" x14ac:dyDescent="0.3">
      <c r="A7" s="346"/>
      <c r="B7" s="346"/>
      <c r="C7" s="346"/>
      <c r="D7" s="346"/>
      <c r="E7" s="346"/>
      <c r="F7" s="346"/>
      <c r="G7" s="346"/>
      <c r="H7" s="346"/>
      <c r="I7" s="346"/>
    </row>
    <row r="8" spans="1:9" ht="15" x14ac:dyDescent="0.3">
      <c r="A8" s="348" t="s">
        <v>49</v>
      </c>
      <c r="B8" s="348"/>
      <c r="C8" s="348"/>
      <c r="D8" s="348"/>
      <c r="E8" s="348"/>
      <c r="F8" s="348"/>
      <c r="G8" s="348"/>
      <c r="H8" s="348"/>
      <c r="I8" s="348"/>
    </row>
    <row r="9" spans="1:9" ht="15" x14ac:dyDescent="0.3">
      <c r="A9" s="348"/>
      <c r="B9" s="348"/>
      <c r="C9" s="348"/>
      <c r="D9" s="348"/>
      <c r="E9" s="348"/>
      <c r="F9" s="348"/>
      <c r="G9" s="348"/>
      <c r="H9" s="348"/>
      <c r="I9" s="348"/>
    </row>
    <row r="10" spans="1:9" ht="15" x14ac:dyDescent="0.3">
      <c r="A10" s="348"/>
      <c r="B10" s="348"/>
      <c r="C10" s="348"/>
      <c r="D10" s="348"/>
      <c r="E10" s="348"/>
      <c r="F10" s="348"/>
      <c r="G10" s="348"/>
      <c r="H10" s="348"/>
      <c r="I10" s="348"/>
    </row>
    <row r="11" spans="1:9" ht="15" x14ac:dyDescent="0.3">
      <c r="A11" s="348"/>
      <c r="B11" s="348"/>
      <c r="C11" s="348"/>
      <c r="D11" s="348"/>
      <c r="E11" s="348"/>
      <c r="F11" s="348"/>
      <c r="G11" s="348"/>
      <c r="H11" s="348"/>
      <c r="I11" s="348"/>
    </row>
    <row r="12" spans="1:9" ht="15" x14ac:dyDescent="0.3">
      <c r="A12" s="348"/>
      <c r="B12" s="348"/>
      <c r="C12" s="348"/>
      <c r="D12" s="348"/>
      <c r="E12" s="348"/>
      <c r="F12" s="348"/>
      <c r="G12" s="348"/>
      <c r="H12" s="348"/>
      <c r="I12" s="348"/>
    </row>
    <row r="13" spans="1:9" ht="15" x14ac:dyDescent="0.3">
      <c r="A13" s="348"/>
      <c r="B13" s="348"/>
      <c r="C13" s="348"/>
      <c r="D13" s="348"/>
      <c r="E13" s="348"/>
      <c r="F13" s="348"/>
      <c r="G13" s="348"/>
      <c r="H13" s="348"/>
      <c r="I13" s="348"/>
    </row>
    <row r="14" spans="1:9" ht="15" x14ac:dyDescent="0.3">
      <c r="A14" s="348"/>
      <c r="B14" s="348"/>
      <c r="C14" s="348"/>
      <c r="D14" s="348"/>
      <c r="E14" s="348"/>
      <c r="F14" s="348"/>
      <c r="G14" s="348"/>
      <c r="H14" s="348"/>
      <c r="I14" s="348"/>
    </row>
    <row r="15" spans="1:9" ht="19.5" customHeight="1" thickBot="1" x14ac:dyDescent="0.35"/>
    <row r="16" spans="1:9" ht="19.5" customHeight="1" thickBot="1" x14ac:dyDescent="0.35">
      <c r="A16" s="350" t="s">
        <v>31</v>
      </c>
      <c r="B16" s="351"/>
      <c r="C16" s="351"/>
      <c r="D16" s="351"/>
      <c r="E16" s="351"/>
      <c r="F16" s="351"/>
      <c r="G16" s="351"/>
      <c r="H16" s="352"/>
    </row>
    <row r="17" spans="1:14" ht="18.75" x14ac:dyDescent="0.3">
      <c r="A17" s="353" t="s">
        <v>50</v>
      </c>
      <c r="B17" s="353"/>
      <c r="C17" s="353"/>
      <c r="D17" s="353"/>
      <c r="E17" s="353"/>
      <c r="F17" s="353"/>
      <c r="G17" s="353"/>
      <c r="H17" s="353"/>
    </row>
    <row r="18" spans="1:14" ht="18.75" x14ac:dyDescent="0.3">
      <c r="A18" s="355" t="s">
        <v>33</v>
      </c>
      <c r="B18" s="356" t="s">
        <v>5</v>
      </c>
      <c r="C18" s="356"/>
      <c r="D18" s="356"/>
      <c r="E18" s="356"/>
    </row>
    <row r="19" spans="1:14" ht="18.75" x14ac:dyDescent="0.3">
      <c r="A19" s="355" t="s">
        <v>34</v>
      </c>
      <c r="B19" s="357" t="s">
        <v>7</v>
      </c>
      <c r="C19" s="358">
        <v>22</v>
      </c>
    </row>
    <row r="20" spans="1:14" ht="18.75" x14ac:dyDescent="0.3">
      <c r="A20" s="355" t="s">
        <v>35</v>
      </c>
      <c r="B20" s="357" t="s">
        <v>162</v>
      </c>
    </row>
    <row r="21" spans="1:14" ht="18.75" x14ac:dyDescent="0.3">
      <c r="A21" s="355" t="s">
        <v>36</v>
      </c>
      <c r="B21" s="359" t="s">
        <v>163</v>
      </c>
      <c r="C21" s="359"/>
      <c r="D21" s="359"/>
      <c r="E21" s="359"/>
      <c r="F21" s="359"/>
      <c r="G21" s="359"/>
      <c r="H21" s="359"/>
      <c r="I21" s="360"/>
    </row>
    <row r="22" spans="1:14" ht="18.75" x14ac:dyDescent="0.3">
      <c r="A22" s="355" t="s">
        <v>37</v>
      </c>
      <c r="B22" s="361">
        <v>42478</v>
      </c>
    </row>
    <row r="23" spans="1:14" ht="18.75" x14ac:dyDescent="0.3">
      <c r="A23" s="355" t="s">
        <v>38</v>
      </c>
      <c r="B23" s="361">
        <v>42542</v>
      </c>
    </row>
    <row r="24" spans="1:14" ht="18.75" x14ac:dyDescent="0.3">
      <c r="A24" s="355"/>
      <c r="B24" s="362"/>
    </row>
    <row r="25" spans="1:14" ht="18.75" x14ac:dyDescent="0.3">
      <c r="A25" s="363" t="s">
        <v>1</v>
      </c>
      <c r="B25" s="364" t="s">
        <v>110</v>
      </c>
    </row>
    <row r="26" spans="1:14" s="370" customFormat="1" ht="18.75" x14ac:dyDescent="0.3">
      <c r="A26" s="365"/>
      <c r="B26" s="366"/>
      <c r="C26" s="367"/>
      <c r="D26" s="367"/>
      <c r="E26" s="367"/>
      <c r="F26" s="367"/>
      <c r="G26" s="367"/>
      <c r="H26" s="367"/>
      <c r="I26" s="368"/>
      <c r="J26" s="368"/>
      <c r="K26" s="368"/>
      <c r="L26" s="368"/>
      <c r="M26" s="368"/>
      <c r="N26" s="369"/>
    </row>
    <row r="27" spans="1:14" s="370" customFormat="1" ht="26.25" customHeight="1" x14ac:dyDescent="0.4">
      <c r="A27" s="371" t="s">
        <v>4</v>
      </c>
      <c r="B27" s="372" t="s">
        <v>164</v>
      </c>
      <c r="C27" s="373"/>
      <c r="D27" s="369"/>
      <c r="E27" s="369"/>
      <c r="F27" s="369"/>
      <c r="G27" s="369"/>
      <c r="H27" s="367"/>
      <c r="I27" s="368"/>
      <c r="J27" s="368"/>
      <c r="K27" s="368"/>
      <c r="L27" s="368"/>
      <c r="M27" s="368"/>
      <c r="N27" s="369"/>
    </row>
    <row r="28" spans="1:14" s="370" customFormat="1" ht="26.25" customHeight="1" x14ac:dyDescent="0.4">
      <c r="A28" s="374" t="s">
        <v>111</v>
      </c>
      <c r="B28" s="373">
        <v>105.98</v>
      </c>
      <c r="C28" s="375"/>
      <c r="D28" s="376"/>
      <c r="E28" s="376"/>
      <c r="F28" s="376"/>
      <c r="G28" s="376"/>
      <c r="H28" s="367"/>
      <c r="I28" s="368"/>
      <c r="J28" s="368"/>
      <c r="K28" s="368"/>
      <c r="L28" s="368"/>
      <c r="M28" s="368"/>
      <c r="N28" s="369"/>
    </row>
    <row r="29" spans="1:14" s="370" customFormat="1" ht="26.25" customHeight="1" x14ac:dyDescent="0.4">
      <c r="A29" s="365" t="s">
        <v>112</v>
      </c>
      <c r="B29" s="377">
        <v>0.5</v>
      </c>
      <c r="C29" s="375"/>
      <c r="D29" s="376"/>
      <c r="E29" s="376"/>
      <c r="F29" s="376"/>
      <c r="G29" s="376"/>
      <c r="H29" s="367"/>
      <c r="I29" s="368"/>
      <c r="J29" s="368"/>
      <c r="K29" s="368"/>
      <c r="L29" s="368"/>
      <c r="M29" s="368"/>
      <c r="N29" s="369"/>
    </row>
    <row r="30" spans="1:14" s="370" customFormat="1" ht="18.75" x14ac:dyDescent="0.3">
      <c r="A30" s="378" t="s">
        <v>113</v>
      </c>
      <c r="B30" s="379">
        <v>2</v>
      </c>
      <c r="C30" s="380" t="s">
        <v>114</v>
      </c>
      <c r="D30" s="379">
        <v>1</v>
      </c>
      <c r="F30" s="367"/>
      <c r="G30" s="367"/>
      <c r="H30" s="367"/>
      <c r="I30" s="368"/>
      <c r="J30" s="368"/>
      <c r="K30" s="368"/>
      <c r="L30" s="368"/>
      <c r="M30" s="368"/>
      <c r="N30" s="369"/>
    </row>
    <row r="31" spans="1:14" s="370" customFormat="1" ht="18.75" x14ac:dyDescent="0.3">
      <c r="A31" s="365"/>
      <c r="B31" s="366"/>
      <c r="C31" s="367"/>
      <c r="D31" s="367"/>
      <c r="E31" s="367"/>
      <c r="F31" s="367"/>
      <c r="G31" s="367"/>
      <c r="H31" s="367"/>
      <c r="I31" s="368"/>
      <c r="J31" s="368"/>
      <c r="K31" s="368"/>
      <c r="L31" s="368"/>
      <c r="M31" s="368"/>
      <c r="N31" s="369"/>
    </row>
    <row r="32" spans="1:14" s="370" customFormat="1" ht="19.5" customHeight="1" thickBot="1" x14ac:dyDescent="0.35">
      <c r="A32" s="365"/>
      <c r="B32" s="366"/>
      <c r="C32" s="367"/>
      <c r="D32" s="367"/>
      <c r="E32" s="367"/>
      <c r="F32" s="367"/>
      <c r="G32" s="367"/>
      <c r="H32" s="367"/>
      <c r="I32" s="368"/>
      <c r="J32" s="368"/>
      <c r="K32" s="368"/>
      <c r="L32" s="368"/>
      <c r="M32" s="368"/>
      <c r="N32" s="369"/>
    </row>
    <row r="33" spans="1:14" s="370" customFormat="1" ht="19.5" customHeight="1" thickBot="1" x14ac:dyDescent="0.35">
      <c r="A33" s="381" t="s">
        <v>115</v>
      </c>
      <c r="B33" s="381" t="s">
        <v>116</v>
      </c>
      <c r="C33" s="382" t="s">
        <v>117</v>
      </c>
      <c r="D33" s="381" t="s">
        <v>118</v>
      </c>
      <c r="E33" s="383" t="s">
        <v>119</v>
      </c>
      <c r="F33" s="383" t="s">
        <v>120</v>
      </c>
      <c r="G33" s="381" t="s">
        <v>121</v>
      </c>
      <c r="J33" s="368"/>
      <c r="K33" s="368"/>
      <c r="L33" s="368"/>
      <c r="M33" s="368"/>
      <c r="N33" s="369"/>
    </row>
    <row r="34" spans="1:14" s="370" customFormat="1" ht="26.25" customHeight="1" x14ac:dyDescent="0.4">
      <c r="A34" s="384" t="s">
        <v>122</v>
      </c>
      <c r="B34" s="385">
        <v>98.45</v>
      </c>
      <c r="C34" s="386">
        <f>IF(ISBLANK(B34), "-",B34/$B$28*($B$30/$D$30))</f>
        <v>1.8578977165502926</v>
      </c>
      <c r="D34" s="387">
        <v>3.7</v>
      </c>
      <c r="E34" s="388">
        <f>IF(ISBLANK(B34), "-",C34/D34)</f>
        <v>0.5021345179865655</v>
      </c>
      <c r="F34" s="389">
        <f>IF(ISBLANK(B34), "-",(E34-$B$29)/$B$29)</f>
        <v>4.2690359731309968E-3</v>
      </c>
      <c r="G34" s="390">
        <f>IF(ISBLANK(B34),"-",E34/$B$29)</f>
        <v>1.004269035973131</v>
      </c>
      <c r="J34" s="368"/>
      <c r="K34" s="368"/>
      <c r="L34" s="368"/>
      <c r="M34" s="368"/>
      <c r="N34" s="369"/>
    </row>
    <row r="35" spans="1:14" s="370" customFormat="1" ht="26.25" customHeight="1" x14ac:dyDescent="0.4">
      <c r="A35" s="391" t="s">
        <v>123</v>
      </c>
      <c r="B35" s="392">
        <v>100.89</v>
      </c>
      <c r="C35" s="393">
        <f>IF(ISBLANK(B35), "-",B35/$B$28*($B$30/$D$30))</f>
        <v>1.9039441404038497</v>
      </c>
      <c r="D35" s="394">
        <v>3.8</v>
      </c>
      <c r="E35" s="395">
        <f>IF(ISBLANK(B35), "-",C35/D35)</f>
        <v>0.50103793168522359</v>
      </c>
      <c r="F35" s="396">
        <f>IF(ISBLANK(B35), "-",(E35-$B$29)/$B$29)</f>
        <v>2.0758633704471841E-3</v>
      </c>
      <c r="G35" s="397">
        <f>IF(ISBLANK(B35),"-",E35/$B$29)</f>
        <v>1.0020758633704472</v>
      </c>
      <c r="J35" s="368"/>
      <c r="K35" s="368"/>
      <c r="L35" s="368"/>
      <c r="M35" s="368"/>
      <c r="N35" s="369"/>
    </row>
    <row r="36" spans="1:14" s="370" customFormat="1" ht="26.25" customHeight="1" x14ac:dyDescent="0.4">
      <c r="A36" s="391" t="s">
        <v>124</v>
      </c>
      <c r="B36" s="392">
        <v>101</v>
      </c>
      <c r="C36" s="393">
        <f>IF(ISBLANK(B36), "-",B36/$B$28*($B$30/$D$30))</f>
        <v>1.9060200037742969</v>
      </c>
      <c r="D36" s="394">
        <v>3.8</v>
      </c>
      <c r="E36" s="395">
        <f>IF(ISBLANK(B36), "-",C36/D36)</f>
        <v>0.50158421151955179</v>
      </c>
      <c r="F36" s="396">
        <f>IF(ISBLANK(B36), "-",(E36-$B$29)/$B$29)</f>
        <v>3.168423039103585E-3</v>
      </c>
      <c r="G36" s="397">
        <f>IF(ISBLANK(B36),"-",E36/$B$29)</f>
        <v>1.0031684230391036</v>
      </c>
      <c r="J36" s="368"/>
      <c r="K36" s="368"/>
      <c r="L36" s="368"/>
      <c r="M36" s="368"/>
      <c r="N36" s="369"/>
    </row>
    <row r="37" spans="1:14" s="370" customFormat="1" ht="27" customHeight="1" thickBot="1" x14ac:dyDescent="0.45">
      <c r="A37" s="398" t="s">
        <v>125</v>
      </c>
      <c r="B37" s="399"/>
      <c r="C37" s="400" t="str">
        <f>IF(ISBLANK(B37), "-",B37/$B$28*($B$30/$D$30))</f>
        <v>-</v>
      </c>
      <c r="D37" s="401"/>
      <c r="E37" s="402" t="str">
        <f>IF(ISBLANK(B37), "-",C37/D37)</f>
        <v>-</v>
      </c>
      <c r="F37" s="403" t="str">
        <f>IF(ISBLANK(B37), "-",(E37-$B$29)/$B$29)</f>
        <v>-</v>
      </c>
      <c r="G37" s="404" t="str">
        <f>IF(ISBLANK(B37),"-",E37/$B$29)</f>
        <v>-</v>
      </c>
      <c r="J37" s="368"/>
      <c r="K37" s="368"/>
      <c r="L37" s="368"/>
      <c r="M37" s="368"/>
      <c r="N37" s="369"/>
    </row>
    <row r="38" spans="1:14" ht="19.5" customHeight="1" thickBot="1" x14ac:dyDescent="0.35">
      <c r="A38" s="369"/>
      <c r="B38" s="369"/>
      <c r="C38" s="369"/>
      <c r="D38" s="405" t="s">
        <v>126</v>
      </c>
      <c r="E38" s="406">
        <f>AVERAGE(E34:E37)</f>
        <v>0.50158555373044689</v>
      </c>
      <c r="F38" s="407">
        <f>AVERAGE(F34:F37)</f>
        <v>3.1711074608939218E-3</v>
      </c>
      <c r="G38" s="408">
        <f>AVERAGE(G34:G37)</f>
        <v>1.0031711074608938</v>
      </c>
      <c r="H38" s="369"/>
      <c r="L38" s="368"/>
      <c r="M38" s="368"/>
      <c r="N38" s="369"/>
    </row>
    <row r="39" spans="1:14" ht="18.75" x14ac:dyDescent="0.3">
      <c r="A39" s="369"/>
      <c r="B39" s="409"/>
      <c r="C39" s="410"/>
      <c r="D39" s="411" t="s">
        <v>78</v>
      </c>
      <c r="E39" s="412">
        <f>STDEV(E34:E37)/E38</f>
        <v>1.093122357156179E-3</v>
      </c>
      <c r="F39" s="413"/>
      <c r="G39" s="369"/>
      <c r="H39" s="369"/>
    </row>
    <row r="40" spans="1:14" ht="19.5" customHeight="1" thickBot="1" x14ac:dyDescent="0.35">
      <c r="A40" s="369"/>
      <c r="B40" s="409"/>
      <c r="C40" s="410"/>
      <c r="D40" s="414" t="s">
        <v>20</v>
      </c>
      <c r="E40" s="415">
        <f>COUNT(E34:E37)</f>
        <v>3</v>
      </c>
      <c r="F40" s="416"/>
      <c r="G40" s="369"/>
      <c r="H40" s="369"/>
    </row>
    <row r="41" spans="1:14" ht="18.75" x14ac:dyDescent="0.3">
      <c r="A41" s="417"/>
      <c r="B41" s="418"/>
      <c r="C41" s="409"/>
      <c r="D41" s="409"/>
      <c r="E41" s="409"/>
      <c r="F41" s="419"/>
      <c r="G41" s="369"/>
      <c r="H41" s="369"/>
    </row>
    <row r="43" spans="1:14" ht="18.75" x14ac:dyDescent="0.3">
      <c r="A43" s="420" t="s">
        <v>1</v>
      </c>
      <c r="B43" s="364" t="s">
        <v>79</v>
      </c>
    </row>
    <row r="44" spans="1:14" ht="18.75" x14ac:dyDescent="0.3">
      <c r="A44" s="365" t="s">
        <v>80</v>
      </c>
      <c r="B44" s="421" t="str">
        <f>B21</f>
        <v>Each Pack contains: Sodium BiCarbonate 50mg/mL</v>
      </c>
    </row>
    <row r="45" spans="1:14" ht="18.75" x14ac:dyDescent="0.3">
      <c r="A45" s="421"/>
      <c r="B45" s="422"/>
      <c r="H45" s="423"/>
    </row>
    <row r="46" spans="1:14" ht="26.25" customHeight="1" x14ac:dyDescent="0.4">
      <c r="A46" s="421" t="s">
        <v>127</v>
      </c>
      <c r="B46" s="424">
        <v>1</v>
      </c>
      <c r="C46" s="367" t="s">
        <v>128</v>
      </c>
      <c r="D46" s="425">
        <v>50</v>
      </c>
      <c r="E46" s="367" t="str">
        <f>B20</f>
        <v>Sodium Bicarbonate</v>
      </c>
      <c r="H46" s="423"/>
    </row>
    <row r="47" spans="1:14" ht="18.75" x14ac:dyDescent="0.3">
      <c r="A47" s="421"/>
      <c r="B47" s="426"/>
      <c r="H47" s="423"/>
    </row>
    <row r="48" spans="1:14" ht="26.25" customHeight="1" x14ac:dyDescent="0.4">
      <c r="A48" s="365" t="s">
        <v>129</v>
      </c>
      <c r="B48" s="427">
        <v>42</v>
      </c>
      <c r="C48" s="369" t="str">
        <f>B20</f>
        <v>Sodium Bicarbonate</v>
      </c>
      <c r="H48" s="423"/>
    </row>
    <row r="49" spans="1:10" ht="19.5" customHeight="1" thickBot="1" x14ac:dyDescent="0.35">
      <c r="A49" s="369"/>
      <c r="B49" s="369"/>
      <c r="C49" s="369"/>
      <c r="D49" s="369"/>
      <c r="H49" s="423"/>
    </row>
    <row r="50" spans="1:10" ht="19.5" customHeight="1" thickBot="1" x14ac:dyDescent="0.35">
      <c r="C50" s="369"/>
      <c r="D50" s="369"/>
      <c r="E50" s="369"/>
      <c r="F50" s="369"/>
      <c r="G50" s="428" t="s">
        <v>130</v>
      </c>
      <c r="H50" s="429"/>
      <c r="J50" s="430"/>
    </row>
    <row r="51" spans="1:10" ht="19.5" customHeight="1" thickBot="1" x14ac:dyDescent="0.35">
      <c r="A51" s="431" t="s">
        <v>131</v>
      </c>
      <c r="B51" s="381" t="s">
        <v>132</v>
      </c>
      <c r="C51" s="381" t="s">
        <v>133</v>
      </c>
      <c r="D51" s="381" t="s">
        <v>134</v>
      </c>
      <c r="E51" s="381" t="s">
        <v>135</v>
      </c>
      <c r="F51" s="432" t="s">
        <v>136</v>
      </c>
      <c r="G51" s="381" t="s">
        <v>137</v>
      </c>
      <c r="H51" s="381" t="s">
        <v>138</v>
      </c>
      <c r="I51" s="433" t="s">
        <v>139</v>
      </c>
      <c r="J51" s="434"/>
    </row>
    <row r="52" spans="1:10" ht="26.25" customHeight="1" x14ac:dyDescent="0.4">
      <c r="A52" s="435" t="s">
        <v>122</v>
      </c>
      <c r="B52" s="436">
        <v>2</v>
      </c>
      <c r="C52" s="437">
        <v>2.4</v>
      </c>
      <c r="D52" s="438">
        <v>0</v>
      </c>
      <c r="E52" s="439">
        <f>IF(ISBLANK(B52),"-",C52-$D$56)</f>
        <v>2.4</v>
      </c>
      <c r="F52" s="440">
        <f>IF(ISBLANK(B52), "-",E52*$G$38)</f>
        <v>2.4076106579061451</v>
      </c>
      <c r="G52" s="441">
        <f>IF(ISBLANK(B52),"-",F52*$B$48)</f>
        <v>101.11964763205809</v>
      </c>
      <c r="H52" s="442">
        <f>IF(ISBLANK(B52),"-",G52*$B$46/B52)</f>
        <v>50.559823816029045</v>
      </c>
      <c r="I52" s="389">
        <f>IF(ISBLANK(B52),"-",H52/$D$46)</f>
        <v>1.011196476320581</v>
      </c>
      <c r="J52" s="443"/>
    </row>
    <row r="53" spans="1:10" ht="26.25" customHeight="1" x14ac:dyDescent="0.4">
      <c r="A53" s="444" t="s">
        <v>123</v>
      </c>
      <c r="B53" s="445">
        <v>2</v>
      </c>
      <c r="C53" s="446">
        <v>2.4</v>
      </c>
      <c r="D53" s="447">
        <v>0</v>
      </c>
      <c r="E53" s="448">
        <f>IF(ISBLANK(B53),"-",C53-$D$56)</f>
        <v>2.4</v>
      </c>
      <c r="F53" s="449">
        <f>IF(ISBLANK(B53), "-",E53*$G$38)</f>
        <v>2.4076106579061451</v>
      </c>
      <c r="G53" s="450">
        <f>IF(ISBLANK(B53),"-",F53*$B$48)</f>
        <v>101.11964763205809</v>
      </c>
      <c r="H53" s="451">
        <f>IF(ISBLANK(B53),"-",G53*$B$46/B53)</f>
        <v>50.559823816029045</v>
      </c>
      <c r="I53" s="396">
        <f>IF(ISBLANK(B53),"-",H53/$D$46)</f>
        <v>1.011196476320581</v>
      </c>
      <c r="J53" s="443"/>
    </row>
    <row r="54" spans="1:10" ht="26.25" customHeight="1" x14ac:dyDescent="0.4">
      <c r="A54" s="444" t="s">
        <v>124</v>
      </c>
      <c r="B54" s="445">
        <v>2</v>
      </c>
      <c r="C54" s="446">
        <v>2.4</v>
      </c>
      <c r="D54" s="447">
        <v>0</v>
      </c>
      <c r="E54" s="448">
        <f>IF(ISBLANK(B54),"-",C54-$D$56)</f>
        <v>2.4</v>
      </c>
      <c r="F54" s="449">
        <f>IF(ISBLANK(B54), "-",E54*$G$38)</f>
        <v>2.4076106579061451</v>
      </c>
      <c r="G54" s="450">
        <f>IF(ISBLANK(B54),"-",F54*$B$48)</f>
        <v>101.11964763205809</v>
      </c>
      <c r="H54" s="451">
        <f>IF(ISBLANK(B54),"-",G54*$B$46/B54)</f>
        <v>50.559823816029045</v>
      </c>
      <c r="I54" s="396">
        <f>IF(ISBLANK(B54),"-",H54/$D$46)</f>
        <v>1.011196476320581</v>
      </c>
      <c r="J54" s="443"/>
    </row>
    <row r="55" spans="1:10" ht="27" customHeight="1" thickBot="1" x14ac:dyDescent="0.45">
      <c r="A55" s="452" t="s">
        <v>125</v>
      </c>
      <c r="B55" s="453"/>
      <c r="C55" s="454"/>
      <c r="D55" s="455"/>
      <c r="E55" s="456" t="str">
        <f>IF(ISBLANK(B55),"-",C55-$D$56)</f>
        <v>-</v>
      </c>
      <c r="F55" s="457" t="str">
        <f>IF(ISBLANK(B55), "-",E55*$G$38)</f>
        <v>-</v>
      </c>
      <c r="G55" s="458" t="str">
        <f>IF(ISBLANK(B55),"-",F55*$B$48)</f>
        <v>-</v>
      </c>
      <c r="H55" s="459" t="str">
        <f>IF(ISBLANK(B55),"-",G55*$B$46/B55)</f>
        <v>-</v>
      </c>
      <c r="I55" s="396" t="str">
        <f>IF(ISBLANK(B55),"-",H55/$D$46)</f>
        <v>-</v>
      </c>
      <c r="J55" s="416"/>
    </row>
    <row r="56" spans="1:10" ht="26.25" customHeight="1" x14ac:dyDescent="0.4">
      <c r="C56" s="460" t="s">
        <v>126</v>
      </c>
      <c r="D56" s="461">
        <f>AVERAGE(D52:D55)</f>
        <v>0</v>
      </c>
      <c r="F56" s="460" t="s">
        <v>126</v>
      </c>
      <c r="G56" s="462">
        <f>AVERAGE(G52:G55)</f>
        <v>101.11964763205809</v>
      </c>
      <c r="H56" s="463">
        <f>AVERAGE(H52:H55)</f>
        <v>50.559823816029045</v>
      </c>
      <c r="I56" s="464">
        <f>AVERAGE(I52:I55)</f>
        <v>1.011196476320581</v>
      </c>
      <c r="J56" s="465"/>
    </row>
    <row r="57" spans="1:10" ht="26.25" customHeight="1" x14ac:dyDescent="0.4">
      <c r="B57" s="349" t="str">
        <f>[1]Uniformity!C46</f>
        <v>% Deviation from mean</v>
      </c>
      <c r="C57" s="411" t="s">
        <v>78</v>
      </c>
      <c r="D57" s="412" t="str">
        <f>IF(D56=0,"-",STDEV(D52:D55)/D56)</f>
        <v>-</v>
      </c>
      <c r="F57" s="411" t="s">
        <v>78</v>
      </c>
      <c r="G57" s="466"/>
      <c r="H57" s="467">
        <f>STDEV(H52:H55)/H56</f>
        <v>0</v>
      </c>
      <c r="I57" s="468">
        <f>STDEV(I52:I55)/I56</f>
        <v>0</v>
      </c>
      <c r="J57" s="469"/>
    </row>
    <row r="58" spans="1:10" ht="27" customHeight="1" thickBot="1" x14ac:dyDescent="0.45">
      <c r="C58" s="414" t="s">
        <v>20</v>
      </c>
      <c r="D58" s="415">
        <f>COUNT(D52:D55)</f>
        <v>3</v>
      </c>
      <c r="F58" s="414" t="s">
        <v>20</v>
      </c>
      <c r="G58" s="470">
        <f>COUNT(G52:G55)</f>
        <v>3</v>
      </c>
      <c r="H58" s="471">
        <f>COUNT(H52:H55)</f>
        <v>3</v>
      </c>
      <c r="I58" s="470">
        <f>COUNT(I52:I55)</f>
        <v>3</v>
      </c>
      <c r="J58" s="472"/>
    </row>
    <row r="59" spans="1:10" ht="18.75" x14ac:dyDescent="0.3">
      <c r="H59" s="423"/>
      <c r="J59" s="369"/>
    </row>
    <row r="60" spans="1:10" ht="18.75" x14ac:dyDescent="0.3">
      <c r="H60" s="423"/>
    </row>
    <row r="61" spans="1:10" ht="19.5" customHeight="1" thickBot="1" x14ac:dyDescent="0.35">
      <c r="A61" s="473"/>
      <c r="B61" s="473"/>
      <c r="C61" s="474"/>
      <c r="D61" s="474"/>
      <c r="E61" s="474"/>
      <c r="F61" s="474"/>
      <c r="G61" s="474"/>
      <c r="H61" s="474"/>
    </row>
    <row r="62" spans="1:10" ht="18.75" x14ac:dyDescent="0.3">
      <c r="B62" s="475" t="s">
        <v>26</v>
      </c>
      <c r="C62" s="475"/>
      <c r="E62" s="476" t="s">
        <v>27</v>
      </c>
      <c r="F62" s="477"/>
      <c r="G62" s="475" t="s">
        <v>28</v>
      </c>
      <c r="H62" s="475"/>
    </row>
    <row r="63" spans="1:10" ht="83.25" customHeight="1" x14ac:dyDescent="0.3">
      <c r="A63" s="478" t="s">
        <v>29</v>
      </c>
      <c r="B63" s="479" t="s">
        <v>165</v>
      </c>
      <c r="C63" s="479"/>
      <c r="E63" s="480"/>
      <c r="F63" s="367"/>
      <c r="G63" s="480"/>
      <c r="H63" s="480"/>
    </row>
    <row r="64" spans="1:10" ht="84" customHeight="1" x14ac:dyDescent="0.3">
      <c r="A64" s="478" t="s">
        <v>30</v>
      </c>
      <c r="B64" s="481"/>
      <c r="C64" s="481"/>
      <c r="E64" s="482"/>
      <c r="F64" s="367"/>
      <c r="G64" s="483"/>
      <c r="H64" s="483"/>
    </row>
    <row r="65" spans="1:9" ht="18.75" x14ac:dyDescent="0.3">
      <c r="A65" s="423"/>
      <c r="B65" s="423"/>
      <c r="C65" s="423"/>
      <c r="D65" s="423"/>
      <c r="E65" s="423"/>
      <c r="F65" s="484"/>
      <c r="G65" s="423"/>
      <c r="H65" s="423"/>
      <c r="I65" s="369"/>
    </row>
    <row r="66" spans="1:9" ht="18.75" x14ac:dyDescent="0.3">
      <c r="A66" s="423"/>
      <c r="B66" s="423"/>
      <c r="C66" s="423"/>
      <c r="D66" s="423"/>
      <c r="E66" s="423"/>
      <c r="F66" s="484"/>
      <c r="G66" s="423"/>
      <c r="H66" s="423"/>
      <c r="I66" s="369"/>
    </row>
    <row r="67" spans="1:9" ht="18.75" x14ac:dyDescent="0.3">
      <c r="A67" s="423"/>
      <c r="B67" s="423"/>
      <c r="C67" s="423"/>
      <c r="D67" s="423"/>
      <c r="E67" s="423"/>
      <c r="F67" s="484"/>
      <c r="G67" s="423"/>
      <c r="H67" s="423"/>
      <c r="I67" s="369"/>
    </row>
    <row r="68" spans="1:9" ht="18.75" x14ac:dyDescent="0.3">
      <c r="A68" s="423"/>
      <c r="B68" s="423"/>
      <c r="C68" s="423"/>
      <c r="D68" s="423"/>
      <c r="E68" s="423"/>
      <c r="F68" s="484"/>
      <c r="G68" s="423"/>
      <c r="H68" s="423"/>
      <c r="I68" s="369"/>
    </row>
    <row r="69" spans="1:9" ht="18.75" x14ac:dyDescent="0.3">
      <c r="A69" s="423"/>
      <c r="B69" s="423"/>
      <c r="C69" s="423"/>
      <c r="D69" s="423"/>
      <c r="E69" s="423"/>
      <c r="F69" s="484"/>
      <c r="G69" s="423"/>
      <c r="H69" s="423"/>
      <c r="I69" s="369"/>
    </row>
    <row r="70" spans="1:9" ht="18.75" x14ac:dyDescent="0.3">
      <c r="A70" s="423"/>
      <c r="B70" s="423"/>
      <c r="C70" s="423"/>
      <c r="D70" s="423"/>
      <c r="E70" s="423"/>
      <c r="F70" s="484"/>
      <c r="G70" s="423"/>
      <c r="H70" s="423"/>
      <c r="I70" s="369"/>
    </row>
    <row r="71" spans="1:9" ht="18.75" x14ac:dyDescent="0.3">
      <c r="A71" s="423"/>
      <c r="B71" s="423"/>
      <c r="C71" s="423"/>
      <c r="D71" s="423"/>
      <c r="E71" s="423"/>
      <c r="F71" s="484"/>
      <c r="G71" s="423"/>
      <c r="H71" s="423"/>
      <c r="I71" s="369"/>
    </row>
    <row r="72" spans="1:9" ht="18.75" x14ac:dyDescent="0.3">
      <c r="A72" s="423"/>
      <c r="B72" s="423"/>
      <c r="C72" s="423"/>
      <c r="D72" s="423"/>
      <c r="E72" s="423"/>
      <c r="F72" s="484"/>
      <c r="G72" s="423"/>
      <c r="H72" s="423"/>
      <c r="I72" s="369"/>
    </row>
    <row r="73" spans="1:9" ht="18.75" x14ac:dyDescent="0.3">
      <c r="A73" s="423"/>
      <c r="B73" s="423"/>
      <c r="C73" s="423"/>
      <c r="D73" s="423"/>
      <c r="E73" s="423"/>
      <c r="F73" s="484"/>
      <c r="G73" s="423"/>
      <c r="H73" s="423"/>
      <c r="I73" s="369"/>
    </row>
    <row r="250" spans="1:1" x14ac:dyDescent="0.3">
      <c r="A250" s="349">
        <v>0</v>
      </c>
    </row>
  </sheetData>
  <sheetProtection password="F258" sheet="1" formatColumns="0" formatRows="0" insertColumns="0" insertHyperlinks="0" deleteColumns="0" deleteRows="0" autoFilter="0" pivotTables="0"/>
  <mergeCells count="7">
    <mergeCell ref="A1:I7"/>
    <mergeCell ref="A8:I14"/>
    <mergeCell ref="A16:H16"/>
    <mergeCell ref="A17:H17"/>
    <mergeCell ref="G50:H50"/>
    <mergeCell ref="B62:C62"/>
    <mergeCell ref="G62:H62"/>
  </mergeCells>
  <conditionalFormatting sqref="E39">
    <cfRule type="cellIs" dxfId="13" priority="1" operator="greaterThan">
      <formula>0.002</formula>
    </cfRule>
  </conditionalFormatting>
  <conditionalFormatting sqref="F39">
    <cfRule type="cellIs" dxfId="12" priority="2" operator="greaterThan">
      <formula>0.002</formula>
    </cfRule>
  </conditionalFormatting>
  <conditionalFormatting sqref="G57">
    <cfRule type="cellIs" dxfId="11" priority="3" operator="greaterThan">
      <formula>0.02</formula>
    </cfRule>
  </conditionalFormatting>
  <conditionalFormatting sqref="H57">
    <cfRule type="cellIs" dxfId="10" priority="4" operator="greaterThan">
      <formula>0.02</formula>
    </cfRule>
  </conditionalFormatting>
  <conditionalFormatting sqref="I57">
    <cfRule type="cellIs" dxfId="9" priority="5" operator="greaterThan">
      <formula>0.02</formula>
    </cfRule>
  </conditionalFormatting>
  <conditionalFormatting sqref="J57">
    <cfRule type="cellIs" dxfId="8" priority="6" operator="greaterThan">
      <formula>0.02</formula>
    </cfRule>
  </conditionalFormatting>
  <conditionalFormatting sqref="F38">
    <cfRule type="cellIs" dxfId="7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40" zoomScale="55" zoomScaleNormal="75" zoomScalePageLayoutView="55" workbookViewId="0">
      <selection activeCell="I60" sqref="I60"/>
    </sheetView>
  </sheetViews>
  <sheetFormatPr defaultRowHeight="16.5" x14ac:dyDescent="0.3"/>
  <cols>
    <col min="1" max="1" width="66.28515625" style="349" customWidth="1"/>
    <col min="2" max="2" width="32.28515625" style="349" customWidth="1"/>
    <col min="3" max="3" width="33.28515625" style="349" customWidth="1"/>
    <col min="4" max="4" width="30.5703125" style="349" customWidth="1"/>
    <col min="5" max="5" width="33.5703125" style="349" customWidth="1"/>
    <col min="6" max="6" width="39.85546875" style="349" customWidth="1"/>
    <col min="7" max="7" width="31.7109375" style="349" customWidth="1"/>
    <col min="8" max="8" width="31.140625" style="349" customWidth="1"/>
    <col min="9" max="9" width="32.28515625" style="347" customWidth="1"/>
    <col min="10" max="10" width="22.28515625" style="347" customWidth="1"/>
    <col min="11" max="11" width="19.5703125" style="347" customWidth="1"/>
    <col min="12" max="12" width="21.140625" style="347" customWidth="1"/>
    <col min="13" max="13" width="9.140625" style="347" customWidth="1"/>
    <col min="14" max="16384" width="9.140625" style="354"/>
  </cols>
  <sheetData>
    <row r="1" spans="1:9" ht="15" x14ac:dyDescent="0.3">
      <c r="A1" s="346" t="s">
        <v>109</v>
      </c>
      <c r="B1" s="346"/>
      <c r="C1" s="346"/>
      <c r="D1" s="346"/>
      <c r="E1" s="346"/>
      <c r="F1" s="346"/>
      <c r="G1" s="346"/>
      <c r="H1" s="346"/>
      <c r="I1" s="346"/>
    </row>
    <row r="2" spans="1:9" ht="15" x14ac:dyDescent="0.3">
      <c r="A2" s="346"/>
      <c r="B2" s="346"/>
      <c r="C2" s="346"/>
      <c r="D2" s="346"/>
      <c r="E2" s="346"/>
      <c r="F2" s="346"/>
      <c r="G2" s="346"/>
      <c r="H2" s="346"/>
      <c r="I2" s="346"/>
    </row>
    <row r="3" spans="1:9" ht="15" x14ac:dyDescent="0.3">
      <c r="A3" s="346"/>
      <c r="B3" s="346"/>
      <c r="C3" s="346"/>
      <c r="D3" s="346"/>
      <c r="E3" s="346"/>
      <c r="F3" s="346"/>
      <c r="G3" s="346"/>
      <c r="H3" s="346"/>
      <c r="I3" s="346"/>
    </row>
    <row r="4" spans="1:9" ht="15" x14ac:dyDescent="0.3">
      <c r="A4" s="346"/>
      <c r="B4" s="346"/>
      <c r="C4" s="346"/>
      <c r="D4" s="346"/>
      <c r="E4" s="346"/>
      <c r="F4" s="346"/>
      <c r="G4" s="346"/>
      <c r="H4" s="346"/>
      <c r="I4" s="346"/>
    </row>
    <row r="5" spans="1:9" ht="15" x14ac:dyDescent="0.3">
      <c r="A5" s="346"/>
      <c r="B5" s="346"/>
      <c r="C5" s="346"/>
      <c r="D5" s="346"/>
      <c r="E5" s="346"/>
      <c r="F5" s="346"/>
      <c r="G5" s="346"/>
      <c r="H5" s="346"/>
      <c r="I5" s="346"/>
    </row>
    <row r="6" spans="1:9" ht="15" x14ac:dyDescent="0.3">
      <c r="A6" s="346"/>
      <c r="B6" s="346"/>
      <c r="C6" s="346"/>
      <c r="D6" s="346"/>
      <c r="E6" s="346"/>
      <c r="F6" s="346"/>
      <c r="G6" s="346"/>
      <c r="H6" s="346"/>
      <c r="I6" s="346"/>
    </row>
    <row r="7" spans="1:9" ht="15" x14ac:dyDescent="0.3">
      <c r="A7" s="346"/>
      <c r="B7" s="346"/>
      <c r="C7" s="346"/>
      <c r="D7" s="346"/>
      <c r="E7" s="346"/>
      <c r="F7" s="346"/>
      <c r="G7" s="346"/>
      <c r="H7" s="346"/>
      <c r="I7" s="346"/>
    </row>
    <row r="8" spans="1:9" ht="15" x14ac:dyDescent="0.3">
      <c r="A8" s="348" t="s">
        <v>49</v>
      </c>
      <c r="B8" s="348"/>
      <c r="C8" s="348"/>
      <c r="D8" s="348"/>
      <c r="E8" s="348"/>
      <c r="F8" s="348"/>
      <c r="G8" s="348"/>
      <c r="H8" s="348"/>
      <c r="I8" s="348"/>
    </row>
    <row r="9" spans="1:9" ht="15" x14ac:dyDescent="0.3">
      <c r="A9" s="348"/>
      <c r="B9" s="348"/>
      <c r="C9" s="348"/>
      <c r="D9" s="348"/>
      <c r="E9" s="348"/>
      <c r="F9" s="348"/>
      <c r="G9" s="348"/>
      <c r="H9" s="348"/>
      <c r="I9" s="348"/>
    </row>
    <row r="10" spans="1:9" ht="15" x14ac:dyDescent="0.3">
      <c r="A10" s="348"/>
      <c r="B10" s="348"/>
      <c r="C10" s="348"/>
      <c r="D10" s="348"/>
      <c r="E10" s="348"/>
      <c r="F10" s="348"/>
      <c r="G10" s="348"/>
      <c r="H10" s="348"/>
      <c r="I10" s="348"/>
    </row>
    <row r="11" spans="1:9" ht="15" x14ac:dyDescent="0.3">
      <c r="A11" s="348"/>
      <c r="B11" s="348"/>
      <c r="C11" s="348"/>
      <c r="D11" s="348"/>
      <c r="E11" s="348"/>
      <c r="F11" s="348"/>
      <c r="G11" s="348"/>
      <c r="H11" s="348"/>
      <c r="I11" s="348"/>
    </row>
    <row r="12" spans="1:9" ht="15" x14ac:dyDescent="0.3">
      <c r="A12" s="348"/>
      <c r="B12" s="348"/>
      <c r="C12" s="348"/>
      <c r="D12" s="348"/>
      <c r="E12" s="348"/>
      <c r="F12" s="348"/>
      <c r="G12" s="348"/>
      <c r="H12" s="348"/>
      <c r="I12" s="348"/>
    </row>
    <row r="13" spans="1:9" ht="15" x14ac:dyDescent="0.3">
      <c r="A13" s="348"/>
      <c r="B13" s="348"/>
      <c r="C13" s="348"/>
      <c r="D13" s="348"/>
      <c r="E13" s="348"/>
      <c r="F13" s="348"/>
      <c r="G13" s="348"/>
      <c r="H13" s="348"/>
      <c r="I13" s="348"/>
    </row>
    <row r="14" spans="1:9" ht="15" x14ac:dyDescent="0.3">
      <c r="A14" s="348"/>
      <c r="B14" s="348"/>
      <c r="C14" s="348"/>
      <c r="D14" s="348"/>
      <c r="E14" s="348"/>
      <c r="F14" s="348"/>
      <c r="G14" s="348"/>
      <c r="H14" s="348"/>
      <c r="I14" s="348"/>
    </row>
    <row r="15" spans="1:9" ht="19.5" customHeight="1" thickBot="1" x14ac:dyDescent="0.35"/>
    <row r="16" spans="1:9" ht="19.5" customHeight="1" thickBot="1" x14ac:dyDescent="0.35">
      <c r="A16" s="350" t="s">
        <v>31</v>
      </c>
      <c r="B16" s="351"/>
      <c r="C16" s="351"/>
      <c r="D16" s="351"/>
      <c r="E16" s="351"/>
      <c r="F16" s="351"/>
      <c r="G16" s="351"/>
      <c r="H16" s="352"/>
    </row>
    <row r="17" spans="1:14" ht="18.75" x14ac:dyDescent="0.3">
      <c r="A17" s="353" t="s">
        <v>50</v>
      </c>
      <c r="B17" s="353"/>
      <c r="C17" s="353"/>
      <c r="D17" s="353"/>
      <c r="E17" s="353"/>
      <c r="F17" s="353"/>
      <c r="G17" s="353"/>
      <c r="H17" s="353"/>
    </row>
    <row r="18" spans="1:14" ht="18.75" x14ac:dyDescent="0.3">
      <c r="A18" s="355" t="s">
        <v>33</v>
      </c>
      <c r="B18" s="356" t="s">
        <v>5</v>
      </c>
      <c r="C18" s="356"/>
      <c r="D18" s="356"/>
      <c r="E18" s="356"/>
    </row>
    <row r="19" spans="1:14" ht="18.75" x14ac:dyDescent="0.3">
      <c r="A19" s="355" t="s">
        <v>34</v>
      </c>
      <c r="B19" s="357" t="s">
        <v>7</v>
      </c>
      <c r="C19" s="358">
        <v>22</v>
      </c>
    </row>
    <row r="20" spans="1:14" ht="18.75" x14ac:dyDescent="0.3">
      <c r="A20" s="355" t="s">
        <v>35</v>
      </c>
      <c r="B20" s="357" t="s">
        <v>9</v>
      </c>
    </row>
    <row r="21" spans="1:14" ht="18.75" x14ac:dyDescent="0.3">
      <c r="A21" s="355" t="s">
        <v>36</v>
      </c>
      <c r="B21" s="359" t="s">
        <v>11</v>
      </c>
      <c r="C21" s="359"/>
      <c r="D21" s="359"/>
      <c r="E21" s="359"/>
      <c r="F21" s="359"/>
      <c r="G21" s="359"/>
      <c r="H21" s="359"/>
      <c r="I21" s="360"/>
    </row>
    <row r="22" spans="1:14" ht="18.75" x14ac:dyDescent="0.3">
      <c r="A22" s="355" t="s">
        <v>37</v>
      </c>
      <c r="B22" s="361" t="s">
        <v>12</v>
      </c>
    </row>
    <row r="23" spans="1:14" ht="18.75" x14ac:dyDescent="0.3">
      <c r="A23" s="355" t="s">
        <v>38</v>
      </c>
      <c r="B23" s="361">
        <v>42251</v>
      </c>
    </row>
    <row r="24" spans="1:14" ht="18.75" x14ac:dyDescent="0.3">
      <c r="A24" s="355"/>
      <c r="B24" s="362"/>
    </row>
    <row r="25" spans="1:14" ht="18.75" x14ac:dyDescent="0.3">
      <c r="A25" s="363" t="s">
        <v>1</v>
      </c>
      <c r="B25" s="364" t="s">
        <v>110</v>
      </c>
    </row>
    <row r="26" spans="1:14" s="370" customFormat="1" ht="18.75" x14ac:dyDescent="0.3">
      <c r="A26" s="365"/>
      <c r="B26" s="366"/>
      <c r="C26" s="367"/>
      <c r="D26" s="367"/>
      <c r="E26" s="367"/>
      <c r="F26" s="367"/>
      <c r="G26" s="367"/>
      <c r="H26" s="367"/>
      <c r="I26" s="368"/>
      <c r="J26" s="368"/>
      <c r="K26" s="368"/>
      <c r="L26" s="368"/>
      <c r="M26" s="368"/>
      <c r="N26" s="369"/>
    </row>
    <row r="27" spans="1:14" s="370" customFormat="1" ht="26.25" customHeight="1" x14ac:dyDescent="0.4">
      <c r="A27" s="371" t="s">
        <v>4</v>
      </c>
      <c r="B27" s="372" t="s">
        <v>166</v>
      </c>
      <c r="C27" s="373"/>
      <c r="D27" s="369"/>
      <c r="E27" s="369"/>
      <c r="F27" s="369"/>
      <c r="G27" s="369"/>
      <c r="H27" s="367"/>
      <c r="I27" s="368"/>
      <c r="J27" s="368"/>
      <c r="K27" s="368"/>
      <c r="L27" s="368"/>
      <c r="M27" s="368"/>
      <c r="N27" s="369"/>
    </row>
    <row r="28" spans="1:14" s="370" customFormat="1" ht="26.25" customHeight="1" x14ac:dyDescent="0.4">
      <c r="A28" s="374" t="s">
        <v>111</v>
      </c>
      <c r="B28" s="373">
        <v>58.44</v>
      </c>
      <c r="C28" s="375"/>
      <c r="D28" s="376"/>
      <c r="E28" s="376"/>
      <c r="F28" s="376"/>
      <c r="G28" s="376"/>
      <c r="H28" s="367"/>
      <c r="I28" s="368"/>
      <c r="J28" s="368"/>
      <c r="K28" s="368"/>
      <c r="L28" s="368"/>
      <c r="M28" s="368"/>
      <c r="N28" s="369"/>
    </row>
    <row r="29" spans="1:14" s="370" customFormat="1" ht="26.25" customHeight="1" x14ac:dyDescent="0.4">
      <c r="A29" s="365" t="s">
        <v>112</v>
      </c>
      <c r="B29" s="377">
        <v>0.1</v>
      </c>
      <c r="C29" s="375"/>
      <c r="D29" s="376"/>
      <c r="E29" s="376"/>
      <c r="F29" s="376"/>
      <c r="G29" s="376"/>
      <c r="H29" s="367"/>
      <c r="I29" s="368"/>
      <c r="J29" s="368"/>
      <c r="K29" s="368"/>
      <c r="L29" s="368"/>
      <c r="M29" s="368"/>
      <c r="N29" s="369"/>
    </row>
    <row r="30" spans="1:14" s="370" customFormat="1" ht="18.75" x14ac:dyDescent="0.3">
      <c r="A30" s="378" t="s">
        <v>113</v>
      </c>
      <c r="B30" s="379">
        <v>1</v>
      </c>
      <c r="C30" s="380" t="s">
        <v>114</v>
      </c>
      <c r="D30" s="379">
        <v>1</v>
      </c>
      <c r="F30" s="367"/>
      <c r="G30" s="367"/>
      <c r="H30" s="367"/>
      <c r="I30" s="368"/>
      <c r="J30" s="368"/>
      <c r="K30" s="368"/>
      <c r="L30" s="368"/>
      <c r="M30" s="368"/>
      <c r="N30" s="369"/>
    </row>
    <row r="31" spans="1:14" s="370" customFormat="1" ht="18.75" x14ac:dyDescent="0.3">
      <c r="A31" s="365"/>
      <c r="B31" s="366"/>
      <c r="C31" s="367"/>
      <c r="D31" s="367"/>
      <c r="E31" s="367"/>
      <c r="F31" s="367"/>
      <c r="G31" s="367"/>
      <c r="H31" s="367"/>
      <c r="I31" s="368"/>
      <c r="J31" s="368"/>
      <c r="K31" s="368"/>
      <c r="L31" s="368"/>
      <c r="M31" s="368"/>
      <c r="N31" s="369"/>
    </row>
    <row r="32" spans="1:14" s="370" customFormat="1" ht="19.5" customHeight="1" thickBot="1" x14ac:dyDescent="0.35">
      <c r="A32" s="365"/>
      <c r="B32" s="366"/>
      <c r="C32" s="367"/>
      <c r="D32" s="367"/>
      <c r="E32" s="367"/>
      <c r="F32" s="367"/>
      <c r="G32" s="367"/>
      <c r="H32" s="367"/>
      <c r="I32" s="368"/>
      <c r="J32" s="368"/>
      <c r="K32" s="368"/>
      <c r="L32" s="368"/>
      <c r="M32" s="368"/>
      <c r="N32" s="369"/>
    </row>
    <row r="33" spans="1:14" s="370" customFormat="1" ht="19.5" customHeight="1" thickBot="1" x14ac:dyDescent="0.35">
      <c r="A33" s="381" t="s">
        <v>115</v>
      </c>
      <c r="B33" s="381" t="s">
        <v>116</v>
      </c>
      <c r="C33" s="382" t="s">
        <v>117</v>
      </c>
      <c r="D33" s="381" t="s">
        <v>118</v>
      </c>
      <c r="E33" s="383" t="s">
        <v>119</v>
      </c>
      <c r="F33" s="383" t="s">
        <v>120</v>
      </c>
      <c r="G33" s="381" t="s">
        <v>121</v>
      </c>
      <c r="J33" s="368"/>
      <c r="K33" s="368"/>
      <c r="L33" s="368"/>
      <c r="M33" s="368"/>
      <c r="N33" s="369"/>
    </row>
    <row r="34" spans="1:14" s="370" customFormat="1" ht="26.25" customHeight="1" x14ac:dyDescent="0.4">
      <c r="A34" s="384" t="s">
        <v>122</v>
      </c>
      <c r="B34" s="385">
        <v>50.01</v>
      </c>
      <c r="C34" s="386">
        <f>IF(ISBLANK(B34), "-",B34/$B$28*($B$30/$D$30))</f>
        <v>0.85574948665297745</v>
      </c>
      <c r="D34" s="387">
        <v>8.5</v>
      </c>
      <c r="E34" s="388">
        <f>IF(ISBLANK(B34), "-",C34/D34)</f>
        <v>0.10067641019446794</v>
      </c>
      <c r="F34" s="389">
        <f>IF(ISBLANK(B34), "-",(E34-$B$29)/$B$29)</f>
        <v>6.7641019446793016E-3</v>
      </c>
      <c r="G34" s="390">
        <f>IF(ISBLANK(B34),"-",E34/$B$29)</f>
        <v>1.0067641019446794</v>
      </c>
      <c r="J34" s="368"/>
      <c r="K34" s="368"/>
      <c r="L34" s="368"/>
      <c r="M34" s="368"/>
      <c r="N34" s="369"/>
    </row>
    <row r="35" spans="1:14" s="370" customFormat="1" ht="26.25" customHeight="1" x14ac:dyDescent="0.4">
      <c r="A35" s="391" t="s">
        <v>123</v>
      </c>
      <c r="B35" s="392">
        <v>50.15</v>
      </c>
      <c r="C35" s="393">
        <f>IF(ISBLANK(B35), "-",B35/$B$28*($B$30/$D$30))</f>
        <v>0.85814510609171801</v>
      </c>
      <c r="D35" s="394">
        <v>8.5</v>
      </c>
      <c r="E35" s="395">
        <f>IF(ISBLANK(B35), "-",C35/D35)</f>
        <v>0.10095824777549624</v>
      </c>
      <c r="F35" s="396">
        <f>IF(ISBLANK(B35), "-",(E35-$B$29)/$B$29)</f>
        <v>9.5824777549623208E-3</v>
      </c>
      <c r="G35" s="397">
        <f>IF(ISBLANK(B35),"-",E35/$B$29)</f>
        <v>1.0095824777549622</v>
      </c>
      <c r="J35" s="368"/>
      <c r="K35" s="368"/>
      <c r="L35" s="368"/>
      <c r="M35" s="368"/>
      <c r="N35" s="369"/>
    </row>
    <row r="36" spans="1:14" s="370" customFormat="1" ht="26.25" customHeight="1" x14ac:dyDescent="0.4">
      <c r="A36" s="391" t="s">
        <v>124</v>
      </c>
      <c r="B36" s="392">
        <v>50.08</v>
      </c>
      <c r="C36" s="393">
        <f>IF(ISBLANK(B36), "-",B36/$B$28*($B$30/$D$30))</f>
        <v>0.85694729637234768</v>
      </c>
      <c r="D36" s="394">
        <v>8.5</v>
      </c>
      <c r="E36" s="395">
        <f>IF(ISBLANK(B36), "-",C36/D36)</f>
        <v>0.10081732898498208</v>
      </c>
      <c r="F36" s="396">
        <f>IF(ISBLANK(B36), "-",(E36-$B$29)/$B$29)</f>
        <v>8.1732898498207418E-3</v>
      </c>
      <c r="G36" s="397">
        <f>IF(ISBLANK(B36),"-",E36/$B$29)</f>
        <v>1.0081732898498208</v>
      </c>
      <c r="J36" s="368"/>
      <c r="K36" s="368"/>
      <c r="L36" s="368"/>
      <c r="M36" s="368"/>
      <c r="N36" s="369"/>
    </row>
    <row r="37" spans="1:14" s="370" customFormat="1" ht="27" customHeight="1" thickBot="1" x14ac:dyDescent="0.45">
      <c r="A37" s="398" t="s">
        <v>125</v>
      </c>
      <c r="B37" s="399"/>
      <c r="C37" s="400" t="str">
        <f>IF(ISBLANK(B37), "-",B37/$B$28*($B$30/$D$30))</f>
        <v>-</v>
      </c>
      <c r="D37" s="401"/>
      <c r="E37" s="402" t="str">
        <f>IF(ISBLANK(B37), "-",C37/D37)</f>
        <v>-</v>
      </c>
      <c r="F37" s="403" t="str">
        <f>IF(ISBLANK(B37), "-",(E37-$B$29)/$B$29)</f>
        <v>-</v>
      </c>
      <c r="G37" s="404" t="str">
        <f>IF(ISBLANK(B37),"-",E37/$B$29)</f>
        <v>-</v>
      </c>
      <c r="J37" s="368"/>
      <c r="K37" s="368"/>
      <c r="L37" s="368"/>
      <c r="M37" s="368"/>
      <c r="N37" s="369"/>
    </row>
    <row r="38" spans="1:14" ht="19.5" customHeight="1" thickBot="1" x14ac:dyDescent="0.35">
      <c r="A38" s="369"/>
      <c r="B38" s="369"/>
      <c r="C38" s="369"/>
      <c r="D38" s="405" t="s">
        <v>126</v>
      </c>
      <c r="E38" s="406">
        <f>AVERAGE(E34:E37)</f>
        <v>0.10081732898498208</v>
      </c>
      <c r="F38" s="407">
        <f>AVERAGE(F34:F37)</f>
        <v>8.1732898498207886E-3</v>
      </c>
      <c r="G38" s="408">
        <f>AVERAGE(G34:G37)</f>
        <v>1.0081732898498208</v>
      </c>
      <c r="H38" s="369"/>
      <c r="L38" s="368"/>
      <c r="M38" s="368"/>
      <c r="N38" s="369"/>
    </row>
    <row r="39" spans="1:14" ht="18.75" x14ac:dyDescent="0.3">
      <c r="A39" s="369"/>
      <c r="B39" s="409"/>
      <c r="C39" s="410"/>
      <c r="D39" s="411" t="s">
        <v>78</v>
      </c>
      <c r="E39" s="412">
        <f>STDEV(E34:E37)/E38</f>
        <v>1.3977635782747473E-3</v>
      </c>
      <c r="F39" s="413"/>
      <c r="G39" s="369"/>
      <c r="H39" s="369"/>
    </row>
    <row r="40" spans="1:14" ht="19.5" customHeight="1" thickBot="1" x14ac:dyDescent="0.35">
      <c r="A40" s="369"/>
      <c r="B40" s="409"/>
      <c r="C40" s="410"/>
      <c r="D40" s="414" t="s">
        <v>20</v>
      </c>
      <c r="E40" s="415">
        <f>COUNT(E34:E37)</f>
        <v>3</v>
      </c>
      <c r="F40" s="416"/>
      <c r="G40" s="369"/>
      <c r="H40" s="369"/>
    </row>
    <row r="41" spans="1:14" ht="18.75" x14ac:dyDescent="0.3">
      <c r="A41" s="417"/>
      <c r="B41" s="418"/>
      <c r="C41" s="409"/>
      <c r="D41" s="409"/>
      <c r="E41" s="409"/>
      <c r="F41" s="419"/>
      <c r="G41" s="369"/>
      <c r="H41" s="369"/>
    </row>
    <row r="43" spans="1:14" ht="18.75" x14ac:dyDescent="0.3">
      <c r="A43" s="420" t="s">
        <v>1</v>
      </c>
      <c r="B43" s="364" t="s">
        <v>79</v>
      </c>
    </row>
    <row r="44" spans="1:14" ht="18.75" x14ac:dyDescent="0.3">
      <c r="A44" s="365" t="s">
        <v>80</v>
      </c>
      <c r="B44" s="421" t="str">
        <f>B21</f>
        <v>Each Pack contains: Artesunate 60 Mg</v>
      </c>
    </row>
    <row r="45" spans="1:14" ht="18.75" x14ac:dyDescent="0.3">
      <c r="A45" s="421"/>
      <c r="B45" s="422"/>
      <c r="H45" s="423"/>
    </row>
    <row r="46" spans="1:14" ht="26.25" customHeight="1" x14ac:dyDescent="0.4">
      <c r="A46" s="421" t="s">
        <v>127</v>
      </c>
      <c r="B46" s="424">
        <v>100</v>
      </c>
      <c r="C46" s="367" t="s">
        <v>128</v>
      </c>
      <c r="D46" s="425">
        <v>900</v>
      </c>
      <c r="E46" s="367" t="str">
        <f>B20</f>
        <v xml:space="preserve">ARTESUNATE </v>
      </c>
      <c r="H46" s="423"/>
    </row>
    <row r="47" spans="1:14" ht="18.75" x14ac:dyDescent="0.3">
      <c r="A47" s="421"/>
      <c r="B47" s="426"/>
      <c r="H47" s="423"/>
    </row>
    <row r="48" spans="1:14" ht="26.25" customHeight="1" x14ac:dyDescent="0.4">
      <c r="A48" s="365" t="s">
        <v>129</v>
      </c>
      <c r="B48" s="427">
        <v>5.8440000000000003</v>
      </c>
      <c r="C48" s="369" t="str">
        <f>B20</f>
        <v xml:space="preserve">ARTESUNATE </v>
      </c>
      <c r="H48" s="423"/>
    </row>
    <row r="49" spans="1:10" ht="19.5" customHeight="1" thickBot="1" x14ac:dyDescent="0.35">
      <c r="A49" s="369"/>
      <c r="B49" s="369"/>
      <c r="C49" s="369"/>
      <c r="D49" s="369"/>
      <c r="H49" s="423"/>
    </row>
    <row r="50" spans="1:10" ht="19.5" customHeight="1" thickBot="1" x14ac:dyDescent="0.35">
      <c r="C50" s="369"/>
      <c r="D50" s="369"/>
      <c r="E50" s="369"/>
      <c r="F50" s="369"/>
      <c r="G50" s="428" t="s">
        <v>130</v>
      </c>
      <c r="H50" s="429"/>
      <c r="J50" s="430"/>
    </row>
    <row r="51" spans="1:10" ht="19.5" customHeight="1" thickBot="1" x14ac:dyDescent="0.35">
      <c r="A51" s="431" t="s">
        <v>131</v>
      </c>
      <c r="B51" s="381" t="s">
        <v>132</v>
      </c>
      <c r="C51" s="381" t="s">
        <v>133</v>
      </c>
      <c r="D51" s="381" t="s">
        <v>134</v>
      </c>
      <c r="E51" s="381" t="s">
        <v>135</v>
      </c>
      <c r="F51" s="432" t="s">
        <v>136</v>
      </c>
      <c r="G51" s="381" t="s">
        <v>137</v>
      </c>
      <c r="H51" s="381" t="s">
        <v>138</v>
      </c>
      <c r="I51" s="433" t="s">
        <v>139</v>
      </c>
      <c r="J51" s="434"/>
    </row>
    <row r="52" spans="1:10" ht="26.25" customHeight="1" x14ac:dyDescent="0.4">
      <c r="A52" s="435" t="s">
        <v>122</v>
      </c>
      <c r="B52" s="436">
        <v>4</v>
      </c>
      <c r="C52" s="437">
        <v>6.1</v>
      </c>
      <c r="D52" s="438">
        <v>0</v>
      </c>
      <c r="E52" s="439">
        <f>IF(ISBLANK(B52),"-",C52-$D$56)</f>
        <v>6.1</v>
      </c>
      <c r="F52" s="440">
        <f>IF(ISBLANK(B52), "-",E52*$G$38)</f>
        <v>6.1498570680839064</v>
      </c>
      <c r="G52" s="441">
        <f>IF(ISBLANK(B52),"-",F52*$B$48)</f>
        <v>35.939764705882354</v>
      </c>
      <c r="H52" s="442">
        <f>IF(ISBLANK(B52),"-",G52*$B$46/B52)</f>
        <v>898.49411764705883</v>
      </c>
      <c r="I52" s="389">
        <f>IF(ISBLANK(B52),"-",H52/$D$46)</f>
        <v>0.99832679738562091</v>
      </c>
      <c r="J52" s="443"/>
    </row>
    <row r="53" spans="1:10" ht="26.25" customHeight="1" x14ac:dyDescent="0.4">
      <c r="A53" s="444" t="s">
        <v>123</v>
      </c>
      <c r="B53" s="445">
        <v>4</v>
      </c>
      <c r="C53" s="446">
        <v>6.1</v>
      </c>
      <c r="D53" s="447">
        <v>0</v>
      </c>
      <c r="E53" s="448">
        <f>IF(ISBLANK(B53),"-",C53-$D$56)</f>
        <v>6.1</v>
      </c>
      <c r="F53" s="449">
        <f>IF(ISBLANK(B53), "-",E53*$G$38)</f>
        <v>6.1498570680839064</v>
      </c>
      <c r="G53" s="450">
        <f>IF(ISBLANK(B53),"-",F53*$B$48)</f>
        <v>35.939764705882354</v>
      </c>
      <c r="H53" s="451">
        <f>IF(ISBLANK(B53),"-",G53*$B$46/B53)</f>
        <v>898.49411764705883</v>
      </c>
      <c r="I53" s="396">
        <f>IF(ISBLANK(B53),"-",H53/$D$46)</f>
        <v>0.99832679738562091</v>
      </c>
      <c r="J53" s="443"/>
    </row>
    <row r="54" spans="1:10" ht="26.25" customHeight="1" x14ac:dyDescent="0.4">
      <c r="A54" s="444" t="s">
        <v>124</v>
      </c>
      <c r="B54" s="445">
        <v>4</v>
      </c>
      <c r="C54" s="446">
        <v>6.1</v>
      </c>
      <c r="D54" s="447">
        <v>0</v>
      </c>
      <c r="E54" s="448">
        <f>IF(ISBLANK(B54),"-",C54-$D$56)</f>
        <v>6.1</v>
      </c>
      <c r="F54" s="449">
        <f>IF(ISBLANK(B54), "-",E54*$G$38)</f>
        <v>6.1498570680839064</v>
      </c>
      <c r="G54" s="450">
        <f>IF(ISBLANK(B54),"-",F54*$B$48)</f>
        <v>35.939764705882354</v>
      </c>
      <c r="H54" s="451">
        <f>IF(ISBLANK(B54),"-",G54*$B$46/B54)</f>
        <v>898.49411764705883</v>
      </c>
      <c r="I54" s="396">
        <f>IF(ISBLANK(B54),"-",H54/$D$46)</f>
        <v>0.99832679738562091</v>
      </c>
      <c r="J54" s="443"/>
    </row>
    <row r="55" spans="1:10" ht="27" customHeight="1" thickBot="1" x14ac:dyDescent="0.45">
      <c r="A55" s="452" t="s">
        <v>125</v>
      </c>
      <c r="B55" s="453"/>
      <c r="C55" s="454"/>
      <c r="D55" s="455"/>
      <c r="E55" s="456" t="str">
        <f>IF(ISBLANK(B55),"-",C55-$D$56)</f>
        <v>-</v>
      </c>
      <c r="F55" s="457" t="str">
        <f>IF(ISBLANK(B55), "-",E55*$G$38)</f>
        <v>-</v>
      </c>
      <c r="G55" s="458" t="str">
        <f>IF(ISBLANK(B55),"-",F55*$B$48)</f>
        <v>-</v>
      </c>
      <c r="H55" s="459" t="str">
        <f>IF(ISBLANK(B55),"-",G55*$B$46/B55)</f>
        <v>-</v>
      </c>
      <c r="I55" s="396" t="str">
        <f>IF(ISBLANK(B55),"-",H55/$D$46)</f>
        <v>-</v>
      </c>
      <c r="J55" s="416"/>
    </row>
    <row r="56" spans="1:10" ht="26.25" customHeight="1" x14ac:dyDescent="0.4">
      <c r="C56" s="460" t="s">
        <v>126</v>
      </c>
      <c r="D56" s="461">
        <f>AVERAGE(D52:D55)</f>
        <v>0</v>
      </c>
      <c r="F56" s="460" t="s">
        <v>126</v>
      </c>
      <c r="G56" s="462">
        <f>AVERAGE(G52:G55)</f>
        <v>35.939764705882354</v>
      </c>
      <c r="H56" s="463">
        <f>AVERAGE(H52:H55)</f>
        <v>898.49411764705883</v>
      </c>
      <c r="I56" s="464">
        <f>AVERAGE(I52:I55)</f>
        <v>0.9983267973856208</v>
      </c>
      <c r="J56" s="465"/>
    </row>
    <row r="57" spans="1:10" ht="26.25" customHeight="1" x14ac:dyDescent="0.4">
      <c r="B57" s="349" t="str">
        <f>[1]Uniformity!C46</f>
        <v>% Deviation from mean</v>
      </c>
      <c r="C57" s="411" t="s">
        <v>78</v>
      </c>
      <c r="D57" s="412" t="str">
        <f>IF(D56=0,"-",STDEV(D52:D55)/D56)</f>
        <v>-</v>
      </c>
      <c r="F57" s="411" t="s">
        <v>78</v>
      </c>
      <c r="G57" s="466"/>
      <c r="H57" s="467">
        <f>STDEV(H52:H55)/H56</f>
        <v>0</v>
      </c>
      <c r="I57" s="468">
        <f>STDEV(I52:I55)/I56</f>
        <v>1.3620188890765551E-16</v>
      </c>
      <c r="J57" s="469"/>
    </row>
    <row r="58" spans="1:10" ht="27" customHeight="1" thickBot="1" x14ac:dyDescent="0.45">
      <c r="C58" s="414" t="s">
        <v>20</v>
      </c>
      <c r="D58" s="415">
        <f>COUNT(D52:D55)</f>
        <v>3</v>
      </c>
      <c r="F58" s="414" t="s">
        <v>20</v>
      </c>
      <c r="G58" s="470">
        <f>COUNT(G52:G55)</f>
        <v>3</v>
      </c>
      <c r="H58" s="471">
        <f>COUNT(H52:H55)</f>
        <v>3</v>
      </c>
      <c r="I58" s="470">
        <f>COUNT(I52:I55)</f>
        <v>3</v>
      </c>
      <c r="J58" s="472"/>
    </row>
    <row r="59" spans="1:10" ht="18.75" x14ac:dyDescent="0.3">
      <c r="H59" s="423"/>
      <c r="J59" s="369"/>
    </row>
    <row r="60" spans="1:10" ht="18.75" x14ac:dyDescent="0.3">
      <c r="H60" s="423"/>
    </row>
    <row r="61" spans="1:10" ht="19.5" customHeight="1" thickBot="1" x14ac:dyDescent="0.35">
      <c r="A61" s="473"/>
      <c r="B61" s="473"/>
      <c r="C61" s="474"/>
      <c r="D61" s="474"/>
      <c r="E61" s="474"/>
      <c r="F61" s="474"/>
      <c r="G61" s="474"/>
      <c r="H61" s="474"/>
    </row>
    <row r="62" spans="1:10" ht="18.75" x14ac:dyDescent="0.3">
      <c r="B62" s="475" t="s">
        <v>26</v>
      </c>
      <c r="C62" s="475"/>
      <c r="E62" s="476" t="s">
        <v>27</v>
      </c>
      <c r="F62" s="477"/>
      <c r="G62" s="475" t="s">
        <v>28</v>
      </c>
      <c r="H62" s="475"/>
    </row>
    <row r="63" spans="1:10" ht="83.25" customHeight="1" x14ac:dyDescent="0.3">
      <c r="A63" s="478" t="s">
        <v>29</v>
      </c>
      <c r="B63" s="479" t="s">
        <v>165</v>
      </c>
      <c r="C63" s="479"/>
      <c r="E63" s="480"/>
      <c r="F63" s="367"/>
      <c r="G63" s="480"/>
      <c r="H63" s="480"/>
    </row>
    <row r="64" spans="1:10" ht="84" customHeight="1" x14ac:dyDescent="0.3">
      <c r="A64" s="478" t="s">
        <v>30</v>
      </c>
      <c r="B64" s="481"/>
      <c r="C64" s="481"/>
      <c r="E64" s="482"/>
      <c r="F64" s="367"/>
      <c r="G64" s="483"/>
      <c r="H64" s="483"/>
    </row>
    <row r="65" spans="1:9" ht="18.75" x14ac:dyDescent="0.3">
      <c r="A65" s="423"/>
      <c r="B65" s="423"/>
      <c r="C65" s="423"/>
      <c r="D65" s="423"/>
      <c r="E65" s="423"/>
      <c r="F65" s="484"/>
      <c r="G65" s="423"/>
      <c r="H65" s="423"/>
      <c r="I65" s="369"/>
    </row>
    <row r="66" spans="1:9" ht="18.75" x14ac:dyDescent="0.3">
      <c r="A66" s="423"/>
      <c r="B66" s="423"/>
      <c r="C66" s="423"/>
      <c r="D66" s="423"/>
      <c r="E66" s="423"/>
      <c r="F66" s="484"/>
      <c r="G66" s="423"/>
      <c r="H66" s="423"/>
      <c r="I66" s="369"/>
    </row>
    <row r="67" spans="1:9" ht="18.75" x14ac:dyDescent="0.3">
      <c r="A67" s="423"/>
      <c r="B67" s="423"/>
      <c r="C67" s="423"/>
      <c r="D67" s="423"/>
      <c r="E67" s="423"/>
      <c r="F67" s="484"/>
      <c r="G67" s="423"/>
      <c r="H67" s="423"/>
      <c r="I67" s="369"/>
    </row>
    <row r="68" spans="1:9" ht="18.75" x14ac:dyDescent="0.3">
      <c r="A68" s="423"/>
      <c r="B68" s="423"/>
      <c r="C68" s="423"/>
      <c r="D68" s="423"/>
      <c r="E68" s="423"/>
      <c r="F68" s="484"/>
      <c r="G68" s="423"/>
      <c r="H68" s="423"/>
      <c r="I68" s="369"/>
    </row>
    <row r="69" spans="1:9" ht="18.75" x14ac:dyDescent="0.3">
      <c r="A69" s="423"/>
      <c r="B69" s="423"/>
      <c r="C69" s="423"/>
      <c r="D69" s="423"/>
      <c r="E69" s="423"/>
      <c r="F69" s="484"/>
      <c r="G69" s="423"/>
      <c r="H69" s="423"/>
      <c r="I69" s="369"/>
    </row>
    <row r="70" spans="1:9" ht="18.75" x14ac:dyDescent="0.3">
      <c r="A70" s="423"/>
      <c r="B70" s="423"/>
      <c r="C70" s="423"/>
      <c r="D70" s="423"/>
      <c r="E70" s="423"/>
      <c r="F70" s="484"/>
      <c r="G70" s="423"/>
      <c r="H70" s="423"/>
      <c r="I70" s="369"/>
    </row>
    <row r="71" spans="1:9" ht="18.75" x14ac:dyDescent="0.3">
      <c r="A71" s="423"/>
      <c r="B71" s="423"/>
      <c r="C71" s="423"/>
      <c r="D71" s="423"/>
      <c r="E71" s="423"/>
      <c r="F71" s="484"/>
      <c r="G71" s="423"/>
      <c r="H71" s="423"/>
      <c r="I71" s="369"/>
    </row>
    <row r="72" spans="1:9" ht="18.75" x14ac:dyDescent="0.3">
      <c r="A72" s="423"/>
      <c r="B72" s="423"/>
      <c r="C72" s="423"/>
      <c r="D72" s="423"/>
      <c r="E72" s="423"/>
      <c r="F72" s="484"/>
      <c r="G72" s="423"/>
      <c r="H72" s="423"/>
      <c r="I72" s="369"/>
    </row>
    <row r="73" spans="1:9" ht="18.75" x14ac:dyDescent="0.3">
      <c r="A73" s="423"/>
      <c r="B73" s="423"/>
      <c r="C73" s="423"/>
      <c r="D73" s="423"/>
      <c r="E73" s="423"/>
      <c r="F73" s="484"/>
      <c r="G73" s="423"/>
      <c r="H73" s="423"/>
      <c r="I73" s="369"/>
    </row>
    <row r="250" spans="1:1" x14ac:dyDescent="0.3">
      <c r="A250" s="349">
        <v>0</v>
      </c>
    </row>
  </sheetData>
  <sheetProtection password="F258" sheet="1" formatColumns="0" formatRows="0" insertColumns="0" insertHyperlinks="0" deleteColumns="0" deleteRows="0" autoFilter="0" pivotTables="0"/>
  <mergeCells count="7">
    <mergeCell ref="A1:I7"/>
    <mergeCell ref="A8:I14"/>
    <mergeCell ref="A16:H16"/>
    <mergeCell ref="A17:H17"/>
    <mergeCell ref="G50:H50"/>
    <mergeCell ref="B62:C62"/>
    <mergeCell ref="G62:H62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</vt:lpstr>
      <vt:lpstr>Uniformity</vt:lpstr>
      <vt:lpstr>artesunate</vt:lpstr>
      <vt:lpstr>sodium bicarbonate</vt:lpstr>
      <vt:lpstr>sodium chloride</vt:lpstr>
      <vt:lpstr>'sodium bicarbonate'!Print_Area</vt:lpstr>
      <vt:lpstr>'sodium chloride'!Print_Area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HPLC2_NQCL</cp:lastModifiedBy>
  <dcterms:created xsi:type="dcterms:W3CDTF">2005-07-05T10:19:27Z</dcterms:created>
  <dcterms:modified xsi:type="dcterms:W3CDTF">2016-06-21T06:32:37Z</dcterms:modified>
</cp:coreProperties>
</file>