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3"/>
  </bookViews>
  <sheets>
    <sheet name="SST" sheetId="1" r:id="rId1"/>
    <sheet name="Uniformity" sheetId="2" r:id="rId2"/>
    <sheet name="Sildenafil" sheetId="3" r:id="rId3"/>
    <sheet name="Sildenafil 1" sheetId="4" r:id="rId4"/>
  </sheets>
  <definedNames>
    <definedName name="_xlnm.Print_Area" localSheetId="2">Sildenafil!$A$1:$H$91</definedName>
    <definedName name="_xlnm.Print_Area" localSheetId="3">'Sildenafil 1'!$A$1:$H$126</definedName>
    <definedName name="_xlnm.Print_Area" localSheetId="1">Uniformity!$A$1:$F$44</definedName>
  </definedNames>
  <calcPr calcId="124519"/>
</workbook>
</file>

<file path=xl/calcChain.xml><?xml version="1.0" encoding="utf-8"?>
<calcChain xmlns="http://schemas.openxmlformats.org/spreadsheetml/2006/main">
  <c r="B7" i="1"/>
  <c r="C120" i="4"/>
  <c r="B116"/>
  <c r="D100" s="1"/>
  <c r="D101" s="1"/>
  <c r="B98"/>
  <c r="F97"/>
  <c r="F95"/>
  <c r="D95"/>
  <c r="B87"/>
  <c r="D97" s="1"/>
  <c r="B83"/>
  <c r="B81"/>
  <c r="B80"/>
  <c r="B79"/>
  <c r="C76"/>
  <c r="B68"/>
  <c r="B57"/>
  <c r="C56"/>
  <c r="B55"/>
  <c r="B45"/>
  <c r="D48" s="1"/>
  <c r="F42"/>
  <c r="D42"/>
  <c r="B34"/>
  <c r="F44" s="1"/>
  <c r="B30"/>
  <c r="C74" i="3"/>
  <c r="B67"/>
  <c r="C56"/>
  <c r="B55"/>
  <c r="B45"/>
  <c r="D48" s="1"/>
  <c r="D44"/>
  <c r="F42"/>
  <c r="D42"/>
  <c r="G41"/>
  <c r="E41"/>
  <c r="B34"/>
  <c r="F44" s="1"/>
  <c r="B30"/>
  <c r="D40" i="2"/>
  <c r="B39"/>
  <c r="C36"/>
  <c r="B57" i="3" s="1"/>
  <c r="C35" i="2"/>
  <c r="D32"/>
  <c r="D31"/>
  <c r="D28"/>
  <c r="D27"/>
  <c r="D24"/>
  <c r="D23"/>
  <c r="D20"/>
  <c r="D19"/>
  <c r="D16"/>
  <c r="D15"/>
  <c r="B39" i="1"/>
  <c r="E37"/>
  <c r="D37"/>
  <c r="C37"/>
  <c r="B37"/>
  <c r="B38" s="1"/>
  <c r="B18"/>
  <c r="E16"/>
  <c r="D16"/>
  <c r="C16"/>
  <c r="B16"/>
  <c r="B17" s="1"/>
  <c r="D49" i="3" l="1"/>
  <c r="I92" i="4"/>
  <c r="D98"/>
  <c r="B69"/>
  <c r="D49"/>
  <c r="I39"/>
  <c r="D99"/>
  <c r="E92"/>
  <c r="E94"/>
  <c r="E91"/>
  <c r="E93"/>
  <c r="F45"/>
  <c r="G38" s="1"/>
  <c r="F98"/>
  <c r="D44"/>
  <c r="D45" s="1"/>
  <c r="D46" s="1"/>
  <c r="D102"/>
  <c r="G40"/>
  <c r="G41"/>
  <c r="F45" i="3"/>
  <c r="D45"/>
  <c r="C40" i="2"/>
  <c r="D14"/>
  <c r="D18"/>
  <c r="D22"/>
  <c r="D26"/>
  <c r="D30"/>
  <c r="D39"/>
  <c r="D17"/>
  <c r="D21"/>
  <c r="D25"/>
  <c r="D29"/>
  <c r="D33"/>
  <c r="C39"/>
  <c r="F46" i="3" l="1"/>
  <c r="G38"/>
  <c r="G39"/>
  <c r="G40"/>
  <c r="F46" i="4"/>
  <c r="E39"/>
  <c r="E40"/>
  <c r="E95"/>
  <c r="E41"/>
  <c r="G39"/>
  <c r="G42" s="1"/>
  <c r="F99"/>
  <c r="G92"/>
  <c r="G94"/>
  <c r="G91"/>
  <c r="G93"/>
  <c r="E38"/>
  <c r="D46" i="3"/>
  <c r="E40"/>
  <c r="E38"/>
  <c r="E39"/>
  <c r="G42" l="1"/>
  <c r="D52" i="4"/>
  <c r="D50"/>
  <c r="G62" s="1"/>
  <c r="H62" s="1"/>
  <c r="G95"/>
  <c r="D103"/>
  <c r="E42"/>
  <c r="D105"/>
  <c r="D52" i="3"/>
  <c r="E42"/>
  <c r="D50"/>
  <c r="D51" l="1"/>
  <c r="E64"/>
  <c r="E60"/>
  <c r="G60" s="1"/>
  <c r="E67"/>
  <c r="E61"/>
  <c r="E68"/>
  <c r="E65"/>
  <c r="E62"/>
  <c r="E66"/>
  <c r="E63"/>
  <c r="E59"/>
  <c r="G70" i="4"/>
  <c r="H70" s="1"/>
  <c r="D51"/>
  <c r="G67"/>
  <c r="H67" s="1"/>
  <c r="G71"/>
  <c r="H71" s="1"/>
  <c r="G69"/>
  <c r="H69" s="1"/>
  <c r="G66"/>
  <c r="H66" s="1"/>
  <c r="G65"/>
  <c r="H65" s="1"/>
  <c r="G64"/>
  <c r="H64" s="1"/>
  <c r="G68"/>
  <c r="H68" s="1"/>
  <c r="G63"/>
  <c r="H63" s="1"/>
  <c r="E113"/>
  <c r="F113" s="1"/>
  <c r="E111"/>
  <c r="F111" s="1"/>
  <c r="E109"/>
  <c r="F109" s="1"/>
  <c r="D104"/>
  <c r="E112"/>
  <c r="F112" s="1"/>
  <c r="E110"/>
  <c r="F110" s="1"/>
  <c r="E108"/>
  <c r="G60"/>
  <c r="G61"/>
  <c r="H61" s="1"/>
  <c r="G61" i="3" l="1"/>
  <c r="G63"/>
  <c r="F63"/>
  <c r="G68"/>
  <c r="G64"/>
  <c r="F64"/>
  <c r="G59"/>
  <c r="E72"/>
  <c r="E70"/>
  <c r="F60" s="1"/>
  <c r="E71"/>
  <c r="G65"/>
  <c r="F65"/>
  <c r="G66"/>
  <c r="G62"/>
  <c r="F62"/>
  <c r="G67"/>
  <c r="F67"/>
  <c r="G74" i="4"/>
  <c r="G72"/>
  <c r="G73" s="1"/>
  <c r="E117"/>
  <c r="F108"/>
  <c r="E115"/>
  <c r="E116" s="1"/>
  <c r="H60"/>
  <c r="H74" s="1"/>
  <c r="C81" i="3" l="1"/>
  <c r="G70"/>
  <c r="G72"/>
  <c r="F66"/>
  <c r="F59"/>
  <c r="F68"/>
  <c r="F61"/>
  <c r="H72" i="4"/>
  <c r="G76" s="1"/>
  <c r="F115"/>
  <c r="F117"/>
  <c r="F72" i="3" l="1"/>
  <c r="F70"/>
  <c r="F71" s="1"/>
  <c r="G71"/>
  <c r="G74"/>
  <c r="C79"/>
  <c r="C82"/>
  <c r="C83" s="1"/>
  <c r="H73" i="4"/>
  <c r="G120"/>
  <c r="F116"/>
</calcChain>
</file>

<file path=xl/sharedStrings.xml><?xml version="1.0" encoding="utf-8"?>
<sst xmlns="http://schemas.openxmlformats.org/spreadsheetml/2006/main" count="325" uniqueCount="143">
  <si>
    <t>HPLC System Suitability Report</t>
  </si>
  <si>
    <t>Analysis Data</t>
  </si>
  <si>
    <t>Assay</t>
  </si>
  <si>
    <t>Sample(s)</t>
  </si>
  <si>
    <t>Reference Substance:</t>
  </si>
  <si>
    <t>BLUEBERRY 100 TABLET</t>
  </si>
  <si>
    <t>% age Purity:</t>
  </si>
  <si>
    <t>NDQA201511559</t>
  </si>
  <si>
    <t>Weight (mg):</t>
  </si>
  <si>
    <t xml:space="preserve">sildenafil citrate </t>
  </si>
  <si>
    <t>Standard Conc (mg/mL):</t>
  </si>
  <si>
    <t>Each film coated tablet contains sildenafil citrate 100mg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</si>
  <si>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</si>
  <si>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</si>
  <si>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</si>
  <si>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</si>
  <si>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</si>
  <si>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</si>
  <si>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</si>
  <si>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</si>
  <si>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</si>
  <si>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</si>
  <si>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</si>
  <si>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</si>
  <si>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</si>
  <si>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</si>
  <si>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</si>
  <si>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</si>
  <si>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</si>
  <si>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</si>
  <si>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</si>
  <si>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</si>
  <si>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</si>
  <si>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</si>
  <si>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</si>
  <si>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</si>
  <si>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</si>
  <si>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</si>
  <si>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</si>
  <si>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</si>
  <si>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</si>
  <si>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</si>
  <si>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</si>
  <si>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</si>
  <si>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</si>
  <si>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</si>
  <si>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</si>
  <si>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</si>
  <si>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</si>
  <si>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</si>
  <si>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</si>
  <si>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</si>
  <si>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</si>
  <si>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</si>
  <si>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</si>
  <si>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</si>
  <si>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</si>
  <si>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</si>
  <si>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</si>
  <si>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</si>
  <si>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</si>
  <si>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</si>
  <si>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</si>
  <si>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</si>
  <si>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</si>
  <si>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</si>
  <si>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</si>
  <si>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</si>
  <si>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</si>
  <si>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</si>
  <si>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</si>
  <si>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</si>
  <si>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</si>
  <si>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</si>
  <si>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</si>
  <si>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</si>
  <si>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</si>
  <si>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</si>
  <si>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</si>
  <si>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</si>
  <si>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</si>
  <si>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</si>
  <si>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</si>
  <si>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</si>
  <si>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</si>
  <si>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</si>
  <si>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</si>
  <si>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(mL):</t>
  </si>
  <si>
    <t>Tablet No.</t>
  </si>
  <si>
    <t>Peak Area:</t>
  </si>
  <si>
    <t>Actual Content</t>
  </si>
  <si>
    <t>Content as % of the average content</t>
  </si>
  <si>
    <t>Content as % of Label Claim</t>
  </si>
  <si>
    <t>Average tablet:</t>
  </si>
  <si>
    <t>Comment</t>
  </si>
  <si>
    <t xml:space="preserve">The content of </t>
  </si>
  <si>
    <t xml:space="preserve">in the sample as a percentage of the stated  label claim is </t>
  </si>
  <si>
    <t>Determination of the Acceptance Value (AV)</t>
  </si>
  <si>
    <t>Calculation of acceptance value (AV)</t>
  </si>
  <si>
    <t>k</t>
  </si>
  <si>
    <t>s</t>
  </si>
  <si>
    <t xml:space="preserve">M </t>
  </si>
  <si>
    <r>
      <t>AV (</t>
    </r>
    <r>
      <rPr>
        <sz val="14"/>
        <color rgb="FF000000"/>
        <rFont val="Calibri"/>
      </rPr>
      <t>≤</t>
    </r>
    <r>
      <rPr>
        <sz val="14"/>
        <color rgb="FF000000"/>
        <rFont val="Book Antiqua"/>
      </rPr>
      <t xml:space="preserve"> 15)</t>
    </r>
  </si>
  <si>
    <t>DISSOLUTION:</t>
  </si>
  <si>
    <t>Determination of Active Ingredient Dissolved</t>
  </si>
  <si>
    <t>If correction for water content is not needed please enter 0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</si>
  <si>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</si>
  <si>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</si>
  <si>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</si>
  <si>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</si>
  <si>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</si>
  <si>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</si>
  <si>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</si>
  <si>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</si>
  <si>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</si>
  <si>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</si>
  <si>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</si>
  <si>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</si>
  <si>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 xml:space="preserve">The amount  of </t>
  </si>
  <si>
    <t xml:space="preserve">dissolved as a percentage of the stated  label claim is </t>
  </si>
  <si>
    <t>Initial Standard dilution volume (mL):</t>
  </si>
  <si>
    <t xml:space="preserve">Std Response Deviation </t>
  </si>
  <si>
    <t>Mass of RS (mg):</t>
  </si>
  <si>
    <t>Mass of WRS as free base (mg):</t>
  </si>
  <si>
    <t>Desired Concentration (mg/mL):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</si>
  <si>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</si>
  <si>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</si>
  <si>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</si>
  <si>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</si>
  <si>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</si>
  <si>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</si>
  <si>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t>Assay Smp B</t>
  </si>
  <si>
    <t>Assay Smp C</t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</si>
  <si>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</si>
  <si>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</si>
  <si>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</si>
  <si>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</si>
  <si>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</si>
  <si>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</si>
  <si>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</si>
  <si>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Capsule No.</t>
  </si>
  <si>
    <t>Sildenafil Citrate</t>
  </si>
  <si>
    <t>S1-8</t>
  </si>
</sst>
</file>

<file path=xl/styles.xml><?xml version="1.0" encoding="utf-8"?>
<styleSheet xmlns="http://schemas.openxmlformats.org/spreadsheetml/2006/main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  <numFmt numFmtId="171" formatCode="0.0\ &quot;%&quot;"/>
    <numFmt numFmtId="172" formatCode="dd\-mmm\-yyyy"/>
    <numFmt numFmtId="173" formatCode="0.0\ &quot;mg&quot;"/>
  </numFmts>
  <fonts count="26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4"/>
      <color rgb="FF000000"/>
      <name val="Calibri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4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5" fillId="2" borderId="0"/>
  </cellStyleXfs>
  <cellXfs count="46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2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Protection="1">
      <protection locked="0"/>
    </xf>
    <xf numFmtId="0" fontId="11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/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5" fillId="2" borderId="0" xfId="0" applyFont="1" applyFill="1"/>
    <xf numFmtId="0" fontId="12" fillId="2" borderId="0" xfId="0" applyFont="1" applyFill="1" applyAlignment="1">
      <alignment horizontal="center"/>
    </xf>
    <xf numFmtId="0" fontId="16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4" fillId="3" borderId="24" xfId="0" applyFont="1" applyFill="1" applyBorder="1" applyAlignment="1" applyProtection="1">
      <alignment horizontal="center"/>
      <protection locked="0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4" fillId="3" borderId="30" xfId="0" applyFont="1" applyFill="1" applyBorder="1" applyAlignment="1" applyProtection="1">
      <alignment horizontal="center"/>
      <protection locked="0"/>
    </xf>
    <xf numFmtId="170" fontId="11" fillId="2" borderId="27" xfId="0" applyNumberFormat="1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23" xfId="0" applyFont="1" applyFill="1" applyBorder="1" applyAlignment="1" applyProtection="1">
      <alignment horizontal="center"/>
      <protection locked="0"/>
    </xf>
    <xf numFmtId="170" fontId="11" fillId="2" borderId="32" xfId="0" applyNumberFormat="1" applyFont="1" applyFill="1" applyBorder="1" applyAlignment="1">
      <alignment horizontal="center"/>
    </xf>
    <xf numFmtId="170" fontId="11" fillId="2" borderId="24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4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31" xfId="0" applyFont="1" applyFill="1" applyBorder="1" applyAlignment="1">
      <alignment horizontal="right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9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0" fontId="14" fillId="3" borderId="41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30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3" borderId="0" xfId="0" applyFont="1" applyFill="1" applyAlignment="1" applyProtection="1">
      <alignment horizontal="center"/>
      <protection locked="0"/>
    </xf>
    <xf numFmtId="0" fontId="4" fillId="2" borderId="0" xfId="0" applyFont="1" applyFill="1"/>
    <xf numFmtId="0" fontId="6" fillId="2" borderId="0" xfId="0" applyFont="1" applyFill="1"/>
    <xf numFmtId="0" fontId="12" fillId="2" borderId="44" xfId="0" applyFont="1" applyFill="1" applyBorder="1" applyAlignment="1">
      <alignment horizontal="center"/>
    </xf>
    <xf numFmtId="0" fontId="12" fillId="7" borderId="45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 wrapText="1"/>
    </xf>
    <xf numFmtId="0" fontId="12" fillId="7" borderId="25" xfId="0" applyFont="1" applyFill="1" applyBorder="1" applyAlignment="1">
      <alignment horizontal="center" wrapText="1"/>
    </xf>
    <xf numFmtId="0" fontId="11" fillId="2" borderId="30" xfId="0" applyFont="1" applyFill="1" applyBorder="1" applyAlignment="1">
      <alignment horizontal="center"/>
    </xf>
    <xf numFmtId="2" fontId="11" fillId="2" borderId="27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2" fontId="11" fillId="2" borderId="32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/>
    </xf>
    <xf numFmtId="2" fontId="11" fillId="2" borderId="38" xfId="0" applyNumberFormat="1" applyFont="1" applyFill="1" applyBorder="1" applyAlignment="1">
      <alignment horizontal="center"/>
    </xf>
    <xf numFmtId="2" fontId="11" fillId="2" borderId="47" xfId="0" applyNumberFormat="1" applyFont="1" applyFill="1" applyBorder="1" applyAlignment="1">
      <alignment horizontal="center"/>
    </xf>
    <xf numFmtId="2" fontId="11" fillId="2" borderId="48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1" xfId="0" applyFont="1" applyFill="1" applyBorder="1"/>
    <xf numFmtId="0" fontId="11" fillId="2" borderId="23" xfId="0" applyFont="1" applyFill="1" applyBorder="1" applyAlignment="1">
      <alignment horizontal="center"/>
    </xf>
    <xf numFmtId="10" fontId="12" fillId="2" borderId="0" xfId="0" applyNumberFormat="1" applyFont="1" applyFill="1" applyAlignment="1">
      <alignment horizontal="center"/>
    </xf>
    <xf numFmtId="2" fontId="12" fillId="5" borderId="49" xfId="0" applyNumberFormat="1" applyFont="1" applyFill="1" applyBorder="1" applyAlignment="1">
      <alignment horizontal="center"/>
    </xf>
    <xf numFmtId="2" fontId="14" fillId="5" borderId="49" xfId="0" applyNumberFormat="1" applyFont="1" applyFill="1" applyBorder="1" applyAlignment="1">
      <alignment horizontal="center"/>
    </xf>
    <xf numFmtId="10" fontId="12" fillId="6" borderId="49" xfId="0" applyNumberFormat="1" applyFont="1" applyFill="1" applyBorder="1" applyAlignment="1">
      <alignment horizontal="center"/>
    </xf>
    <xf numFmtId="10" fontId="14" fillId="6" borderId="49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/>
    </xf>
    <xf numFmtId="10" fontId="12" fillId="2" borderId="9" xfId="0" applyNumberFormat="1" applyFont="1" applyFill="1" applyBorder="1" applyAlignment="1">
      <alignment horizontal="center"/>
    </xf>
    <xf numFmtId="2" fontId="12" fillId="5" borderId="50" xfId="0" applyNumberFormat="1" applyFont="1" applyFill="1" applyBorder="1" applyAlignment="1">
      <alignment horizontal="center"/>
    </xf>
    <xf numFmtId="2" fontId="14" fillId="5" borderId="50" xfId="0" applyNumberFormat="1" applyFont="1" applyFill="1" applyBorder="1" applyAlignment="1">
      <alignment horizontal="center"/>
    </xf>
    <xf numFmtId="0" fontId="11" fillId="2" borderId="0" xfId="0" applyFont="1" applyFill="1"/>
    <xf numFmtId="0" fontId="6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71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 applyProtection="1">
      <alignment horizontal="center"/>
      <protection locked="0"/>
    </xf>
    <xf numFmtId="1" fontId="12" fillId="6" borderId="1" xfId="0" applyNumberFormat="1" applyFont="1" applyFill="1" applyBorder="1" applyAlignment="1">
      <alignment horizontal="center"/>
    </xf>
    <xf numFmtId="0" fontId="12" fillId="2" borderId="0" xfId="0" applyFont="1" applyFill="1" applyAlignment="1" applyProtection="1">
      <alignment horizontal="center"/>
      <protection locked="0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3" fillId="3" borderId="0" xfId="0" applyFont="1" applyFill="1" applyAlignment="1" applyProtection="1">
      <alignment horizontal="left"/>
      <protection locked="0"/>
    </xf>
    <xf numFmtId="0" fontId="12" fillId="2" borderId="10" xfId="0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1" fillId="3" borderId="0" xfId="0" applyFont="1" applyFill="1" applyProtection="1">
      <protection locked="0"/>
    </xf>
    <xf numFmtId="172" fontId="13" fillId="3" borderId="0" xfId="0" applyNumberFormat="1" applyFont="1" applyFill="1" applyAlignment="1" applyProtection="1">
      <alignment horizontal="center"/>
      <protection locked="0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8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5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4" fillId="3" borderId="31" xfId="0" applyFont="1" applyFill="1" applyBorder="1" applyAlignment="1" applyProtection="1">
      <alignment horizontal="center"/>
      <protection locked="0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4" fillId="3" borderId="30" xfId="0" applyFont="1" applyFill="1" applyBorder="1" applyAlignment="1" applyProtection="1">
      <alignment horizontal="center"/>
      <protection locked="0"/>
    </xf>
    <xf numFmtId="170" fontId="11" fillId="2" borderId="27" xfId="0" applyNumberFormat="1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1" fillId="2" borderId="31" xfId="0" applyFont="1" applyFill="1" applyBorder="1" applyAlignment="1">
      <alignment horizontal="center"/>
    </xf>
    <xf numFmtId="0" fontId="14" fillId="3" borderId="23" xfId="0" applyFont="1" applyFill="1" applyBorder="1" applyAlignment="1" applyProtection="1">
      <alignment horizontal="center"/>
      <protection locked="0"/>
    </xf>
    <xf numFmtId="170" fontId="11" fillId="2" borderId="32" xfId="0" applyNumberFormat="1" applyFont="1" applyFill="1" applyBorder="1" applyAlignment="1">
      <alignment horizontal="center"/>
    </xf>
    <xf numFmtId="170" fontId="11" fillId="2" borderId="2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4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31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1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4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30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3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4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4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4" fillId="3" borderId="43" xfId="0" applyFont="1" applyFill="1" applyBorder="1" applyAlignment="1" applyProtection="1">
      <alignment horizontal="center"/>
      <protection locked="0"/>
    </xf>
    <xf numFmtId="10" fontId="11" fillId="2" borderId="25" xfId="0" applyNumberFormat="1" applyFont="1" applyFill="1" applyBorder="1" applyAlignment="1">
      <alignment horizontal="center" vertical="center"/>
    </xf>
    <xf numFmtId="10" fontId="11" fillId="2" borderId="31" xfId="0" applyNumberFormat="1" applyFont="1" applyFill="1" applyBorder="1" applyAlignment="1">
      <alignment horizontal="center" vertical="center"/>
    </xf>
    <xf numFmtId="10" fontId="11" fillId="2" borderId="48" xfId="0" applyNumberFormat="1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/>
    </xf>
    <xf numFmtId="2" fontId="13" fillId="2" borderId="48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10" fontId="14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4" fillId="7" borderId="5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3" borderId="0" xfId="0" applyFont="1" applyFill="1" applyAlignment="1" applyProtection="1">
      <alignment horizontal="center"/>
      <protection locked="0"/>
    </xf>
    <xf numFmtId="0" fontId="12" fillId="2" borderId="5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4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0" fontId="12" fillId="6" borderId="15" xfId="0" applyNumberFormat="1" applyFont="1" applyFill="1" applyBorder="1" applyAlignment="1">
      <alignment horizontal="center"/>
    </xf>
    <xf numFmtId="0" fontId="11" fillId="2" borderId="61" xfId="0" applyFont="1" applyFill="1" applyBorder="1" applyAlignment="1">
      <alignment horizontal="right"/>
    </xf>
    <xf numFmtId="0" fontId="11" fillId="2" borderId="26" xfId="0" applyFont="1" applyFill="1" applyBorder="1" applyAlignment="1">
      <alignment horizontal="right"/>
    </xf>
    <xf numFmtId="2" fontId="11" fillId="6" borderId="4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49" xfId="0" applyNumberFormat="1" applyFont="1" applyFill="1" applyBorder="1" applyAlignment="1">
      <alignment horizontal="center"/>
    </xf>
    <xf numFmtId="166" fontId="11" fillId="6" borderId="4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4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4" xfId="0" applyFont="1" applyFill="1" applyBorder="1" applyAlignment="1">
      <alignment horizontal="right"/>
    </xf>
    <xf numFmtId="2" fontId="11" fillId="7" borderId="28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/>
    </xf>
    <xf numFmtId="0" fontId="12" fillId="2" borderId="45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10" fontId="14" fillId="7" borderId="49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4" fillId="6" borderId="49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5" xfId="0" applyFont="1" applyFill="1" applyBorder="1" applyAlignment="1">
      <alignment horizontal="right"/>
    </xf>
    <xf numFmtId="0" fontId="14" fillId="7" borderId="17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7" fillId="2" borderId="0" xfId="0" applyFont="1" applyFill="1" applyAlignment="1">
      <alignment horizontal="right" vertical="center" wrapText="1"/>
    </xf>
    <xf numFmtId="0" fontId="14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4" fillId="6" borderId="62" xfId="0" applyNumberFormat="1" applyFont="1" applyFill="1" applyBorder="1" applyAlignment="1">
      <alignment horizontal="center"/>
    </xf>
    <xf numFmtId="166" fontId="11" fillId="2" borderId="27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2" fontId="14" fillId="7" borderId="33" xfId="0" applyNumberFormat="1" applyFont="1" applyFill="1" applyBorder="1" applyAlignment="1">
      <alignment horizontal="center"/>
    </xf>
    <xf numFmtId="2" fontId="14" fillId="7" borderId="49" xfId="0" applyNumberFormat="1" applyFont="1" applyFill="1" applyBorder="1" applyAlignment="1">
      <alignment horizontal="center"/>
    </xf>
    <xf numFmtId="0" fontId="13" fillId="2" borderId="0" xfId="0" applyFont="1" applyFill="1"/>
    <xf numFmtId="2" fontId="14" fillId="3" borderId="0" xfId="1" applyNumberFormat="1" applyFont="1" applyFill="1" applyAlignment="1" applyProtection="1">
      <alignment horizontal="center"/>
      <protection locked="0"/>
    </xf>
    <xf numFmtId="166" fontId="12" fillId="6" borderId="37" xfId="0" applyNumberFormat="1" applyFont="1" applyFill="1" applyBorder="1" applyAlignment="1">
      <alignment horizontal="center"/>
    </xf>
    <xf numFmtId="166" fontId="14" fillId="3" borderId="30" xfId="0" applyNumberFormat="1" applyFont="1" applyFill="1" applyBorder="1" applyAlignment="1" applyProtection="1">
      <alignment horizontal="center"/>
      <protection locked="0"/>
    </xf>
    <xf numFmtId="166" fontId="14" fillId="3" borderId="23" xfId="0" applyNumberFormat="1" applyFont="1" applyFill="1" applyBorder="1" applyAlignment="1" applyProtection="1">
      <alignment horizontal="center"/>
      <protection locked="0"/>
    </xf>
    <xf numFmtId="166" fontId="14" fillId="3" borderId="32" xfId="0" applyNumberFormat="1" applyFont="1" applyFill="1" applyBorder="1" applyAlignment="1" applyProtection="1">
      <alignment horizontal="center"/>
      <protection locked="0"/>
    </xf>
    <xf numFmtId="166" fontId="14" fillId="3" borderId="35" xfId="0" applyNumberFormat="1" applyFont="1" applyFill="1" applyBorder="1" applyAlignment="1" applyProtection="1">
      <alignment horizontal="center"/>
      <protection locked="0"/>
    </xf>
    <xf numFmtId="166" fontId="13" fillId="3" borderId="4" xfId="0" applyNumberFormat="1" applyFont="1" applyFill="1" applyBorder="1" applyAlignment="1">
      <alignment horizontal="center" wrapText="1"/>
    </xf>
    <xf numFmtId="166" fontId="13" fillId="3" borderId="3" xfId="0" applyNumberFormat="1" applyFont="1" applyFill="1" applyBorder="1" applyAlignment="1">
      <alignment horizontal="center" wrapText="1"/>
    </xf>
    <xf numFmtId="166" fontId="13" fillId="3" borderId="47" xfId="0" applyNumberFormat="1" applyFont="1" applyFill="1" applyBorder="1" applyAlignment="1">
      <alignment horizontal="center" wrapText="1"/>
    </xf>
    <xf numFmtId="166" fontId="12" fillId="6" borderId="60" xfId="0" applyNumberFormat="1" applyFont="1" applyFill="1" applyBorder="1" applyAlignment="1">
      <alignment horizontal="center"/>
    </xf>
    <xf numFmtId="166" fontId="12" fillId="6" borderId="5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12" fillId="2" borderId="5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6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left" vertical="center" wrapText="1"/>
    </xf>
    <xf numFmtId="0" fontId="17" fillId="2" borderId="25" xfId="0" applyFont="1" applyFill="1" applyBorder="1" applyAlignment="1">
      <alignment horizontal="left" vertical="center" wrapText="1"/>
    </xf>
    <xf numFmtId="0" fontId="17" fillId="2" borderId="43" xfId="0" applyFont="1" applyFill="1" applyBorder="1" applyAlignment="1">
      <alignment horizontal="left" vertical="center" wrapText="1"/>
    </xf>
    <xf numFmtId="0" fontId="17" fillId="2" borderId="48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 wrapText="1"/>
      <protection locked="0"/>
    </xf>
    <xf numFmtId="0" fontId="17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7" fillId="2" borderId="18" xfId="0" applyFont="1" applyFill="1" applyBorder="1" applyAlignment="1">
      <alignment horizontal="justify" vertical="center" wrapText="1"/>
    </xf>
    <xf numFmtId="0" fontId="17" fillId="2" borderId="19" xfId="0" applyFont="1" applyFill="1" applyBorder="1" applyAlignment="1">
      <alignment horizontal="justify" vertical="center" wrapText="1"/>
    </xf>
    <xf numFmtId="0" fontId="17" fillId="2" borderId="20" xfId="0" applyFont="1" applyFill="1" applyBorder="1" applyAlignment="1">
      <alignment horizontal="justify" vertical="center" wrapText="1"/>
    </xf>
    <xf numFmtId="10" fontId="21" fillId="2" borderId="1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13" xfId="0" applyNumberFormat="1" applyFont="1" applyFill="1" applyBorder="1" applyAlignment="1" applyProtection="1">
      <alignment horizontal="center" vertical="center"/>
      <protection locked="0"/>
    </xf>
    <xf numFmtId="2" fontId="14" fillId="3" borderId="14" xfId="0" applyNumberFormat="1" applyFont="1" applyFill="1" applyBorder="1" applyAlignment="1" applyProtection="1">
      <alignment horizontal="center" vertical="center"/>
      <protection locked="0"/>
    </xf>
    <xf numFmtId="2" fontId="14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3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32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view="pageBreakPreview" zoomScale="60" workbookViewId="0">
      <selection activeCell="E16" sqref="E16"/>
    </sheetView>
  </sheetViews>
  <sheetFormatPr defaultRowHeight="13.5"/>
  <cols>
    <col min="1" max="1" width="27.5703125" style="3" customWidth="1"/>
    <col min="2" max="2" width="20.425781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>
      <c r="A1" s="409" t="s">
        <v>0</v>
      </c>
      <c r="B1" s="409"/>
      <c r="C1" s="409"/>
      <c r="D1" s="409"/>
      <c r="E1" s="409"/>
    </row>
    <row r="2" spans="1:5" ht="16.5" customHeight="1">
      <c r="A2" s="4" t="s">
        <v>1</v>
      </c>
      <c r="B2" s="5" t="s">
        <v>2</v>
      </c>
    </row>
    <row r="3" spans="1:5" ht="16.5" customHeight="1">
      <c r="A3" s="6" t="s">
        <v>3</v>
      </c>
      <c r="B3" s="7"/>
      <c r="D3" s="8"/>
      <c r="E3" s="9"/>
    </row>
    <row r="4" spans="1:5" ht="16.5" customHeight="1">
      <c r="A4" s="10" t="s">
        <v>4</v>
      </c>
      <c r="B4" s="7" t="s">
        <v>5</v>
      </c>
      <c r="C4" s="9"/>
      <c r="D4" s="9"/>
      <c r="E4" s="9"/>
    </row>
    <row r="5" spans="1:5" ht="16.5" customHeight="1">
      <c r="A5" s="10" t="s">
        <v>6</v>
      </c>
      <c r="B5" s="11">
        <v>98.96</v>
      </c>
      <c r="C5" s="9"/>
      <c r="D5" s="9"/>
      <c r="E5" s="9"/>
    </row>
    <row r="6" spans="1:5" ht="16.5" customHeight="1">
      <c r="A6" s="6" t="s">
        <v>8</v>
      </c>
      <c r="B6" s="11">
        <v>19.559999999999999</v>
      </c>
      <c r="C6" s="9"/>
      <c r="D6" s="9"/>
      <c r="E6" s="9"/>
    </row>
    <row r="7" spans="1:5" ht="16.5" customHeight="1">
      <c r="A7" s="6" t="s">
        <v>10</v>
      </c>
      <c r="B7" s="12">
        <f>B6/25*2/20</f>
        <v>7.8240000000000004E-2</v>
      </c>
      <c r="C7" s="9"/>
      <c r="D7" s="9"/>
      <c r="E7" s="9"/>
    </row>
    <row r="8" spans="1:5" ht="15.75" customHeight="1">
      <c r="A8" s="9"/>
      <c r="B8" s="9"/>
      <c r="C8" s="9"/>
      <c r="D8" s="9"/>
      <c r="E8" s="9"/>
    </row>
    <row r="9" spans="1:5" ht="16.5" customHeight="1">
      <c r="A9" s="13" t="s">
        <v>12</v>
      </c>
      <c r="B9" s="14" t="s">
        <v>13</v>
      </c>
      <c r="C9" s="13" t="s">
        <v>14</v>
      </c>
      <c r="D9" s="13" t="s">
        <v>15</v>
      </c>
      <c r="E9" s="15" t="s">
        <v>16</v>
      </c>
    </row>
    <row r="10" spans="1:5" ht="16.5" customHeight="1">
      <c r="A10" s="16">
        <v>1</v>
      </c>
      <c r="B10" s="17">
        <v>14120426</v>
      </c>
      <c r="C10" s="17">
        <v>10171.86</v>
      </c>
      <c r="D10" s="18">
        <v>1.08</v>
      </c>
      <c r="E10" s="19">
        <v>7.79</v>
      </c>
    </row>
    <row r="11" spans="1:5" ht="16.5" customHeight="1">
      <c r="A11" s="16">
        <v>2</v>
      </c>
      <c r="B11" s="17">
        <v>14283713</v>
      </c>
      <c r="C11" s="17">
        <v>10130.39</v>
      </c>
      <c r="D11" s="18">
        <v>1.0900000000000001</v>
      </c>
      <c r="E11" s="18">
        <v>7.79</v>
      </c>
    </row>
    <row r="12" spans="1:5" ht="16.5" customHeight="1">
      <c r="A12" s="16">
        <v>3</v>
      </c>
      <c r="B12" s="17">
        <v>14245682</v>
      </c>
      <c r="C12" s="17">
        <v>10135.02</v>
      </c>
      <c r="D12" s="18">
        <v>1.0900000000000001</v>
      </c>
      <c r="E12" s="18">
        <v>7.79</v>
      </c>
    </row>
    <row r="13" spans="1:5" ht="16.5" customHeight="1">
      <c r="A13" s="16">
        <v>4</v>
      </c>
      <c r="B13" s="17">
        <v>14203863</v>
      </c>
      <c r="C13" s="17">
        <v>10187.19</v>
      </c>
      <c r="D13" s="18">
        <v>1.0900000000000001</v>
      </c>
      <c r="E13" s="18">
        <v>7.79</v>
      </c>
    </row>
    <row r="14" spans="1:5" ht="16.5" customHeight="1">
      <c r="A14" s="16">
        <v>5</v>
      </c>
      <c r="B14" s="17">
        <v>14261670</v>
      </c>
      <c r="C14" s="17">
        <v>10273.530000000001</v>
      </c>
      <c r="D14" s="18">
        <v>1.07</v>
      </c>
      <c r="E14" s="18">
        <v>7.8</v>
      </c>
    </row>
    <row r="15" spans="1:5" ht="16.5" customHeight="1">
      <c r="A15" s="16">
        <v>6</v>
      </c>
      <c r="B15" s="20">
        <v>13617478</v>
      </c>
      <c r="C15" s="20">
        <v>10190.36</v>
      </c>
      <c r="D15" s="21">
        <v>1.08</v>
      </c>
      <c r="E15" s="21">
        <v>7.82</v>
      </c>
    </row>
    <row r="16" spans="1:5" ht="16.5" customHeight="1">
      <c r="A16" s="22" t="s">
        <v>17</v>
      </c>
      <c r="B16" s="23">
        <f>AVERAGE(B10:B15)</f>
        <v>14122138.666666666</v>
      </c>
      <c r="C16" s="24">
        <f>AVERAGE(C10:C15)</f>
        <v>10181.391666666666</v>
      </c>
      <c r="D16" s="25">
        <f>AVERAGE(D10:D15)</f>
        <v>1.0833333333333333</v>
      </c>
      <c r="E16" s="25">
        <f>AVERAGE(E10:E15)</f>
        <v>7.7966666666666669</v>
      </c>
    </row>
    <row r="17" spans="1:6" ht="16.5" customHeight="1">
      <c r="A17" s="26" t="s">
        <v>18</v>
      </c>
      <c r="B17" s="27">
        <f>(STDEV(B10:B15)/B16)</f>
        <v>1.7975414470464374E-2</v>
      </c>
      <c r="C17" s="28"/>
      <c r="D17" s="28"/>
      <c r="E17" s="29"/>
      <c r="F17" s="2"/>
    </row>
    <row r="18" spans="1:6" s="2" customFormat="1" ht="16.5" customHeight="1">
      <c r="A18" s="30" t="s">
        <v>19</v>
      </c>
      <c r="B18" s="31">
        <f>COUNT(B10:B15)</f>
        <v>6</v>
      </c>
      <c r="C18" s="32"/>
      <c r="D18" s="33"/>
      <c r="E18" s="34"/>
    </row>
    <row r="19" spans="1:6" s="2" customFormat="1" ht="15.75" customHeight="1">
      <c r="A19" s="9"/>
      <c r="B19" s="9"/>
      <c r="C19" s="9"/>
      <c r="D19" s="9"/>
      <c r="E19" s="35"/>
    </row>
    <row r="20" spans="1:6" s="2" customFormat="1" ht="16.5" customHeight="1">
      <c r="A20" s="10" t="s">
        <v>20</v>
      </c>
      <c r="B20" s="36" t="s">
        <v>21</v>
      </c>
      <c r="C20" s="37"/>
      <c r="D20" s="37"/>
      <c r="E20" s="38"/>
    </row>
    <row r="21" spans="1:6" ht="16.5" customHeight="1">
      <c r="A21" s="10"/>
      <c r="B21" s="36" t="s">
        <v>22</v>
      </c>
      <c r="C21" s="37"/>
      <c r="D21" s="37"/>
      <c r="E21" s="38"/>
      <c r="F21" s="2"/>
    </row>
    <row r="22" spans="1:6" ht="16.5" customHeight="1">
      <c r="A22" s="10"/>
      <c r="B22" s="39" t="s">
        <v>23</v>
      </c>
      <c r="C22" s="37"/>
      <c r="D22" s="37"/>
      <c r="E22" s="37"/>
    </row>
    <row r="23" spans="1:6" ht="15.75" customHeight="1">
      <c r="A23" s="9"/>
      <c r="B23" s="9"/>
      <c r="C23" s="9"/>
      <c r="D23" s="9"/>
      <c r="E23" s="9"/>
    </row>
    <row r="24" spans="1:6" ht="16.5" customHeight="1">
      <c r="A24" s="4" t="s">
        <v>1</v>
      </c>
      <c r="B24" s="5" t="s">
        <v>24</v>
      </c>
    </row>
    <row r="25" spans="1:6" ht="16.5" customHeight="1">
      <c r="A25" s="10" t="s">
        <v>4</v>
      </c>
      <c r="B25" s="7"/>
      <c r="C25" s="9"/>
      <c r="D25" s="9"/>
      <c r="E25" s="9"/>
    </row>
    <row r="26" spans="1:6" ht="16.5" customHeight="1">
      <c r="A26" s="10" t="s">
        <v>6</v>
      </c>
      <c r="B26" s="11"/>
      <c r="C26" s="9"/>
      <c r="D26" s="9"/>
      <c r="E26" s="9"/>
    </row>
    <row r="27" spans="1:6" ht="16.5" customHeight="1">
      <c r="A27" s="6" t="s">
        <v>8</v>
      </c>
      <c r="B27" s="11"/>
      <c r="C27" s="9"/>
      <c r="D27" s="9"/>
      <c r="E27" s="9"/>
    </row>
    <row r="28" spans="1:6" ht="16.5" customHeight="1">
      <c r="A28" s="6" t="s">
        <v>10</v>
      </c>
      <c r="B28" s="12"/>
      <c r="C28" s="9"/>
      <c r="D28" s="9"/>
      <c r="E28" s="9"/>
    </row>
    <row r="29" spans="1:6" ht="15.75" customHeight="1">
      <c r="A29" s="9"/>
      <c r="B29" s="9"/>
      <c r="C29" s="9"/>
      <c r="D29" s="9"/>
      <c r="E29" s="9"/>
    </row>
    <row r="30" spans="1:6" ht="16.5" customHeight="1">
      <c r="A30" s="13" t="s">
        <v>12</v>
      </c>
      <c r="B30" s="14" t="s">
        <v>13</v>
      </c>
      <c r="C30" s="13" t="s">
        <v>14</v>
      </c>
      <c r="D30" s="13" t="s">
        <v>15</v>
      </c>
      <c r="E30" s="15" t="s">
        <v>16</v>
      </c>
    </row>
    <row r="31" spans="1:6" ht="16.5" customHeight="1">
      <c r="A31" s="16">
        <v>1</v>
      </c>
      <c r="B31" s="17"/>
      <c r="C31" s="17"/>
      <c r="D31" s="18"/>
      <c r="E31" s="19"/>
    </row>
    <row r="32" spans="1:6" ht="16.5" customHeight="1">
      <c r="A32" s="16">
        <v>2</v>
      </c>
      <c r="B32" s="17"/>
      <c r="C32" s="17"/>
      <c r="D32" s="18"/>
      <c r="E32" s="18"/>
    </row>
    <row r="33" spans="1:7" ht="16.5" customHeight="1">
      <c r="A33" s="16">
        <v>3</v>
      </c>
      <c r="B33" s="17"/>
      <c r="C33" s="17"/>
      <c r="D33" s="18"/>
      <c r="E33" s="18"/>
    </row>
    <row r="34" spans="1:7" ht="16.5" customHeight="1">
      <c r="A34" s="16">
        <v>4</v>
      </c>
      <c r="B34" s="17"/>
      <c r="C34" s="17"/>
      <c r="D34" s="18"/>
      <c r="E34" s="18"/>
    </row>
    <row r="35" spans="1:7" ht="16.5" customHeight="1">
      <c r="A35" s="16">
        <v>5</v>
      </c>
      <c r="B35" s="17"/>
      <c r="C35" s="17"/>
      <c r="D35" s="18"/>
      <c r="E35" s="18"/>
    </row>
    <row r="36" spans="1:7" ht="16.5" customHeight="1">
      <c r="A36" s="16">
        <v>6</v>
      </c>
      <c r="B36" s="20"/>
      <c r="C36" s="20"/>
      <c r="D36" s="21"/>
      <c r="E36" s="21"/>
    </row>
    <row r="37" spans="1:7" ht="16.5" customHeight="1">
      <c r="A37" s="22" t="s">
        <v>17</v>
      </c>
      <c r="B37" s="23" t="e">
        <f>AVERAGE(B31:B36)</f>
        <v>#DIV/0!</v>
      </c>
      <c r="C37" s="24" t="e">
        <f>AVERAGE(C31:C36)</f>
        <v>#DIV/0!</v>
      </c>
      <c r="D37" s="25" t="e">
        <f>AVERAGE(D31:D36)</f>
        <v>#DIV/0!</v>
      </c>
      <c r="E37" s="25" t="e">
        <f>AVERAGE(E31:E36)</f>
        <v>#DIV/0!</v>
      </c>
    </row>
    <row r="38" spans="1:7" ht="16.5" customHeight="1">
      <c r="A38" s="26" t="s">
        <v>18</v>
      </c>
      <c r="B38" s="27" t="e">
        <f>(STDEV(B31:B36)/B37)</f>
        <v>#DIV/0!</v>
      </c>
      <c r="C38" s="28"/>
      <c r="D38" s="28"/>
      <c r="E38" s="29"/>
      <c r="F38" s="2"/>
    </row>
    <row r="39" spans="1:7" s="2" customFormat="1" ht="16.5" customHeight="1">
      <c r="A39" s="30" t="s">
        <v>19</v>
      </c>
      <c r="B39" s="31">
        <f>COUNT(B31:B36)</f>
        <v>0</v>
      </c>
      <c r="C39" s="32"/>
      <c r="D39" s="33"/>
      <c r="E39" s="34"/>
    </row>
    <row r="40" spans="1:7" s="2" customFormat="1" ht="15.75" customHeight="1">
      <c r="A40" s="9"/>
      <c r="B40" s="9"/>
      <c r="C40" s="9"/>
      <c r="D40" s="9"/>
      <c r="E40" s="35"/>
    </row>
    <row r="41" spans="1:7" s="2" customFormat="1" ht="16.5" customHeight="1">
      <c r="A41" s="10" t="s">
        <v>20</v>
      </c>
      <c r="B41" s="36" t="s">
        <v>21</v>
      </c>
      <c r="C41" s="37"/>
      <c r="D41" s="37"/>
      <c r="E41" s="38"/>
    </row>
    <row r="42" spans="1:7" ht="16.5" customHeight="1">
      <c r="A42" s="10"/>
      <c r="B42" s="36" t="s">
        <v>22</v>
      </c>
      <c r="C42" s="37"/>
      <c r="D42" s="37"/>
      <c r="E42" s="38"/>
      <c r="F42" s="2"/>
    </row>
    <row r="43" spans="1:7" ht="16.5" customHeight="1">
      <c r="A43" s="10"/>
      <c r="B43" s="39" t="s">
        <v>23</v>
      </c>
      <c r="C43" s="37"/>
      <c r="D43" s="38"/>
      <c r="E43" s="37"/>
    </row>
    <row r="44" spans="1:7" ht="14.25" customHeight="1">
      <c r="A44" s="40"/>
      <c r="B44" s="41"/>
      <c r="D44" s="42"/>
      <c r="F44" s="43"/>
      <c r="G44" s="43"/>
    </row>
    <row r="45" spans="1:7" ht="15" customHeight="1">
      <c r="B45" s="410" t="s">
        <v>25</v>
      </c>
      <c r="C45" s="410"/>
      <c r="E45" s="44" t="s">
        <v>26</v>
      </c>
      <c r="F45" s="45"/>
      <c r="G45" s="44" t="s">
        <v>27</v>
      </c>
    </row>
    <row r="46" spans="1:7" ht="15" customHeight="1">
      <c r="A46" s="46" t="s">
        <v>28</v>
      </c>
      <c r="B46" s="47"/>
      <c r="C46" s="47"/>
      <c r="E46" s="47"/>
      <c r="F46" s="2"/>
      <c r="G46" s="48"/>
    </row>
    <row r="47" spans="1:7" ht="15" customHeight="1">
      <c r="A47" s="46" t="s">
        <v>29</v>
      </c>
      <c r="B47" s="49"/>
      <c r="C47" s="49"/>
      <c r="E47" s="49"/>
      <c r="F47" s="2"/>
      <c r="G47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view="pageBreakPreview" workbookViewId="0">
      <selection activeCell="C10" sqref="C10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" spans="1:7" ht="13.5" customHeight="1" thickBot="1">
      <c r="A1" s="414" t="s">
        <v>30</v>
      </c>
      <c r="B1" s="415"/>
      <c r="C1" s="415"/>
      <c r="D1" s="415"/>
      <c r="E1" s="415"/>
      <c r="F1" s="416"/>
      <c r="G1" s="90"/>
    </row>
    <row r="2" spans="1:7" ht="16.5" customHeight="1">
      <c r="A2" s="413" t="s">
        <v>31</v>
      </c>
      <c r="B2" s="413"/>
      <c r="C2" s="413"/>
      <c r="D2" s="413"/>
      <c r="E2" s="413"/>
      <c r="F2" s="413"/>
      <c r="G2" s="89"/>
    </row>
    <row r="4" spans="1:7" ht="16.5" customHeight="1">
      <c r="A4" s="418" t="s">
        <v>32</v>
      </c>
      <c r="B4" s="418"/>
      <c r="C4" s="59" t="s">
        <v>5</v>
      </c>
    </row>
    <row r="5" spans="1:7" ht="16.5" customHeight="1">
      <c r="A5" s="418" t="s">
        <v>33</v>
      </c>
      <c r="B5" s="418"/>
      <c r="C5" s="59" t="s">
        <v>7</v>
      </c>
    </row>
    <row r="6" spans="1:7" ht="16.5" customHeight="1">
      <c r="A6" s="418" t="s">
        <v>34</v>
      </c>
      <c r="B6" s="418"/>
      <c r="C6" s="59" t="s">
        <v>9</v>
      </c>
    </row>
    <row r="7" spans="1:7" ht="16.5" customHeight="1">
      <c r="A7" s="418" t="s">
        <v>35</v>
      </c>
      <c r="B7" s="418"/>
      <c r="C7" s="59" t="s">
        <v>11</v>
      </c>
    </row>
    <row r="8" spans="1:7" ht="16.5" customHeight="1">
      <c r="A8" s="418" t="s">
        <v>36</v>
      </c>
      <c r="B8" s="418"/>
      <c r="C8" s="96">
        <v>42431</v>
      </c>
    </row>
    <row r="9" spans="1:7" ht="16.5" customHeight="1">
      <c r="A9" s="418" t="s">
        <v>37</v>
      </c>
      <c r="B9" s="418"/>
      <c r="C9" s="96">
        <v>42433</v>
      </c>
    </row>
    <row r="10" spans="1:7" ht="16.5" customHeight="1">
      <c r="A10" s="61"/>
      <c r="B10" s="61"/>
      <c r="C10" s="76"/>
    </row>
    <row r="11" spans="1:7" ht="16.5" customHeight="1">
      <c r="A11" s="413" t="s">
        <v>1</v>
      </c>
      <c r="B11" s="413"/>
      <c r="C11" s="58" t="s">
        <v>38</v>
      </c>
      <c r="D11" s="65"/>
    </row>
    <row r="12" spans="1:7" ht="15.75" customHeight="1">
      <c r="A12" s="417"/>
      <c r="B12" s="417"/>
      <c r="C12" s="56"/>
      <c r="D12" s="417"/>
      <c r="E12" s="417"/>
    </row>
    <row r="13" spans="1:7" ht="33.75" customHeight="1">
      <c r="C13" s="85" t="s">
        <v>39</v>
      </c>
      <c r="D13" s="84" t="s">
        <v>40</v>
      </c>
      <c r="E13" s="51"/>
    </row>
    <row r="14" spans="1:7" ht="15.75" customHeight="1">
      <c r="C14" s="94">
        <v>559.29</v>
      </c>
      <c r="D14" s="86">
        <f t="shared" ref="D14:D33" si="0">(C14-$C$36)/$C$36</f>
        <v>1.3911851722937657E-2</v>
      </c>
      <c r="E14" s="52"/>
    </row>
    <row r="15" spans="1:7" ht="15.75" customHeight="1">
      <c r="C15" s="94">
        <v>535.61</v>
      </c>
      <c r="D15" s="87">
        <f t="shared" si="0"/>
        <v>-2.9016562246200205E-2</v>
      </c>
      <c r="E15" s="52"/>
    </row>
    <row r="16" spans="1:7" ht="15.75" customHeight="1">
      <c r="C16" s="94">
        <v>566.79</v>
      </c>
      <c r="D16" s="87">
        <f t="shared" si="0"/>
        <v>2.7508266620257533E-2</v>
      </c>
      <c r="E16" s="52"/>
    </row>
    <row r="17" spans="3:5" ht="15.75" customHeight="1">
      <c r="C17" s="94">
        <v>548.16999999999996</v>
      </c>
      <c r="D17" s="87">
        <f t="shared" si="0"/>
        <v>-6.2470994314886199E-3</v>
      </c>
      <c r="E17" s="52"/>
    </row>
    <row r="18" spans="3:5" ht="15.75" customHeight="1">
      <c r="C18" s="94">
        <v>546.89</v>
      </c>
      <c r="D18" s="87">
        <f t="shared" si="0"/>
        <v>-8.5675542406311624E-3</v>
      </c>
      <c r="E18" s="52"/>
    </row>
    <row r="19" spans="3:5" ht="15.75" customHeight="1">
      <c r="C19" s="94">
        <v>552.66</v>
      </c>
      <c r="D19" s="87">
        <f t="shared" si="0"/>
        <v>1.8926209537068954E-3</v>
      </c>
      <c r="E19" s="52"/>
    </row>
    <row r="20" spans="3:5" ht="15.75" customHeight="1">
      <c r="C20" s="94">
        <v>561.78</v>
      </c>
      <c r="D20" s="87">
        <f t="shared" si="0"/>
        <v>1.8425861468847872E-2</v>
      </c>
      <c r="E20" s="52"/>
    </row>
    <row r="21" spans="3:5" ht="15.75" customHeight="1">
      <c r="C21" s="94">
        <v>560.17999999999995</v>
      </c>
      <c r="D21" s="87">
        <f t="shared" si="0"/>
        <v>1.5525292957419591E-2</v>
      </c>
      <c r="E21" s="52"/>
    </row>
    <row r="22" spans="3:5" ht="15.75" customHeight="1">
      <c r="C22" s="94">
        <v>551.04</v>
      </c>
      <c r="D22" s="87">
        <f t="shared" si="0"/>
        <v>-1.0442046641142059E-3</v>
      </c>
      <c r="E22" s="52"/>
    </row>
    <row r="23" spans="3:5" ht="15.75" customHeight="1">
      <c r="C23" s="94">
        <v>546.45000000000005</v>
      </c>
      <c r="D23" s="87">
        <f t="shared" si="0"/>
        <v>-9.3652105812738213E-3</v>
      </c>
      <c r="E23" s="52"/>
    </row>
    <row r="24" spans="3:5" ht="15.75" customHeight="1">
      <c r="C24" s="94">
        <v>548.89</v>
      </c>
      <c r="D24" s="87">
        <f t="shared" si="0"/>
        <v>-4.9418436013458624E-3</v>
      </c>
      <c r="E24" s="52"/>
    </row>
    <row r="25" spans="3:5" ht="15.75" customHeight="1">
      <c r="C25" s="94">
        <v>557.15</v>
      </c>
      <c r="D25" s="87">
        <f t="shared" si="0"/>
        <v>1.003234133890241E-2</v>
      </c>
      <c r="E25" s="52"/>
    </row>
    <row r="26" spans="3:5" ht="15.75" customHeight="1">
      <c r="C26" s="94">
        <v>561.26</v>
      </c>
      <c r="D26" s="87">
        <f t="shared" si="0"/>
        <v>1.7483176702633725E-2</v>
      </c>
      <c r="E26" s="52"/>
    </row>
    <row r="27" spans="3:5" ht="15.75" customHeight="1">
      <c r="C27" s="94">
        <v>563.38</v>
      </c>
      <c r="D27" s="87">
        <f t="shared" si="0"/>
        <v>2.1326429980276153E-2</v>
      </c>
      <c r="E27" s="52"/>
    </row>
    <row r="28" spans="3:5" ht="15.75" customHeight="1">
      <c r="C28" s="94">
        <v>542.12</v>
      </c>
      <c r="D28" s="87">
        <f t="shared" si="0"/>
        <v>-1.7214874115326569E-2</v>
      </c>
      <c r="E28" s="52"/>
    </row>
    <row r="29" spans="3:5" ht="15.75" customHeight="1">
      <c r="C29" s="94">
        <v>550.08000000000004</v>
      </c>
      <c r="D29" s="87">
        <f t="shared" si="0"/>
        <v>-2.7845457709710099E-3</v>
      </c>
      <c r="E29" s="52"/>
    </row>
    <row r="30" spans="3:5" ht="15.75" customHeight="1">
      <c r="C30" s="94">
        <v>550.41999999999996</v>
      </c>
      <c r="D30" s="87">
        <f t="shared" si="0"/>
        <v>-2.1681749622926572E-3</v>
      </c>
      <c r="E30" s="52"/>
    </row>
    <row r="31" spans="3:5" ht="15.75" customHeight="1">
      <c r="C31" s="94">
        <v>548.80999999999995</v>
      </c>
      <c r="D31" s="87">
        <f t="shared" si="0"/>
        <v>-5.0868720269173487E-3</v>
      </c>
      <c r="E31" s="52"/>
    </row>
    <row r="32" spans="3:5" ht="15.75" customHeight="1">
      <c r="C32" s="94">
        <v>553.66</v>
      </c>
      <c r="D32" s="87">
        <f t="shared" si="0"/>
        <v>3.7054762733495453E-3</v>
      </c>
      <c r="E32" s="52"/>
    </row>
    <row r="33" spans="1:7" ht="16.5" customHeight="1">
      <c r="C33" s="95">
        <v>527.69000000000005</v>
      </c>
      <c r="D33" s="88">
        <f t="shared" si="0"/>
        <v>-4.3374376377769919E-2</v>
      </c>
      <c r="E33" s="52"/>
    </row>
    <row r="34" spans="1:7" ht="16.5" customHeight="1">
      <c r="C34" s="53"/>
      <c r="D34" s="52"/>
      <c r="E34" s="54"/>
    </row>
    <row r="35" spans="1:7" ht="16.5" customHeight="1">
      <c r="B35" s="81" t="s">
        <v>41</v>
      </c>
      <c r="C35" s="82">
        <f>SUM(C14:C34)</f>
        <v>11032.32</v>
      </c>
      <c r="D35" s="77"/>
      <c r="E35" s="53"/>
    </row>
    <row r="36" spans="1:7" ht="17.25" customHeight="1">
      <c r="B36" s="81" t="s">
        <v>42</v>
      </c>
      <c r="C36" s="83">
        <f>AVERAGE(C14:C34)</f>
        <v>551.61599999999999</v>
      </c>
      <c r="E36" s="55"/>
    </row>
    <row r="37" spans="1:7" ht="17.25" customHeight="1">
      <c r="A37" s="59"/>
      <c r="B37" s="78"/>
      <c r="D37" s="57"/>
      <c r="E37" s="55"/>
    </row>
    <row r="38" spans="1:7" ht="33.75" customHeight="1">
      <c r="B38" s="91" t="s">
        <v>42</v>
      </c>
      <c r="C38" s="84" t="s">
        <v>43</v>
      </c>
      <c r="D38" s="79"/>
      <c r="G38" s="57"/>
    </row>
    <row r="39" spans="1:7" ht="17.25" customHeight="1">
      <c r="B39" s="411">
        <f>C36</f>
        <v>551.61599999999999</v>
      </c>
      <c r="C39" s="92">
        <f>-IF(C36&lt;=80,10%,IF(C36&lt;250,7.5%,5%))</f>
        <v>-0.05</v>
      </c>
      <c r="D39" s="80">
        <f>IF(C36&lt;=80,C36*0.9,IF(C36&lt;250,C36*0.925,C36*0.95))</f>
        <v>524.03519999999992</v>
      </c>
    </row>
    <row r="40" spans="1:7" ht="17.25" customHeight="1">
      <c r="B40" s="412"/>
      <c r="C40" s="93">
        <f>IF(C36&lt;=80, 10%, IF(C36&lt;250, 7.5%, 5%))</f>
        <v>0.05</v>
      </c>
      <c r="D40" s="80">
        <f>IF(C36&lt;=80, C36*1.1, IF(C36&lt;250, C36*1.075, C36*1.05))</f>
        <v>579.19680000000005</v>
      </c>
    </row>
    <row r="41" spans="1:7" ht="16.5" customHeight="1">
      <c r="A41" s="62"/>
      <c r="B41" s="63"/>
      <c r="C41" s="59"/>
      <c r="D41" s="64"/>
      <c r="E41" s="59"/>
      <c r="F41" s="65"/>
    </row>
    <row r="42" spans="1:7" ht="16.5" customHeight="1">
      <c r="A42" s="59"/>
      <c r="B42" s="66" t="s">
        <v>25</v>
      </c>
      <c r="C42" s="66"/>
      <c r="D42" s="67" t="s">
        <v>26</v>
      </c>
      <c r="E42" s="68"/>
      <c r="F42" s="67" t="s">
        <v>27</v>
      </c>
    </row>
    <row r="43" spans="1:7" ht="34.5" customHeight="1">
      <c r="A43" s="69" t="s">
        <v>28</v>
      </c>
      <c r="B43" s="70"/>
      <c r="C43" s="71"/>
      <c r="D43" s="70"/>
      <c r="E43" s="60"/>
      <c r="F43" s="72"/>
    </row>
    <row r="44" spans="1:7" ht="34.5" customHeight="1">
      <c r="A44" s="69" t="s">
        <v>29</v>
      </c>
      <c r="B44" s="73"/>
      <c r="C44" s="74"/>
      <c r="D44" s="73"/>
      <c r="E44" s="60"/>
      <c r="F4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39:B40"/>
    <mergeCell ref="A2:F2"/>
    <mergeCell ref="A1:F1"/>
    <mergeCell ref="A12:B12"/>
    <mergeCell ref="D12:E12"/>
    <mergeCell ref="A4:B4"/>
    <mergeCell ref="A5:B5"/>
    <mergeCell ref="A6:B6"/>
    <mergeCell ref="A7:B7"/>
    <mergeCell ref="A8:B8"/>
    <mergeCell ref="A9:B9"/>
    <mergeCell ref="A11:B11"/>
  </mergeCells>
  <conditionalFormatting sqref="D14">
    <cfRule type="cellIs" dxfId="31" priority="1" operator="notBetween">
      <formula>IF(C36&lt;=80,-10.5%,IF(C36&lt;250,-7.5%,-5.5%))</formula>
      <formula>IF(C36&lt;=80,10.5%, IF(C36&lt;250,7.5%, C36*5.5%))</formula>
    </cfRule>
  </conditionalFormatting>
  <conditionalFormatting sqref="D15">
    <cfRule type="cellIs" dxfId="30" priority="2" operator="notBetween">
      <formula>IF(C36&lt;=80,-10.5%,IF(C36&lt;250,-7.5%,-5.5%))</formula>
      <formula>IF(C36&lt;=80,10.5%, IF(C36&lt;250,7.5%, C36*5.5%))</formula>
    </cfRule>
  </conditionalFormatting>
  <conditionalFormatting sqref="D16">
    <cfRule type="cellIs" dxfId="29" priority="3" operator="notBetween">
      <formula>IF(C36&lt;=80,-10.5%,IF(C36&lt;250,-7.5%,-5.5%))</formula>
      <formula>IF(C36&lt;=80,10.5%, IF(C36&lt;250,7.5%, C36*5.5%))</formula>
    </cfRule>
  </conditionalFormatting>
  <conditionalFormatting sqref="D17">
    <cfRule type="cellIs" dxfId="28" priority="4" operator="notBetween">
      <formula>IF(C36&lt;=80,-10.5%,IF(C36&lt;250,-7.5%,-5.5%))</formula>
      <formula>IF(C36&lt;=80,10.5%, IF(C36&lt;250,7.5%, C36*5.5%))</formula>
    </cfRule>
  </conditionalFormatting>
  <conditionalFormatting sqref="D18">
    <cfRule type="cellIs" dxfId="27" priority="5" operator="notBetween">
      <formula>IF(C36&lt;=80,-10.5%,IF(C36&lt;250,-7.5%,-5.5%))</formula>
      <formula>IF(C36&lt;=80,10.5%, IF(C36&lt;250,7.5%, C36*5.5%))</formula>
    </cfRule>
  </conditionalFormatting>
  <conditionalFormatting sqref="D19">
    <cfRule type="cellIs" dxfId="26" priority="6" operator="notBetween">
      <formula>IF(C36&lt;=80,-10.5%,IF(C36&lt;250,-7.5%,-5.5%))</formula>
      <formula>IF(C36&lt;=80,10.5%, IF(C36&lt;250,7.5%, C36*5.5%))</formula>
    </cfRule>
  </conditionalFormatting>
  <conditionalFormatting sqref="D20">
    <cfRule type="cellIs" dxfId="25" priority="7" operator="notBetween">
      <formula>IF(C36&lt;=80,-10.5%,IF(C36&lt;250,-7.5%,-5.5%))</formula>
      <formula>IF(C36&lt;=80,10.5%, IF(C36&lt;250,7.5%, C36*5.5%))</formula>
    </cfRule>
  </conditionalFormatting>
  <conditionalFormatting sqref="D21">
    <cfRule type="cellIs" dxfId="24" priority="8" operator="notBetween">
      <formula>IF(C36&lt;=80,-10.5%,IF(C36&lt;250,-7.5%,-5.5%))</formula>
      <formula>IF(C36&lt;=80,10.5%, IF(C36&lt;250,7.5%, C36*5.5%))</formula>
    </cfRule>
  </conditionalFormatting>
  <conditionalFormatting sqref="D22">
    <cfRule type="cellIs" dxfId="23" priority="9" operator="notBetween">
      <formula>IF(C36&lt;=80,-10.5%,IF(C36&lt;250,-7.5%,-5.5%))</formula>
      <formula>IF(C36&lt;=80,10.5%, IF(C36&lt;250,7.5%, C36*5.5%))</formula>
    </cfRule>
  </conditionalFormatting>
  <conditionalFormatting sqref="D23">
    <cfRule type="cellIs" dxfId="22" priority="10" operator="notBetween">
      <formula>IF(C36&lt;=80,-10.5%,IF(C36&lt;250,-7.5%,-5.5%))</formula>
      <formula>IF(C36&lt;=80,10.5%, IF(C36&lt;250,7.5%, C36*5.5%))</formula>
    </cfRule>
  </conditionalFormatting>
  <conditionalFormatting sqref="D24">
    <cfRule type="cellIs" dxfId="21" priority="11" operator="notBetween">
      <formula>IF(C36&lt;=80,-10.5%,IF(C36&lt;250,-7.5%,-5.5%))</formula>
      <formula>IF(C36&lt;=80,10.5%, IF(C36&lt;250,7.5%, C36*5.5%))</formula>
    </cfRule>
  </conditionalFormatting>
  <conditionalFormatting sqref="D25">
    <cfRule type="cellIs" dxfId="20" priority="12" operator="notBetween">
      <formula>IF(C36&lt;=80,-10.5%,IF(C36&lt;250,-7.5%,-5.5%))</formula>
      <formula>IF(C36&lt;=80,10.5%, IF(C36&lt;250,7.5%, C36*5.5%))</formula>
    </cfRule>
  </conditionalFormatting>
  <conditionalFormatting sqref="D26">
    <cfRule type="cellIs" dxfId="19" priority="13" operator="notBetween">
      <formula>IF(C36&lt;=80,-10.5%,IF(C36&lt;250,-7.5%,-5.5%))</formula>
      <formula>IF(C36&lt;=80,10.5%, IF(C36&lt;250,7.5%, C36*5.5%))</formula>
    </cfRule>
  </conditionalFormatting>
  <conditionalFormatting sqref="D27">
    <cfRule type="cellIs" dxfId="18" priority="14" operator="notBetween">
      <formula>IF(C36&lt;=80,-10.5%,IF(C36&lt;250,-7.5%,-5.5%))</formula>
      <formula>IF(C36&lt;=80,10.5%, IF(C36&lt;250,7.5%, C36*5.5%))</formula>
    </cfRule>
  </conditionalFormatting>
  <conditionalFormatting sqref="D28">
    <cfRule type="cellIs" dxfId="17" priority="15" operator="notBetween">
      <formula>IF(C36&lt;=80,-10.5%,IF(C36&lt;250,-7.5%,-5.5%))</formula>
      <formula>IF(C36&lt;=80,10.5%, IF(C36&lt;250,7.5%, C36*5.5%))</formula>
    </cfRule>
  </conditionalFormatting>
  <conditionalFormatting sqref="D29">
    <cfRule type="cellIs" dxfId="16" priority="16" operator="notBetween">
      <formula>IF(C36&lt;=80,-10.5%,IF(C36&lt;250,-7.5%,-5.5%))</formula>
      <formula>IF(C36&lt;=80,10.5%, IF(C36&lt;250,7.5%, C36*5.5%))</formula>
    </cfRule>
  </conditionalFormatting>
  <conditionalFormatting sqref="D30">
    <cfRule type="cellIs" dxfId="15" priority="17" operator="notBetween">
      <formula>IF(C36&lt;=80,-10.5%,IF(C36&lt;250,-7.5%,-5.5%))</formula>
      <formula>IF(C36&lt;=80,10.5%, IF(C36&lt;250,7.5%, C36*5.5%))</formula>
    </cfRule>
  </conditionalFormatting>
  <conditionalFormatting sqref="D31">
    <cfRule type="cellIs" dxfId="14" priority="18" operator="notBetween">
      <formula>IF(C36&lt;=80,-10.5%,IF(C36&lt;250,-7.5%,-5.5%))</formula>
      <formula>IF(C36&lt;=80,10.5%, IF(C36&lt;250,7.5%, C36*5.5%))</formula>
    </cfRule>
  </conditionalFormatting>
  <conditionalFormatting sqref="D32">
    <cfRule type="cellIs" dxfId="13" priority="19" operator="notBetween">
      <formula>IF(C36&lt;=80,-10.5%,IF(C36&lt;250,-7.5%,-5.5%))</formula>
      <formula>IF(C36&lt;=80,10.5%, IF(C36&lt;250,7.5%, C36*5.5%))</formula>
    </cfRule>
  </conditionalFormatting>
  <conditionalFormatting sqref="D33">
    <cfRule type="cellIs" dxfId="12" priority="20" operator="notBetween">
      <formula>IF(C36&lt;=80,-10.5%,IF(C36&lt;250,-7.5%,-5.5%))</formula>
      <formula>IF(C36&lt;=80,10.5%, IF(C36&lt;250,7.5%, C36*5.5%))</formula>
    </cfRule>
  </conditionalFormatting>
  <conditionalFormatting sqref="D34">
    <cfRule type="cellIs" dxfId="11" priority="21" operator="notBetween">
      <formula>IF(C36&lt;=80,-10.5%,IF(C36&lt;250,-7.5%,-5.5%))</formula>
      <formula>IF(C36&lt;=80,10.5%, IF(C36&lt;250,7.5%, C36*5.5%))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"/>
  <sheetViews>
    <sheetView view="pageBreakPreview" topLeftCell="A79" zoomScale="60" zoomScaleNormal="70" workbookViewId="0">
      <selection activeCell="C101" sqref="C101"/>
    </sheetView>
  </sheetViews>
  <sheetFormatPr defaultRowHeight="12.75"/>
  <cols>
    <col min="1" max="1" width="54.85546875" customWidth="1"/>
    <col min="2" max="2" width="39.42578125" customWidth="1"/>
    <col min="3" max="3" width="42.5703125" customWidth="1"/>
    <col min="4" max="4" width="21" customWidth="1"/>
    <col min="5" max="5" width="28.28515625" customWidth="1"/>
    <col min="6" max="6" width="23.85546875" customWidth="1"/>
    <col min="7" max="7" width="26" customWidth="1"/>
  </cols>
  <sheetData>
    <row r="1" spans="1:7">
      <c r="A1" s="433" t="s">
        <v>44</v>
      </c>
      <c r="B1" s="433"/>
      <c r="C1" s="433"/>
      <c r="D1" s="433"/>
      <c r="E1" s="433"/>
      <c r="F1" s="433"/>
      <c r="G1" s="433"/>
    </row>
    <row r="2" spans="1:7">
      <c r="A2" s="433"/>
      <c r="B2" s="433"/>
      <c r="C2" s="433"/>
      <c r="D2" s="433"/>
      <c r="E2" s="433"/>
      <c r="F2" s="433"/>
      <c r="G2" s="433"/>
    </row>
    <row r="3" spans="1:7">
      <c r="A3" s="433"/>
      <c r="B3" s="433"/>
      <c r="C3" s="433"/>
      <c r="D3" s="433"/>
      <c r="E3" s="433"/>
      <c r="F3" s="433"/>
      <c r="G3" s="433"/>
    </row>
    <row r="4" spans="1:7">
      <c r="A4" s="433"/>
      <c r="B4" s="433"/>
      <c r="C4" s="433"/>
      <c r="D4" s="433"/>
      <c r="E4" s="433"/>
      <c r="F4" s="433"/>
      <c r="G4" s="433"/>
    </row>
    <row r="5" spans="1:7">
      <c r="A5" s="433"/>
      <c r="B5" s="433"/>
      <c r="C5" s="433"/>
      <c r="D5" s="433"/>
      <c r="E5" s="433"/>
      <c r="F5" s="433"/>
      <c r="G5" s="433"/>
    </row>
    <row r="6" spans="1:7">
      <c r="A6" s="433"/>
      <c r="B6" s="433"/>
      <c r="C6" s="433"/>
      <c r="D6" s="433"/>
      <c r="E6" s="433"/>
      <c r="F6" s="433"/>
      <c r="G6" s="433"/>
    </row>
    <row r="7" spans="1:7">
      <c r="A7" s="433"/>
      <c r="B7" s="433"/>
      <c r="C7" s="433"/>
      <c r="D7" s="433"/>
      <c r="E7" s="433"/>
      <c r="F7" s="433"/>
      <c r="G7" s="433"/>
    </row>
    <row r="8" spans="1:7">
      <c r="A8" s="434" t="s">
        <v>45</v>
      </c>
      <c r="B8" s="434"/>
      <c r="C8" s="434"/>
      <c r="D8" s="434"/>
      <c r="E8" s="434"/>
      <c r="F8" s="434"/>
      <c r="G8" s="434"/>
    </row>
    <row r="9" spans="1:7">
      <c r="A9" s="434"/>
      <c r="B9" s="434"/>
      <c r="C9" s="434"/>
      <c r="D9" s="434"/>
      <c r="E9" s="434"/>
      <c r="F9" s="434"/>
      <c r="G9" s="434"/>
    </row>
    <row r="10" spans="1:7">
      <c r="A10" s="434"/>
      <c r="B10" s="434"/>
      <c r="C10" s="434"/>
      <c r="D10" s="434"/>
      <c r="E10" s="434"/>
      <c r="F10" s="434"/>
      <c r="G10" s="434"/>
    </row>
    <row r="11" spans="1:7">
      <c r="A11" s="434"/>
      <c r="B11" s="434"/>
      <c r="C11" s="434"/>
      <c r="D11" s="434"/>
      <c r="E11" s="434"/>
      <c r="F11" s="434"/>
      <c r="G11" s="434"/>
    </row>
    <row r="12" spans="1:7">
      <c r="A12" s="434"/>
      <c r="B12" s="434"/>
      <c r="C12" s="434"/>
      <c r="D12" s="434"/>
      <c r="E12" s="434"/>
      <c r="F12" s="434"/>
      <c r="G12" s="434"/>
    </row>
    <row r="13" spans="1:7">
      <c r="A13" s="434"/>
      <c r="B13" s="434"/>
      <c r="C13" s="434"/>
      <c r="D13" s="434"/>
      <c r="E13" s="434"/>
      <c r="F13" s="434"/>
      <c r="G13" s="434"/>
    </row>
    <row r="14" spans="1:7">
      <c r="A14" s="434"/>
      <c r="B14" s="434"/>
      <c r="C14" s="434"/>
      <c r="D14" s="434"/>
      <c r="E14" s="434"/>
      <c r="F14" s="434"/>
      <c r="G14" s="434"/>
    </row>
    <row r="15" spans="1:7" ht="19.5" customHeight="1">
      <c r="A15" s="97"/>
      <c r="B15" s="97"/>
      <c r="C15" s="97"/>
      <c r="D15" s="97"/>
      <c r="E15" s="97"/>
      <c r="F15" s="97"/>
      <c r="G15" s="97"/>
    </row>
    <row r="16" spans="1:7" ht="19.5" customHeight="1">
      <c r="A16" s="419" t="s">
        <v>30</v>
      </c>
      <c r="B16" s="420"/>
      <c r="C16" s="420"/>
      <c r="D16" s="420"/>
      <c r="E16" s="420"/>
      <c r="F16" s="420"/>
      <c r="G16" s="420"/>
    </row>
    <row r="17" spans="1:7" ht="18.75" customHeight="1">
      <c r="A17" s="98" t="s">
        <v>46</v>
      </c>
      <c r="B17" s="98"/>
      <c r="C17" s="97"/>
      <c r="D17" s="97"/>
      <c r="E17" s="97"/>
      <c r="F17" s="97"/>
      <c r="G17" s="97"/>
    </row>
    <row r="18" spans="1:7" ht="26.25" customHeight="1">
      <c r="A18" s="99" t="s">
        <v>32</v>
      </c>
      <c r="B18" s="421" t="s">
        <v>5</v>
      </c>
      <c r="C18" s="421"/>
      <c r="D18" s="100"/>
      <c r="E18" s="100"/>
      <c r="F18" s="97"/>
      <c r="G18" s="97"/>
    </row>
    <row r="19" spans="1:7" ht="26.25" customHeight="1">
      <c r="A19" s="99" t="s">
        <v>33</v>
      </c>
      <c r="B19" s="218" t="s">
        <v>7</v>
      </c>
      <c r="C19" s="97">
        <v>12</v>
      </c>
      <c r="E19" s="97"/>
      <c r="F19" s="97"/>
      <c r="G19" s="97"/>
    </row>
    <row r="20" spans="1:7" ht="26.25" customHeight="1">
      <c r="A20" s="99" t="s">
        <v>34</v>
      </c>
      <c r="B20" s="422" t="s">
        <v>9</v>
      </c>
      <c r="C20" s="422"/>
      <c r="D20" s="97"/>
      <c r="E20" s="97"/>
      <c r="F20" s="97"/>
      <c r="G20" s="97"/>
    </row>
    <row r="21" spans="1:7" ht="26.25" customHeight="1">
      <c r="A21" s="99" t="s">
        <v>35</v>
      </c>
      <c r="B21" s="101" t="s">
        <v>11</v>
      </c>
      <c r="C21" s="101"/>
      <c r="D21" s="102"/>
      <c r="E21" s="102"/>
      <c r="F21" s="102"/>
      <c r="G21" s="102"/>
    </row>
    <row r="22" spans="1:7" ht="26.25" customHeight="1">
      <c r="A22" s="99" t="s">
        <v>36</v>
      </c>
      <c r="B22" s="103">
        <v>42431</v>
      </c>
      <c r="C22" s="104"/>
      <c r="D22" s="97"/>
      <c r="E22" s="97"/>
      <c r="F22" s="97"/>
      <c r="G22" s="97"/>
    </row>
    <row r="23" spans="1:7" ht="26.25" customHeight="1">
      <c r="A23" s="99" t="s">
        <v>37</v>
      </c>
      <c r="B23" s="103">
        <v>42432</v>
      </c>
      <c r="C23" s="104"/>
      <c r="D23" s="97"/>
      <c r="E23" s="97"/>
      <c r="F23" s="97"/>
      <c r="G23" s="97"/>
    </row>
    <row r="24" spans="1:7" ht="18.75" customHeight="1">
      <c r="A24" s="99"/>
      <c r="B24" s="105"/>
      <c r="C24" s="97"/>
      <c r="D24" s="97"/>
      <c r="E24" s="97"/>
      <c r="F24" s="97"/>
      <c r="G24" s="97"/>
    </row>
    <row r="25" spans="1:7" ht="18.75" customHeight="1">
      <c r="A25" s="106" t="s">
        <v>1</v>
      </c>
      <c r="B25" s="105"/>
      <c r="C25" s="97"/>
      <c r="D25" s="97"/>
      <c r="E25" s="97"/>
      <c r="F25" s="97"/>
      <c r="G25" s="97"/>
    </row>
    <row r="26" spans="1:7" ht="26.25" customHeight="1">
      <c r="A26" s="107" t="s">
        <v>4</v>
      </c>
      <c r="B26" s="421" t="s">
        <v>141</v>
      </c>
      <c r="C26" s="421"/>
      <c r="D26" s="97"/>
      <c r="E26" s="97"/>
      <c r="F26" s="97"/>
      <c r="G26" s="97"/>
    </row>
    <row r="27" spans="1:7" ht="26.25" customHeight="1">
      <c r="A27" s="108" t="s">
        <v>47</v>
      </c>
      <c r="B27" s="422" t="s">
        <v>142</v>
      </c>
      <c r="C27" s="422"/>
      <c r="D27" s="97"/>
      <c r="E27" s="97"/>
      <c r="F27" s="97"/>
      <c r="G27" s="97"/>
    </row>
    <row r="28" spans="1:7" ht="27" customHeight="1">
      <c r="A28" s="108" t="s">
        <v>6</v>
      </c>
      <c r="B28" s="109">
        <v>98.96</v>
      </c>
      <c r="C28" s="97"/>
      <c r="D28" s="97"/>
      <c r="E28" s="97"/>
      <c r="F28" s="97"/>
      <c r="G28" s="97"/>
    </row>
    <row r="29" spans="1:7" ht="27" customHeight="1">
      <c r="A29" s="108" t="s">
        <v>48</v>
      </c>
      <c r="B29" s="110">
        <v>0</v>
      </c>
      <c r="C29" s="423" t="s">
        <v>49</v>
      </c>
      <c r="D29" s="424"/>
      <c r="E29" s="424"/>
      <c r="F29" s="424"/>
      <c r="G29" s="425"/>
    </row>
    <row r="30" spans="1:7" ht="19.5" customHeight="1">
      <c r="A30" s="108" t="s">
        <v>50</v>
      </c>
      <c r="B30" s="112">
        <f>B28-B29</f>
        <v>98.96</v>
      </c>
      <c r="C30" s="113"/>
      <c r="D30" s="113"/>
      <c r="E30" s="113"/>
      <c r="F30" s="113"/>
      <c r="G30" s="113"/>
    </row>
    <row r="31" spans="1:7" ht="27" customHeight="1">
      <c r="A31" s="108" t="s">
        <v>51</v>
      </c>
      <c r="B31" s="398">
        <v>474.6</v>
      </c>
      <c r="C31" s="423" t="s">
        <v>52</v>
      </c>
      <c r="D31" s="424"/>
      <c r="E31" s="424"/>
      <c r="F31" s="424"/>
      <c r="G31" s="425"/>
    </row>
    <row r="32" spans="1:7" ht="27" customHeight="1">
      <c r="A32" s="108" t="s">
        <v>53</v>
      </c>
      <c r="B32" s="398">
        <v>666.69</v>
      </c>
      <c r="C32" s="423" t="s">
        <v>54</v>
      </c>
      <c r="D32" s="424"/>
      <c r="E32" s="424"/>
      <c r="F32" s="424"/>
      <c r="G32" s="425"/>
    </row>
    <row r="33" spans="1:7" ht="18.75" customHeight="1">
      <c r="A33" s="108"/>
      <c r="B33" s="114"/>
      <c r="C33" s="115"/>
      <c r="D33" s="115"/>
      <c r="E33" s="115"/>
      <c r="F33" s="115"/>
      <c r="G33" s="115"/>
    </row>
    <row r="34" spans="1:7" ht="18.75" customHeight="1">
      <c r="A34" s="108" t="s">
        <v>55</v>
      </c>
      <c r="B34" s="116">
        <f>B31/B32</f>
        <v>0.71187508437204694</v>
      </c>
      <c r="C34" s="97" t="s">
        <v>56</v>
      </c>
      <c r="D34" s="97"/>
      <c r="E34" s="97"/>
      <c r="F34" s="97"/>
      <c r="G34" s="97"/>
    </row>
    <row r="35" spans="1:7" ht="19.5" customHeight="1">
      <c r="A35" s="108"/>
      <c r="B35" s="112"/>
      <c r="C35" s="111"/>
      <c r="D35" s="111"/>
      <c r="E35" s="111"/>
      <c r="F35" s="111"/>
      <c r="G35" s="97"/>
    </row>
    <row r="36" spans="1:7" ht="27" customHeight="1">
      <c r="A36" s="117" t="s">
        <v>57</v>
      </c>
      <c r="B36" s="118">
        <v>50</v>
      </c>
      <c r="C36" s="97"/>
      <c r="D36" s="426" t="s">
        <v>58</v>
      </c>
      <c r="E36" s="427"/>
      <c r="F36" s="426" t="s">
        <v>59</v>
      </c>
      <c r="G36" s="428"/>
    </row>
    <row r="37" spans="1:7" ht="26.25" customHeight="1">
      <c r="A37" s="119" t="s">
        <v>60</v>
      </c>
      <c r="B37" s="120">
        <v>2</v>
      </c>
      <c r="C37" s="121" t="s">
        <v>61</v>
      </c>
      <c r="D37" s="122" t="s">
        <v>62</v>
      </c>
      <c r="E37" s="123" t="s">
        <v>63</v>
      </c>
      <c r="F37" s="122" t="s">
        <v>62</v>
      </c>
      <c r="G37" s="124" t="s">
        <v>63</v>
      </c>
    </row>
    <row r="38" spans="1:7" ht="26.25" customHeight="1">
      <c r="A38" s="119" t="s">
        <v>64</v>
      </c>
      <c r="B38" s="120">
        <v>50</v>
      </c>
      <c r="C38" s="125">
        <v>1</v>
      </c>
      <c r="D38" s="126">
        <v>0.38879999999999998</v>
      </c>
      <c r="E38" s="127">
        <f>IF(ISBLANK(D38),"-",$D$48/$D$45*D38)</f>
        <v>0.3313828224288986</v>
      </c>
      <c r="F38" s="400">
        <v>0.36299999999999999</v>
      </c>
      <c r="G38" s="128">
        <f>IF(ISBLANK(F38),"-",$D$48/$F$45*F38)</f>
        <v>0.32248965433652343</v>
      </c>
    </row>
    <row r="39" spans="1:7" ht="26.25" customHeight="1">
      <c r="A39" s="119" t="s">
        <v>65</v>
      </c>
      <c r="B39" s="120">
        <v>1</v>
      </c>
      <c r="C39" s="129">
        <v>2</v>
      </c>
      <c r="D39" s="130">
        <v>0.38919999999999999</v>
      </c>
      <c r="E39" s="131">
        <f>IF(ISBLANK(D39),"-",$D$48/$D$45*D39)</f>
        <v>0.33172375125855796</v>
      </c>
      <c r="F39" s="401">
        <v>0.36309999999999998</v>
      </c>
      <c r="G39" s="132">
        <f>IF(ISBLANK(F39),"-",$D$48/$F$45*F39)</f>
        <v>0.32257849446168502</v>
      </c>
    </row>
    <row r="40" spans="1:7" ht="26.25" customHeight="1">
      <c r="A40" s="119" t="s">
        <v>66</v>
      </c>
      <c r="B40" s="120">
        <v>1</v>
      </c>
      <c r="C40" s="129">
        <v>3</v>
      </c>
      <c r="D40" s="130">
        <v>0.39219999999999999</v>
      </c>
      <c r="E40" s="131">
        <f>IF(ISBLANK(D40),"-",$D$48/$D$45*D40)</f>
        <v>0.33428071748100319</v>
      </c>
      <c r="F40" s="401">
        <v>0.3634</v>
      </c>
      <c r="G40" s="132">
        <f>IF(ISBLANK(F40),"-",$D$48/$F$45*F40)</f>
        <v>0.32284501483716976</v>
      </c>
    </row>
    <row r="41" spans="1:7" ht="26.25" customHeight="1">
      <c r="A41" s="119" t="s">
        <v>67</v>
      </c>
      <c r="B41" s="120">
        <v>1</v>
      </c>
      <c r="C41" s="133">
        <v>4</v>
      </c>
      <c r="D41" s="134"/>
      <c r="E41" s="135" t="str">
        <f>IF(ISBLANK(D41),"-",$D$48/$D$45*D41)</f>
        <v>-</v>
      </c>
      <c r="F41" s="134"/>
      <c r="G41" s="136" t="str">
        <f>IF(ISBLANK(F41),"-",$D$48/$F$45*F41)</f>
        <v>-</v>
      </c>
    </row>
    <row r="42" spans="1:7" ht="27" customHeight="1">
      <c r="A42" s="119" t="s">
        <v>68</v>
      </c>
      <c r="B42" s="120">
        <v>1</v>
      </c>
      <c r="C42" s="137" t="s">
        <v>69</v>
      </c>
      <c r="D42" s="399">
        <f>AVERAGE(D38:D41)</f>
        <v>0.39006666666666662</v>
      </c>
      <c r="E42" s="138">
        <f>AVERAGE(E38:E41)</f>
        <v>0.33246243038948659</v>
      </c>
      <c r="F42" s="399">
        <f>AVERAGE(F38:F41)</f>
        <v>0.36316666666666664</v>
      </c>
      <c r="G42" s="139">
        <f>AVERAGE(G38:G41)</f>
        <v>0.32263772121179274</v>
      </c>
    </row>
    <row r="43" spans="1:7" ht="26.25" customHeight="1">
      <c r="A43" s="119" t="s">
        <v>70</v>
      </c>
      <c r="B43" s="120">
        <v>1</v>
      </c>
      <c r="C43" s="140" t="s">
        <v>71</v>
      </c>
      <c r="D43" s="141">
        <v>22.9</v>
      </c>
      <c r="E43" s="142"/>
      <c r="F43" s="141">
        <v>21.97</v>
      </c>
      <c r="G43" s="97"/>
    </row>
    <row r="44" spans="1:7" ht="26.25" customHeight="1">
      <c r="A44" s="119" t="s">
        <v>72</v>
      </c>
      <c r="B44" s="120">
        <v>1</v>
      </c>
      <c r="C44" s="143" t="s">
        <v>73</v>
      </c>
      <c r="D44" s="144">
        <f>D43*$B$34</f>
        <v>16.301939432119873</v>
      </c>
      <c r="E44" s="145"/>
      <c r="F44" s="144">
        <f>F43*$B$34</f>
        <v>15.639895603653871</v>
      </c>
      <c r="G44" s="97"/>
    </row>
    <row r="45" spans="1:7" ht="19.5" customHeight="1">
      <c r="A45" s="119" t="s">
        <v>74</v>
      </c>
      <c r="B45" s="146">
        <f>(B44/B43)*(B42/B41)*(B40/B39)*(B38/B37)*B36</f>
        <v>1250</v>
      </c>
      <c r="C45" s="143" t="s">
        <v>75</v>
      </c>
      <c r="D45" s="147">
        <f>D44*$B$30/100</f>
        <v>16.132399262025828</v>
      </c>
      <c r="E45" s="148"/>
      <c r="F45" s="147">
        <f>F44*$B$30/100</f>
        <v>15.477240689375868</v>
      </c>
      <c r="G45" s="97"/>
    </row>
    <row r="46" spans="1:7" ht="19.5" customHeight="1">
      <c r="A46" s="429" t="s">
        <v>76</v>
      </c>
      <c r="B46" s="430"/>
      <c r="C46" s="143" t="s">
        <v>77</v>
      </c>
      <c r="D46" s="144">
        <f>D45/$B$45</f>
        <v>1.2905919409620662E-2</v>
      </c>
      <c r="E46" s="148"/>
      <c r="F46" s="149">
        <f>F45/$B$45</f>
        <v>1.2381792551500695E-2</v>
      </c>
      <c r="G46" s="97"/>
    </row>
    <row r="47" spans="1:7" ht="27" customHeight="1">
      <c r="A47" s="431"/>
      <c r="B47" s="432"/>
      <c r="C47" s="150" t="s">
        <v>78</v>
      </c>
      <c r="D47" s="151">
        <v>1.0999999999999999E-2</v>
      </c>
      <c r="E47" s="97"/>
      <c r="F47" s="152"/>
      <c r="G47" s="97"/>
    </row>
    <row r="48" spans="1:7" ht="18.75" customHeight="1">
      <c r="A48" s="97"/>
      <c r="B48" s="97"/>
      <c r="C48" s="153" t="s">
        <v>79</v>
      </c>
      <c r="D48" s="147">
        <f>D47*$B$45</f>
        <v>13.75</v>
      </c>
      <c r="E48" s="97"/>
      <c r="F48" s="152"/>
      <c r="G48" s="97"/>
    </row>
    <row r="49" spans="1:7" ht="19.5" customHeight="1">
      <c r="A49" s="97"/>
      <c r="B49" s="97"/>
      <c r="C49" s="154" t="s">
        <v>80</v>
      </c>
      <c r="D49" s="155">
        <f>D48/B34</f>
        <v>19.315186472819217</v>
      </c>
      <c r="E49" s="97"/>
      <c r="F49" s="152"/>
      <c r="G49" s="97"/>
    </row>
    <row r="50" spans="1:7" ht="18.75" customHeight="1">
      <c r="A50" s="97"/>
      <c r="B50" s="97"/>
      <c r="C50" s="117" t="s">
        <v>81</v>
      </c>
      <c r="D50" s="156">
        <f>AVERAGE(E38:E41,G38:G41)</f>
        <v>0.32755007580063966</v>
      </c>
      <c r="E50" s="97"/>
      <c r="F50" s="157"/>
      <c r="G50" s="97"/>
    </row>
    <row r="51" spans="1:7" ht="18.75" customHeight="1">
      <c r="A51" s="97"/>
      <c r="B51" s="97"/>
      <c r="C51" s="119" t="s">
        <v>82</v>
      </c>
      <c r="D51" s="158">
        <f>STDEV(E38:E41,G38:G41)/D50</f>
        <v>1.6714723278423958E-2</v>
      </c>
      <c r="E51" s="97"/>
      <c r="F51" s="157"/>
      <c r="G51" s="97"/>
    </row>
    <row r="52" spans="1:7" ht="19.5" customHeight="1">
      <c r="A52" s="97"/>
      <c r="B52" s="97"/>
      <c r="C52" s="159" t="s">
        <v>19</v>
      </c>
      <c r="D52" s="160">
        <f>COUNT(E38:E41,G38:G41)</f>
        <v>6</v>
      </c>
      <c r="E52" s="97"/>
      <c r="F52" s="157"/>
      <c r="G52" s="97"/>
    </row>
    <row r="53" spans="1:7" ht="18.75" customHeight="1">
      <c r="A53" s="97"/>
      <c r="B53" s="97"/>
      <c r="C53" s="97"/>
      <c r="D53" s="97"/>
      <c r="E53" s="97"/>
      <c r="F53" s="97"/>
      <c r="G53" s="97"/>
    </row>
    <row r="54" spans="1:7" ht="18.75" customHeight="1">
      <c r="A54" s="98" t="s">
        <v>1</v>
      </c>
      <c r="B54" s="161" t="s">
        <v>83</v>
      </c>
      <c r="C54" s="97"/>
      <c r="D54" s="97"/>
      <c r="E54" s="97"/>
      <c r="F54" s="97"/>
      <c r="G54" s="97"/>
    </row>
    <row r="55" spans="1:7" ht="18.75" customHeight="1">
      <c r="A55" s="97" t="s">
        <v>84</v>
      </c>
      <c r="B55" s="162" t="str">
        <f>B21</f>
        <v>Each film coated tablet contains sildenafil citrate 100mg</v>
      </c>
      <c r="C55" s="97"/>
      <c r="D55" s="97"/>
      <c r="E55" s="97"/>
      <c r="F55" s="97"/>
      <c r="G55" s="97"/>
    </row>
    <row r="56" spans="1:7" ht="26.25" customHeight="1">
      <c r="A56" s="163" t="s">
        <v>85</v>
      </c>
      <c r="B56" s="164">
        <v>100</v>
      </c>
      <c r="C56" s="97" t="str">
        <f>B20</f>
        <v xml:space="preserve">sildenafil citrate </v>
      </c>
      <c r="D56" s="97"/>
      <c r="E56" s="97"/>
      <c r="F56" s="97"/>
      <c r="G56" s="97"/>
    </row>
    <row r="57" spans="1:7" ht="17.25" customHeight="1">
      <c r="A57" s="165" t="s">
        <v>86</v>
      </c>
      <c r="B57" s="165">
        <f>Uniformity!C36</f>
        <v>551.61599999999999</v>
      </c>
      <c r="C57" s="165"/>
      <c r="D57" s="166"/>
      <c r="E57" s="166"/>
      <c r="F57" s="166"/>
      <c r="G57" s="166"/>
    </row>
    <row r="58" spans="1:7" ht="57.75" customHeight="1">
      <c r="A58" s="117" t="s">
        <v>87</v>
      </c>
      <c r="B58" s="118">
        <v>100</v>
      </c>
      <c r="C58" s="167" t="s">
        <v>88</v>
      </c>
      <c r="D58" s="168" t="s">
        <v>89</v>
      </c>
      <c r="E58" s="169" t="s">
        <v>90</v>
      </c>
      <c r="F58" s="170" t="s">
        <v>91</v>
      </c>
      <c r="G58" s="171" t="s">
        <v>92</v>
      </c>
    </row>
    <row r="59" spans="1:7" ht="26.25" customHeight="1">
      <c r="A59" s="119" t="s">
        <v>60</v>
      </c>
      <c r="B59" s="120">
        <v>1</v>
      </c>
      <c r="C59" s="172">
        <v>1</v>
      </c>
      <c r="D59" s="404">
        <v>0.38300000000000001</v>
      </c>
      <c r="E59" s="173">
        <f t="shared" ref="E59:E68" si="0">IF(ISBLANK(D59),"-",D59/$D$50*$D$47*$B$67)</f>
        <v>128.62155472570257</v>
      </c>
      <c r="F59" s="174">
        <f t="shared" ref="F59:F68" si="1">IF(ISBLANK(D59),"-",E59/$E$70*100)</f>
        <v>105.64060129637289</v>
      </c>
      <c r="G59" s="175">
        <f t="shared" ref="G59:G68" si="2">IF(ISBLANK(D59),"-",E59/$B$56*100)</f>
        <v>128.62155472570257</v>
      </c>
    </row>
    <row r="60" spans="1:7" ht="26.25" customHeight="1">
      <c r="A60" s="119" t="s">
        <v>64</v>
      </c>
      <c r="B60" s="120">
        <v>100</v>
      </c>
      <c r="C60" s="176">
        <v>2</v>
      </c>
      <c r="D60" s="405">
        <v>0.35039999999999999</v>
      </c>
      <c r="E60" s="177">
        <f t="shared" si="0"/>
        <v>117.67361038090385</v>
      </c>
      <c r="F60" s="178">
        <f t="shared" si="1"/>
        <v>96.648738105088924</v>
      </c>
      <c r="G60" s="179">
        <f t="shared" si="2"/>
        <v>117.67361038090385</v>
      </c>
    </row>
    <row r="61" spans="1:7" ht="26.25" customHeight="1">
      <c r="A61" s="119" t="s">
        <v>65</v>
      </c>
      <c r="B61" s="120">
        <v>1</v>
      </c>
      <c r="C61" s="176">
        <v>3</v>
      </c>
      <c r="D61" s="405">
        <v>0.34410000000000002</v>
      </c>
      <c r="E61" s="177">
        <f t="shared" si="0"/>
        <v>115.55790334494584</v>
      </c>
      <c r="F61" s="178">
        <f t="shared" si="1"/>
        <v>94.911046752172098</v>
      </c>
      <c r="G61" s="179">
        <f t="shared" si="2"/>
        <v>115.55790334494584</v>
      </c>
    </row>
    <row r="62" spans="1:7" ht="26.25" customHeight="1">
      <c r="A62" s="119" t="s">
        <v>66</v>
      </c>
      <c r="B62" s="120">
        <v>1</v>
      </c>
      <c r="C62" s="176">
        <v>4</v>
      </c>
      <c r="D62" s="405">
        <v>0.35360000000000003</v>
      </c>
      <c r="E62" s="177">
        <f t="shared" si="0"/>
        <v>118.74825522456507</v>
      </c>
      <c r="F62" s="178">
        <f t="shared" si="1"/>
        <v>97.531374982760966</v>
      </c>
      <c r="G62" s="179">
        <f t="shared" si="2"/>
        <v>118.74825522456507</v>
      </c>
    </row>
    <row r="63" spans="1:7" ht="26.25" customHeight="1">
      <c r="A63" s="119" t="s">
        <v>67</v>
      </c>
      <c r="B63" s="120">
        <v>1</v>
      </c>
      <c r="C63" s="176">
        <v>5</v>
      </c>
      <c r="D63" s="405">
        <v>0.36780000000000002</v>
      </c>
      <c r="E63" s="177">
        <f t="shared" si="0"/>
        <v>123.51699171831177</v>
      </c>
      <c r="F63" s="178">
        <f t="shared" si="1"/>
        <v>101.4480761274307</v>
      </c>
      <c r="G63" s="179">
        <f t="shared" si="2"/>
        <v>123.51699171831176</v>
      </c>
    </row>
    <row r="64" spans="1:7" ht="26.25" customHeight="1">
      <c r="A64" s="119" t="s">
        <v>68</v>
      </c>
      <c r="B64" s="120">
        <v>1</v>
      </c>
      <c r="C64" s="176">
        <v>6</v>
      </c>
      <c r="D64" s="405">
        <v>0.38290000000000002</v>
      </c>
      <c r="E64" s="177">
        <f t="shared" si="0"/>
        <v>128.58797207433815</v>
      </c>
      <c r="F64" s="178">
        <f t="shared" si="1"/>
        <v>105.61301889394565</v>
      </c>
      <c r="G64" s="179">
        <f t="shared" si="2"/>
        <v>128.58797207433815</v>
      </c>
    </row>
    <row r="65" spans="1:7" ht="26.25" customHeight="1">
      <c r="A65" s="119" t="s">
        <v>70</v>
      </c>
      <c r="B65" s="120">
        <v>1</v>
      </c>
      <c r="C65" s="176">
        <v>7</v>
      </c>
      <c r="D65" s="405">
        <v>0.37119999999999997</v>
      </c>
      <c r="E65" s="177">
        <f t="shared" si="0"/>
        <v>124.6588018647018</v>
      </c>
      <c r="F65" s="178">
        <f t="shared" si="1"/>
        <v>102.38587780995722</v>
      </c>
      <c r="G65" s="179">
        <f t="shared" si="2"/>
        <v>124.6588018647018</v>
      </c>
    </row>
    <row r="66" spans="1:7" ht="26.25" customHeight="1">
      <c r="A66" s="119" t="s">
        <v>72</v>
      </c>
      <c r="B66" s="120">
        <v>1</v>
      </c>
      <c r="C66" s="176">
        <v>8</v>
      </c>
      <c r="D66" s="405">
        <v>0.3604</v>
      </c>
      <c r="E66" s="177">
        <f t="shared" si="0"/>
        <v>121.03187551734518</v>
      </c>
      <c r="F66" s="178">
        <f t="shared" si="1"/>
        <v>99.406978347814075</v>
      </c>
      <c r="G66" s="179">
        <f t="shared" si="2"/>
        <v>121.03187551734518</v>
      </c>
    </row>
    <row r="67" spans="1:7" ht="27" customHeight="1">
      <c r="A67" s="119" t="s">
        <v>74</v>
      </c>
      <c r="B67" s="146">
        <f>(B66/B65)*(B64/B63)*(B62/B61)*(B60/B59)*B58</f>
        <v>10000</v>
      </c>
      <c r="C67" s="176">
        <v>9</v>
      </c>
      <c r="D67" s="405">
        <v>0.36149999999999999</v>
      </c>
      <c r="E67" s="177">
        <f t="shared" si="0"/>
        <v>121.4012846823537</v>
      </c>
      <c r="F67" s="178">
        <f t="shared" si="1"/>
        <v>99.710384774513827</v>
      </c>
      <c r="G67" s="179">
        <f t="shared" si="2"/>
        <v>121.40128468235369</v>
      </c>
    </row>
    <row r="68" spans="1:7" ht="27" customHeight="1">
      <c r="A68" s="429" t="s">
        <v>76</v>
      </c>
      <c r="B68" s="436"/>
      <c r="C68" s="180">
        <v>10</v>
      </c>
      <c r="D68" s="406">
        <v>0.35060000000000002</v>
      </c>
      <c r="E68" s="181">
        <f t="shared" si="0"/>
        <v>117.74077568363271</v>
      </c>
      <c r="F68" s="182">
        <f t="shared" si="1"/>
        <v>96.703902909943452</v>
      </c>
      <c r="G68" s="183">
        <f t="shared" si="2"/>
        <v>117.74077568363271</v>
      </c>
    </row>
    <row r="69" spans="1:7" ht="19.5" customHeight="1">
      <c r="A69" s="431"/>
      <c r="B69" s="437"/>
      <c r="C69" s="176"/>
      <c r="D69" s="148"/>
      <c r="E69" s="184"/>
      <c r="F69" s="166"/>
      <c r="G69" s="185"/>
    </row>
    <row r="70" spans="1:7" ht="26.25" customHeight="1">
      <c r="A70" s="166"/>
      <c r="B70" s="166"/>
      <c r="C70" s="186" t="s">
        <v>93</v>
      </c>
      <c r="D70" s="187"/>
      <c r="E70" s="188">
        <f>AVERAGE(E59:E68)</f>
        <v>121.75390252168009</v>
      </c>
      <c r="F70" s="188">
        <f>AVERAGE(F59:F68)</f>
        <v>99.999999999999972</v>
      </c>
      <c r="G70" s="189">
        <f>AVERAGE(G59:G68)</f>
        <v>121.75390252168003</v>
      </c>
    </row>
    <row r="71" spans="1:7" ht="26.25" customHeight="1">
      <c r="A71" s="166"/>
      <c r="B71" s="166"/>
      <c r="C71" s="186"/>
      <c r="D71" s="187"/>
      <c r="E71" s="190">
        <f>STDEV(E59:E68)/E70</f>
        <v>3.7362194215209844E-2</v>
      </c>
      <c r="F71" s="190">
        <f>STDEV(F59:F68)/F70</f>
        <v>3.7362194215213015E-2</v>
      </c>
      <c r="G71" s="191">
        <f>STDEV(G59:G68)/G70</f>
        <v>3.7362194215221536E-2</v>
      </c>
    </row>
    <row r="72" spans="1:7" ht="27" customHeight="1">
      <c r="A72" s="166"/>
      <c r="B72" s="166"/>
      <c r="C72" s="192"/>
      <c r="D72" s="193"/>
      <c r="E72" s="194">
        <f>COUNT(E59:E68)</f>
        <v>10</v>
      </c>
      <c r="F72" s="194">
        <f>COUNT(F59:F68)</f>
        <v>10</v>
      </c>
      <c r="G72" s="195">
        <f>COUNT(G59:G68)</f>
        <v>10</v>
      </c>
    </row>
    <row r="73" spans="1:7" ht="18.75" customHeight="1">
      <c r="A73" s="166"/>
      <c r="B73" s="196"/>
      <c r="C73" s="196"/>
      <c r="D73" s="145"/>
      <c r="E73" s="187"/>
      <c r="F73" s="142"/>
      <c r="G73" s="197"/>
    </row>
    <row r="74" spans="1:7" ht="18.75" customHeight="1">
      <c r="A74" s="107" t="s">
        <v>94</v>
      </c>
      <c r="B74" s="198" t="s">
        <v>95</v>
      </c>
      <c r="C74" s="438" t="str">
        <f>B20</f>
        <v xml:space="preserve">sildenafil citrate </v>
      </c>
      <c r="D74" s="438"/>
      <c r="E74" s="199" t="s">
        <v>96</v>
      </c>
      <c r="F74" s="199"/>
      <c r="G74" s="200">
        <f>G70</f>
        <v>121.75390252168003</v>
      </c>
    </row>
    <row r="75" spans="1:7" ht="18.75" customHeight="1">
      <c r="A75" s="107"/>
      <c r="B75" s="198"/>
      <c r="C75" s="201"/>
      <c r="D75" s="201"/>
      <c r="E75" s="199"/>
      <c r="F75" s="199"/>
      <c r="G75" s="202"/>
    </row>
    <row r="76" spans="1:7" ht="18.75" customHeight="1">
      <c r="A76" s="98" t="s">
        <v>1</v>
      </c>
      <c r="B76" s="203" t="s">
        <v>97</v>
      </c>
      <c r="C76" s="97"/>
      <c r="D76" s="97"/>
      <c r="E76" s="97"/>
      <c r="F76" s="97"/>
      <c r="G76" s="166"/>
    </row>
    <row r="77" spans="1:7" ht="18.75" customHeight="1">
      <c r="A77" s="98"/>
      <c r="B77" s="161"/>
      <c r="C77" s="97"/>
      <c r="D77" s="97"/>
      <c r="E77" s="97"/>
      <c r="F77" s="97"/>
      <c r="G77" s="166"/>
    </row>
    <row r="78" spans="1:7" ht="18.75" customHeight="1">
      <c r="A78" s="166"/>
      <c r="B78" s="439" t="s">
        <v>98</v>
      </c>
      <c r="C78" s="440"/>
      <c r="D78" s="97"/>
      <c r="E78" s="166"/>
      <c r="F78" s="166"/>
      <c r="G78" s="166"/>
    </row>
    <row r="79" spans="1:7" ht="18.75" customHeight="1">
      <c r="A79" s="166"/>
      <c r="B79" s="204" t="s">
        <v>42</v>
      </c>
      <c r="C79" s="205">
        <f>G70</f>
        <v>121.75390252168003</v>
      </c>
      <c r="D79" s="97"/>
      <c r="E79" s="166"/>
      <c r="F79" s="166"/>
      <c r="G79" s="166"/>
    </row>
    <row r="80" spans="1:7" ht="26.25" customHeight="1">
      <c r="A80" s="166"/>
      <c r="B80" s="204" t="s">
        <v>99</v>
      </c>
      <c r="C80" s="206">
        <v>2.4</v>
      </c>
      <c r="D80" s="97"/>
      <c r="E80" s="166"/>
      <c r="F80" s="166"/>
      <c r="G80" s="166"/>
    </row>
    <row r="81" spans="1:7" ht="18.75" customHeight="1">
      <c r="A81" s="166"/>
      <c r="B81" s="204" t="s">
        <v>100</v>
      </c>
      <c r="C81" s="205">
        <f>STDEV(G59:G68)</f>
        <v>4.5489929524761603</v>
      </c>
      <c r="D81" s="97"/>
      <c r="E81" s="166"/>
      <c r="F81" s="166"/>
      <c r="G81" s="166"/>
    </row>
    <row r="82" spans="1:7" ht="18.75" customHeight="1">
      <c r="A82" s="166"/>
      <c r="B82" s="204" t="s">
        <v>101</v>
      </c>
      <c r="C82" s="205">
        <f>IF(OR(G70&lt;98.5,G70&gt;101.5),(IF(98.5&gt;G70,98.5,101.5)),C79)</f>
        <v>101.5</v>
      </c>
      <c r="D82" s="97"/>
      <c r="E82" s="166"/>
      <c r="F82" s="166"/>
      <c r="G82" s="166"/>
    </row>
    <row r="83" spans="1:7" ht="18.75" customHeight="1">
      <c r="A83" s="166"/>
      <c r="B83" s="204" t="s">
        <v>102</v>
      </c>
      <c r="C83" s="207">
        <f>ABS(C82-C79)+(C80*C81)</f>
        <v>31.171485607622817</v>
      </c>
      <c r="D83" s="97"/>
      <c r="E83" s="166"/>
      <c r="F83" s="166"/>
      <c r="G83" s="166"/>
    </row>
    <row r="84" spans="1:7" ht="18.75" customHeight="1">
      <c r="A84" s="163"/>
      <c r="B84" s="208"/>
      <c r="C84" s="97"/>
      <c r="D84" s="97"/>
      <c r="E84" s="97"/>
      <c r="F84" s="97"/>
      <c r="G84" s="97"/>
    </row>
    <row r="85" spans="1:7" ht="19.5" customHeight="1">
      <c r="A85" s="209"/>
      <c r="B85" s="209"/>
      <c r="C85" s="210"/>
      <c r="D85" s="210"/>
      <c r="E85" s="210"/>
      <c r="F85" s="210"/>
      <c r="G85" s="210"/>
    </row>
    <row r="86" spans="1:7" ht="18.75" customHeight="1">
      <c r="A86" s="97"/>
      <c r="B86" s="435" t="s">
        <v>25</v>
      </c>
      <c r="C86" s="435"/>
      <c r="D86" s="97"/>
      <c r="E86" s="211" t="s">
        <v>26</v>
      </c>
      <c r="F86" s="212"/>
      <c r="G86" s="219" t="s">
        <v>27</v>
      </c>
    </row>
    <row r="87" spans="1:7" ht="60" customHeight="1">
      <c r="A87" s="213" t="s">
        <v>28</v>
      </c>
      <c r="B87" s="214"/>
      <c r="C87" s="214"/>
      <c r="D87" s="97"/>
      <c r="E87" s="214"/>
      <c r="F87" s="196"/>
      <c r="G87" s="215"/>
    </row>
    <row r="88" spans="1:7" ht="60" customHeight="1">
      <c r="A88" s="213" t="s">
        <v>29</v>
      </c>
      <c r="B88" s="216"/>
      <c r="C88" s="216"/>
      <c r="D88" s="97"/>
      <c r="E88" s="216"/>
      <c r="F88" s="196"/>
      <c r="G88" s="217"/>
    </row>
    <row r="205" spans="1:1">
      <c r="A205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17">
    <mergeCell ref="A1:G7"/>
    <mergeCell ref="A8:G14"/>
    <mergeCell ref="B86:C86"/>
    <mergeCell ref="A68:B69"/>
    <mergeCell ref="C74:D74"/>
    <mergeCell ref="B78:C78"/>
    <mergeCell ref="C29:G29"/>
    <mergeCell ref="C31:G31"/>
    <mergeCell ref="C32:G32"/>
    <mergeCell ref="D36:E36"/>
    <mergeCell ref="F36:G36"/>
    <mergeCell ref="A46:B47"/>
    <mergeCell ref="A16:G16"/>
    <mergeCell ref="B18:C18"/>
    <mergeCell ref="B20:C20"/>
    <mergeCell ref="B26:C26"/>
    <mergeCell ref="B27:C27"/>
  </mergeCells>
  <conditionalFormatting sqref="D51">
    <cfRule type="cellIs" dxfId="10" priority="1" operator="greaterThan">
      <formula>0.02</formula>
    </cfRule>
  </conditionalFormatting>
  <conditionalFormatting sqref="C83">
    <cfRule type="cellIs" dxfId="9" priority="2" operator="greaterThan">
      <formula>15</formula>
    </cfRule>
  </conditionalFormatting>
  <pageMargins left="0.7" right="0.7" top="0.75" bottom="0.75" header="0.3" footer="0.3"/>
  <pageSetup scale="35" orientation="portrait" r:id="rId1"/>
  <headerFooter>
    <oddHeader>&amp;LVer 2&amp;CPage &amp;P of &amp;N&amp;R&amp;D &amp;T</oddHeader>
    <oddFooter>&amp;LNQCL/ADDO/014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view="pageBreakPreview" topLeftCell="A33" zoomScale="50" zoomScaleNormal="60" zoomScaleSheetLayoutView="50" zoomScalePageLayoutView="55" workbookViewId="0">
      <selection activeCell="F54" sqref="F54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433" t="s">
        <v>44</v>
      </c>
      <c r="B1" s="433"/>
      <c r="C1" s="433"/>
      <c r="D1" s="433"/>
      <c r="E1" s="433"/>
      <c r="F1" s="433"/>
      <c r="G1" s="433"/>
      <c r="H1" s="433"/>
      <c r="I1" s="433"/>
    </row>
    <row r="2" spans="1:9" ht="18.75" customHeight="1">
      <c r="A2" s="433"/>
      <c r="B2" s="433"/>
      <c r="C2" s="433"/>
      <c r="D2" s="433"/>
      <c r="E2" s="433"/>
      <c r="F2" s="433"/>
      <c r="G2" s="433"/>
      <c r="H2" s="433"/>
      <c r="I2" s="433"/>
    </row>
    <row r="3" spans="1:9" ht="18.75" customHeight="1">
      <c r="A3" s="433"/>
      <c r="B3" s="433"/>
      <c r="C3" s="433"/>
      <c r="D3" s="433"/>
      <c r="E3" s="433"/>
      <c r="F3" s="433"/>
      <c r="G3" s="433"/>
      <c r="H3" s="433"/>
      <c r="I3" s="433"/>
    </row>
    <row r="4" spans="1:9" ht="18.75" customHeight="1">
      <c r="A4" s="433"/>
      <c r="B4" s="433"/>
      <c r="C4" s="433"/>
      <c r="D4" s="433"/>
      <c r="E4" s="433"/>
      <c r="F4" s="433"/>
      <c r="G4" s="433"/>
      <c r="H4" s="433"/>
      <c r="I4" s="433"/>
    </row>
    <row r="5" spans="1:9" ht="18.75" customHeight="1">
      <c r="A5" s="433"/>
      <c r="B5" s="433"/>
      <c r="C5" s="433"/>
      <c r="D5" s="433"/>
      <c r="E5" s="433"/>
      <c r="F5" s="433"/>
      <c r="G5" s="433"/>
      <c r="H5" s="433"/>
      <c r="I5" s="433"/>
    </row>
    <row r="6" spans="1:9" ht="18.75" customHeight="1">
      <c r="A6" s="433"/>
      <c r="B6" s="433"/>
      <c r="C6" s="433"/>
      <c r="D6" s="433"/>
      <c r="E6" s="433"/>
      <c r="F6" s="433"/>
      <c r="G6" s="433"/>
      <c r="H6" s="433"/>
      <c r="I6" s="433"/>
    </row>
    <row r="7" spans="1:9" ht="18.75" customHeight="1">
      <c r="A7" s="433"/>
      <c r="B7" s="433"/>
      <c r="C7" s="433"/>
      <c r="D7" s="433"/>
      <c r="E7" s="433"/>
      <c r="F7" s="433"/>
      <c r="G7" s="433"/>
      <c r="H7" s="433"/>
      <c r="I7" s="433"/>
    </row>
    <row r="8" spans="1:9">
      <c r="A8" s="434" t="s">
        <v>45</v>
      </c>
      <c r="B8" s="434"/>
      <c r="C8" s="434"/>
      <c r="D8" s="434"/>
      <c r="E8" s="434"/>
      <c r="F8" s="434"/>
      <c r="G8" s="434"/>
      <c r="H8" s="434"/>
      <c r="I8" s="434"/>
    </row>
    <row r="9" spans="1:9">
      <c r="A9" s="434"/>
      <c r="B9" s="434"/>
      <c r="C9" s="434"/>
      <c r="D9" s="434"/>
      <c r="E9" s="434"/>
      <c r="F9" s="434"/>
      <c r="G9" s="434"/>
      <c r="H9" s="434"/>
      <c r="I9" s="434"/>
    </row>
    <row r="10" spans="1:9">
      <c r="A10" s="434"/>
      <c r="B10" s="434"/>
      <c r="C10" s="434"/>
      <c r="D10" s="434"/>
      <c r="E10" s="434"/>
      <c r="F10" s="434"/>
      <c r="G10" s="434"/>
      <c r="H10" s="434"/>
      <c r="I10" s="434"/>
    </row>
    <row r="11" spans="1:9">
      <c r="A11" s="434"/>
      <c r="B11" s="434"/>
      <c r="C11" s="434"/>
      <c r="D11" s="434"/>
      <c r="E11" s="434"/>
      <c r="F11" s="434"/>
      <c r="G11" s="434"/>
      <c r="H11" s="434"/>
      <c r="I11" s="434"/>
    </row>
    <row r="12" spans="1:9">
      <c r="A12" s="434"/>
      <c r="B12" s="434"/>
      <c r="C12" s="434"/>
      <c r="D12" s="434"/>
      <c r="E12" s="434"/>
      <c r="F12" s="434"/>
      <c r="G12" s="434"/>
      <c r="H12" s="434"/>
      <c r="I12" s="434"/>
    </row>
    <row r="13" spans="1:9">
      <c r="A13" s="434"/>
      <c r="B13" s="434"/>
      <c r="C13" s="434"/>
      <c r="D13" s="434"/>
      <c r="E13" s="434"/>
      <c r="F13" s="434"/>
      <c r="G13" s="434"/>
      <c r="H13" s="434"/>
      <c r="I13" s="434"/>
    </row>
    <row r="14" spans="1:9">
      <c r="A14" s="434"/>
      <c r="B14" s="434"/>
      <c r="C14" s="434"/>
      <c r="D14" s="434"/>
      <c r="E14" s="434"/>
      <c r="F14" s="434"/>
      <c r="G14" s="434"/>
      <c r="H14" s="434"/>
      <c r="I14" s="434"/>
    </row>
    <row r="15" spans="1:9" ht="19.5" customHeight="1">
      <c r="A15" s="220"/>
    </row>
    <row r="16" spans="1:9" ht="19.5" customHeight="1">
      <c r="A16" s="419" t="s">
        <v>30</v>
      </c>
      <c r="B16" s="420"/>
      <c r="C16" s="420"/>
      <c r="D16" s="420"/>
      <c r="E16" s="420"/>
      <c r="F16" s="420"/>
      <c r="G16" s="420"/>
      <c r="H16" s="442"/>
    </row>
    <row r="17" spans="1:14" ht="20.25" customHeight="1">
      <c r="A17" s="443" t="s">
        <v>46</v>
      </c>
      <c r="B17" s="443"/>
      <c r="C17" s="443"/>
      <c r="D17" s="443"/>
      <c r="E17" s="443"/>
      <c r="F17" s="443"/>
      <c r="G17" s="443"/>
      <c r="H17" s="443"/>
    </row>
    <row r="18" spans="1:14" ht="26.25" customHeight="1">
      <c r="A18" s="222" t="s">
        <v>32</v>
      </c>
      <c r="B18" s="421" t="s">
        <v>5</v>
      </c>
      <c r="C18" s="421"/>
      <c r="D18" s="383"/>
      <c r="E18" s="223"/>
      <c r="F18" s="224"/>
      <c r="G18" s="224"/>
      <c r="H18" s="224"/>
    </row>
    <row r="19" spans="1:14" ht="26.25" customHeight="1">
      <c r="A19" s="222" t="s">
        <v>33</v>
      </c>
      <c r="B19" s="394" t="s">
        <v>7</v>
      </c>
      <c r="C19" s="397">
        <v>29</v>
      </c>
      <c r="D19" s="224"/>
      <c r="E19" s="224"/>
      <c r="F19" s="224"/>
      <c r="G19" s="224"/>
      <c r="H19" s="224"/>
    </row>
    <row r="20" spans="1:14" ht="26.25" customHeight="1">
      <c r="A20" s="222" t="s">
        <v>34</v>
      </c>
      <c r="B20" s="422" t="s">
        <v>9</v>
      </c>
      <c r="C20" s="422"/>
      <c r="D20" s="224"/>
      <c r="E20" s="224"/>
      <c r="F20" s="224"/>
      <c r="G20" s="224"/>
      <c r="H20" s="224"/>
    </row>
    <row r="21" spans="1:14" ht="26.25" customHeight="1">
      <c r="A21" s="222" t="s">
        <v>35</v>
      </c>
      <c r="B21" s="444" t="s">
        <v>11</v>
      </c>
      <c r="C21" s="444"/>
      <c r="D21" s="444"/>
      <c r="E21" s="444"/>
      <c r="F21" s="444"/>
      <c r="G21" s="444"/>
      <c r="H21" s="444"/>
      <c r="I21" s="225"/>
    </row>
    <row r="22" spans="1:14" ht="26.25" customHeight="1">
      <c r="A22" s="222" t="s">
        <v>36</v>
      </c>
      <c r="B22" s="226">
        <v>42431</v>
      </c>
      <c r="C22" s="224"/>
      <c r="D22" s="224"/>
      <c r="E22" s="224"/>
      <c r="F22" s="224"/>
      <c r="G22" s="224"/>
      <c r="H22" s="224"/>
    </row>
    <row r="23" spans="1:14" ht="26.25" customHeight="1">
      <c r="A23" s="222" t="s">
        <v>37</v>
      </c>
      <c r="B23" s="226">
        <v>42432</v>
      </c>
      <c r="C23" s="224"/>
      <c r="D23" s="224"/>
      <c r="E23" s="224"/>
      <c r="F23" s="224"/>
      <c r="G23" s="224"/>
      <c r="H23" s="224"/>
    </row>
    <row r="24" spans="1:14" ht="18.75">
      <c r="A24" s="222"/>
      <c r="B24" s="227"/>
    </row>
    <row r="25" spans="1:14" ht="18.75">
      <c r="A25" s="228" t="s">
        <v>1</v>
      </c>
      <c r="B25" s="227"/>
    </row>
    <row r="26" spans="1:14" ht="26.25" customHeight="1">
      <c r="A26" s="229" t="s">
        <v>4</v>
      </c>
      <c r="B26" s="441" t="s">
        <v>141</v>
      </c>
      <c r="C26" s="441"/>
    </row>
    <row r="27" spans="1:14" ht="26.25" customHeight="1">
      <c r="A27" s="230" t="s">
        <v>47</v>
      </c>
      <c r="B27" s="422" t="s">
        <v>142</v>
      </c>
      <c r="C27" s="422"/>
    </row>
    <row r="28" spans="1:14" ht="27" customHeight="1">
      <c r="A28" s="230" t="s">
        <v>6</v>
      </c>
      <c r="B28" s="231">
        <v>98.96</v>
      </c>
    </row>
    <row r="29" spans="1:14" s="13" customFormat="1" ht="27" customHeight="1">
      <c r="A29" s="230" t="s">
        <v>48</v>
      </c>
      <c r="B29" s="232">
        <v>0</v>
      </c>
      <c r="C29" s="445" t="s">
        <v>105</v>
      </c>
      <c r="D29" s="446"/>
      <c r="E29" s="446"/>
      <c r="F29" s="446"/>
      <c r="G29" s="447"/>
      <c r="I29" s="233"/>
      <c r="J29" s="233"/>
      <c r="K29" s="233"/>
      <c r="L29" s="233"/>
    </row>
    <row r="30" spans="1:14" s="13" customFormat="1" ht="19.5" customHeight="1">
      <c r="A30" s="230" t="s">
        <v>50</v>
      </c>
      <c r="B30" s="234">
        <f>B28-B29</f>
        <v>98.96</v>
      </c>
      <c r="C30" s="235"/>
      <c r="D30" s="235"/>
      <c r="E30" s="235"/>
      <c r="F30" s="235"/>
      <c r="G30" s="236"/>
      <c r="I30" s="233"/>
      <c r="J30" s="233"/>
      <c r="K30" s="233"/>
      <c r="L30" s="233"/>
    </row>
    <row r="31" spans="1:14" s="13" customFormat="1" ht="27" customHeight="1">
      <c r="A31" s="230" t="s">
        <v>51</v>
      </c>
      <c r="B31" s="237">
        <v>474.6</v>
      </c>
      <c r="C31" s="423" t="s">
        <v>52</v>
      </c>
      <c r="D31" s="424"/>
      <c r="E31" s="424"/>
      <c r="F31" s="424"/>
      <c r="G31" s="424"/>
      <c r="H31" s="425"/>
      <c r="I31" s="233"/>
      <c r="J31" s="233"/>
      <c r="K31" s="233"/>
      <c r="L31" s="233"/>
    </row>
    <row r="32" spans="1:14" s="13" customFormat="1" ht="27" customHeight="1">
      <c r="A32" s="230" t="s">
        <v>53</v>
      </c>
      <c r="B32" s="237">
        <v>666.69</v>
      </c>
      <c r="C32" s="423" t="s">
        <v>54</v>
      </c>
      <c r="D32" s="424"/>
      <c r="E32" s="424"/>
      <c r="F32" s="424"/>
      <c r="G32" s="424"/>
      <c r="H32" s="425"/>
      <c r="I32" s="233"/>
      <c r="J32" s="233"/>
      <c r="K32" s="233"/>
      <c r="L32" s="238"/>
      <c r="M32" s="238"/>
      <c r="N32" s="239"/>
    </row>
    <row r="33" spans="1:14" s="13" customFormat="1" ht="17.25" customHeight="1">
      <c r="A33" s="230"/>
      <c r="B33" s="240"/>
      <c r="C33" s="241"/>
      <c r="D33" s="241"/>
      <c r="E33" s="241"/>
      <c r="F33" s="241"/>
      <c r="G33" s="241"/>
      <c r="H33" s="241"/>
      <c r="I33" s="233"/>
      <c r="J33" s="233"/>
      <c r="K33" s="233"/>
      <c r="L33" s="238"/>
      <c r="M33" s="238"/>
      <c r="N33" s="239"/>
    </row>
    <row r="34" spans="1:14" s="13" customFormat="1" ht="18.75">
      <c r="A34" s="230" t="s">
        <v>55</v>
      </c>
      <c r="B34" s="242">
        <f>B31/B32</f>
        <v>0.71187508437204694</v>
      </c>
      <c r="C34" s="221" t="s">
        <v>56</v>
      </c>
      <c r="D34" s="221"/>
      <c r="E34" s="221"/>
      <c r="F34" s="221"/>
      <c r="G34" s="221"/>
      <c r="I34" s="233"/>
      <c r="J34" s="233"/>
      <c r="K34" s="233"/>
      <c r="L34" s="238"/>
      <c r="M34" s="238"/>
      <c r="N34" s="239"/>
    </row>
    <row r="35" spans="1:14" s="13" customFormat="1" ht="19.5" customHeight="1">
      <c r="A35" s="230"/>
      <c r="B35" s="234"/>
      <c r="G35" s="221"/>
      <c r="I35" s="233"/>
      <c r="J35" s="233"/>
      <c r="K35" s="233"/>
      <c r="L35" s="238"/>
      <c r="M35" s="238"/>
      <c r="N35" s="239"/>
    </row>
    <row r="36" spans="1:14" s="13" customFormat="1" ht="27" customHeight="1">
      <c r="A36" s="243" t="s">
        <v>120</v>
      </c>
      <c r="B36" s="244">
        <v>25</v>
      </c>
      <c r="C36" s="221"/>
      <c r="D36" s="426" t="s">
        <v>58</v>
      </c>
      <c r="E36" s="427"/>
      <c r="F36" s="426" t="s">
        <v>59</v>
      </c>
      <c r="G36" s="428"/>
      <c r="J36" s="233"/>
      <c r="K36" s="233"/>
      <c r="L36" s="238"/>
      <c r="M36" s="238"/>
      <c r="N36" s="239"/>
    </row>
    <row r="37" spans="1:14" s="13" customFormat="1" ht="27" customHeight="1">
      <c r="A37" s="245" t="s">
        <v>60</v>
      </c>
      <c r="B37" s="246">
        <v>2</v>
      </c>
      <c r="C37" s="247" t="s">
        <v>61</v>
      </c>
      <c r="D37" s="248" t="s">
        <v>62</v>
      </c>
      <c r="E37" s="249" t="s">
        <v>63</v>
      </c>
      <c r="F37" s="248" t="s">
        <v>62</v>
      </c>
      <c r="G37" s="250" t="s">
        <v>63</v>
      </c>
      <c r="I37" s="251" t="s">
        <v>121</v>
      </c>
      <c r="J37" s="233"/>
      <c r="K37" s="233"/>
      <c r="L37" s="238"/>
      <c r="M37" s="238"/>
      <c r="N37" s="239"/>
    </row>
    <row r="38" spans="1:14" s="13" customFormat="1" ht="26.25" customHeight="1">
      <c r="A38" s="245" t="s">
        <v>64</v>
      </c>
      <c r="B38" s="246">
        <v>20</v>
      </c>
      <c r="C38" s="252">
        <v>1</v>
      </c>
      <c r="D38" s="253">
        <v>13393361</v>
      </c>
      <c r="E38" s="254">
        <f>IF(ISBLANK(D38),"-",$D$48/$D$45*D38)</f>
        <v>9719798.1225524209</v>
      </c>
      <c r="F38" s="253">
        <v>14999724</v>
      </c>
      <c r="G38" s="255">
        <f>IF(ISBLANK(F38),"-",$D$48/$F$45*F38)</f>
        <v>9417144.319200309</v>
      </c>
      <c r="I38" s="256"/>
      <c r="J38" s="233"/>
      <c r="K38" s="233"/>
      <c r="L38" s="238"/>
      <c r="M38" s="238"/>
      <c r="N38" s="239"/>
    </row>
    <row r="39" spans="1:14" s="13" customFormat="1" ht="26.25" customHeight="1">
      <c r="A39" s="245" t="s">
        <v>65</v>
      </c>
      <c r="B39" s="246">
        <v>1</v>
      </c>
      <c r="C39" s="257">
        <v>2</v>
      </c>
      <c r="D39" s="258">
        <v>13387290</v>
      </c>
      <c r="E39" s="259">
        <f>IF(ISBLANK(D39),"-",$D$48/$D$45*D39)</f>
        <v>9715392.2908570003</v>
      </c>
      <c r="F39" s="258"/>
      <c r="G39" s="260" t="str">
        <f>IF(ISBLANK(F39),"-",$D$48/$F$45*F39)</f>
        <v>-</v>
      </c>
      <c r="I39" s="448">
        <f>ABS((F43/D43*D42)-F42)/D42</f>
        <v>9.6123932149023879E-3</v>
      </c>
      <c r="J39" s="233"/>
      <c r="K39" s="233"/>
      <c r="L39" s="238"/>
      <c r="M39" s="238"/>
      <c r="N39" s="239"/>
    </row>
    <row r="40" spans="1:14" ht="26.25" customHeight="1">
      <c r="A40" s="245" t="s">
        <v>66</v>
      </c>
      <c r="B40" s="246">
        <v>1</v>
      </c>
      <c r="C40" s="257">
        <v>3</v>
      </c>
      <c r="D40" s="258">
        <v>12910118</v>
      </c>
      <c r="E40" s="259">
        <f>IF(ISBLANK(D40),"-",$D$48/$D$45*D40)</f>
        <v>9369100.1607684735</v>
      </c>
      <c r="F40" s="258">
        <v>15332440</v>
      </c>
      <c r="G40" s="260">
        <f>IF(ISBLANK(F40),"-",$D$48/$F$45*F40)</f>
        <v>9626030.4686592631</v>
      </c>
      <c r="I40" s="448"/>
      <c r="L40" s="238"/>
      <c r="M40" s="238"/>
      <c r="N40" s="261"/>
    </row>
    <row r="41" spans="1:14" ht="27" customHeight="1">
      <c r="A41" s="245" t="s">
        <v>67</v>
      </c>
      <c r="B41" s="246">
        <v>1</v>
      </c>
      <c r="C41" s="262">
        <v>4</v>
      </c>
      <c r="D41" s="263"/>
      <c r="E41" s="264" t="str">
        <f>IF(ISBLANK(D41),"-",$D$48/$D$45*D41)</f>
        <v>-</v>
      </c>
      <c r="F41" s="263"/>
      <c r="G41" s="265" t="str">
        <f>IF(ISBLANK(F41),"-",$D$48/$F$45*F41)</f>
        <v>-</v>
      </c>
      <c r="I41" s="266"/>
      <c r="L41" s="238"/>
      <c r="M41" s="238"/>
      <c r="N41" s="261"/>
    </row>
    <row r="42" spans="1:14" ht="27" customHeight="1">
      <c r="A42" s="245" t="s">
        <v>68</v>
      </c>
      <c r="B42" s="246">
        <v>1</v>
      </c>
      <c r="C42" s="267" t="s">
        <v>69</v>
      </c>
      <c r="D42" s="268">
        <f>AVERAGE(D38:D41)</f>
        <v>13230256.333333334</v>
      </c>
      <c r="E42" s="269">
        <f>AVERAGE(E38:E41)</f>
        <v>9601430.1913926303</v>
      </c>
      <c r="F42" s="268">
        <f>AVERAGE(F38:F41)</f>
        <v>15166082</v>
      </c>
      <c r="G42" s="270">
        <f>AVERAGE(G38:G41)</f>
        <v>9521587.393929787</v>
      </c>
      <c r="H42" s="271"/>
    </row>
    <row r="43" spans="1:14" ht="26.25" customHeight="1">
      <c r="A43" s="245" t="s">
        <v>70</v>
      </c>
      <c r="B43" s="246">
        <v>1</v>
      </c>
      <c r="C43" s="272" t="s">
        <v>122</v>
      </c>
      <c r="D43" s="273">
        <v>19.559999999999999</v>
      </c>
      <c r="E43" s="261"/>
      <c r="F43" s="273">
        <v>22.61</v>
      </c>
      <c r="H43" s="271"/>
    </row>
    <row r="44" spans="1:14" ht="26.25" customHeight="1">
      <c r="A44" s="245" t="s">
        <v>72</v>
      </c>
      <c r="B44" s="246">
        <v>1</v>
      </c>
      <c r="C44" s="274" t="s">
        <v>123</v>
      </c>
      <c r="D44" s="275">
        <f>D43*$B$34</f>
        <v>13.924276650317237</v>
      </c>
      <c r="E44" s="276"/>
      <c r="F44" s="275">
        <f>F43*$B$34</f>
        <v>16.095495657651981</v>
      </c>
      <c r="H44" s="271"/>
    </row>
    <row r="45" spans="1:14" ht="19.5" customHeight="1">
      <c r="A45" s="245" t="s">
        <v>74</v>
      </c>
      <c r="B45" s="277">
        <f>(B44/B43)*(B42/B41)*(B40/B39)*(B38/B37)*B36</f>
        <v>250</v>
      </c>
      <c r="C45" s="274" t="s">
        <v>75</v>
      </c>
      <c r="D45" s="278">
        <f>D44*$B$30/100</f>
        <v>13.779464173153938</v>
      </c>
      <c r="E45" s="279"/>
      <c r="F45" s="278">
        <f>F44*$B$30/100</f>
        <v>15.928102502812399</v>
      </c>
      <c r="H45" s="271"/>
    </row>
    <row r="46" spans="1:14" ht="19.5" customHeight="1">
      <c r="A46" s="429" t="s">
        <v>76</v>
      </c>
      <c r="B46" s="430"/>
      <c r="C46" s="274" t="s">
        <v>77</v>
      </c>
      <c r="D46" s="280">
        <f>D45/$B$45</f>
        <v>5.5117856692615756E-2</v>
      </c>
      <c r="E46" s="281"/>
      <c r="F46" s="282">
        <f>F45/$B$45</f>
        <v>6.3712410011249596E-2</v>
      </c>
      <c r="H46" s="271"/>
    </row>
    <row r="47" spans="1:14" ht="27" customHeight="1">
      <c r="A47" s="431"/>
      <c r="B47" s="432"/>
      <c r="C47" s="283" t="s">
        <v>124</v>
      </c>
      <c r="D47" s="284">
        <v>0.04</v>
      </c>
      <c r="E47" s="285"/>
      <c r="F47" s="281"/>
      <c r="H47" s="271"/>
    </row>
    <row r="48" spans="1:14" ht="18.75">
      <c r="C48" s="286" t="s">
        <v>79</v>
      </c>
      <c r="D48" s="278">
        <f>D47*$B$45</f>
        <v>10</v>
      </c>
      <c r="F48" s="287"/>
      <c r="H48" s="271"/>
    </row>
    <row r="49" spans="1:12" ht="19.5" customHeight="1">
      <c r="C49" s="288" t="s">
        <v>80</v>
      </c>
      <c r="D49" s="289">
        <f>D48/B34</f>
        <v>14.047408343868522</v>
      </c>
      <c r="F49" s="287"/>
      <c r="H49" s="271"/>
    </row>
    <row r="50" spans="1:12" ht="18.75">
      <c r="C50" s="243" t="s">
        <v>81</v>
      </c>
      <c r="D50" s="290">
        <f>AVERAGE(E38:E41,G38:G41)</f>
        <v>9569493.0724074934</v>
      </c>
      <c r="F50" s="291"/>
      <c r="H50" s="271"/>
    </row>
    <row r="51" spans="1:12" ht="18.75">
      <c r="C51" s="245" t="s">
        <v>82</v>
      </c>
      <c r="D51" s="292">
        <f>STDEV(E38:E41,G38:G41)/D50</f>
        <v>1.73639472036459E-2</v>
      </c>
      <c r="F51" s="291"/>
      <c r="H51" s="271"/>
    </row>
    <row r="52" spans="1:12" ht="19.5" customHeight="1">
      <c r="C52" s="293" t="s">
        <v>19</v>
      </c>
      <c r="D52" s="294">
        <f>COUNT(E38:E41,G38:G41)</f>
        <v>5</v>
      </c>
      <c r="F52" s="291"/>
    </row>
    <row r="54" spans="1:12" ht="18.75">
      <c r="A54" s="295" t="s">
        <v>1</v>
      </c>
      <c r="B54" s="296" t="s">
        <v>83</v>
      </c>
    </row>
    <row r="55" spans="1:12" ht="18.75">
      <c r="A55" s="221" t="s">
        <v>84</v>
      </c>
      <c r="B55" s="297" t="str">
        <f>B21</f>
        <v>Each film coated tablet contains sildenafil citrate 100mg</v>
      </c>
    </row>
    <row r="56" spans="1:12" ht="26.25" customHeight="1">
      <c r="A56" s="298" t="s">
        <v>85</v>
      </c>
      <c r="B56" s="299">
        <v>100</v>
      </c>
      <c r="C56" s="221" t="str">
        <f>B20</f>
        <v xml:space="preserve">sildenafil citrate </v>
      </c>
      <c r="H56" s="300"/>
    </row>
    <row r="57" spans="1:12" ht="18.75">
      <c r="A57" s="297" t="s">
        <v>86</v>
      </c>
      <c r="B57" s="384">
        <f>Uniformity!C36</f>
        <v>551.61599999999999</v>
      </c>
      <c r="H57" s="300"/>
    </row>
    <row r="58" spans="1:12" ht="19.5" customHeight="1">
      <c r="H58" s="300"/>
    </row>
    <row r="59" spans="1:12" s="13" customFormat="1" ht="27" customHeight="1">
      <c r="A59" s="243" t="s">
        <v>125</v>
      </c>
      <c r="B59" s="244">
        <v>100</v>
      </c>
      <c r="C59" s="221"/>
      <c r="D59" s="301" t="s">
        <v>126</v>
      </c>
      <c r="E59" s="302" t="s">
        <v>61</v>
      </c>
      <c r="F59" s="302" t="s">
        <v>62</v>
      </c>
      <c r="G59" s="302" t="s">
        <v>127</v>
      </c>
      <c r="H59" s="247" t="s">
        <v>128</v>
      </c>
      <c r="L59" s="233"/>
    </row>
    <row r="60" spans="1:12" s="13" customFormat="1" ht="26.25" customHeight="1">
      <c r="A60" s="245" t="s">
        <v>129</v>
      </c>
      <c r="B60" s="246">
        <v>2</v>
      </c>
      <c r="C60" s="449" t="s">
        <v>130</v>
      </c>
      <c r="D60" s="452">
        <v>550.92999999999995</v>
      </c>
      <c r="E60" s="303">
        <v>1</v>
      </c>
      <c r="F60" s="304"/>
      <c r="G60" s="385" t="str">
        <f>IF(ISBLANK(F60),"-",(F60/$D$50*$D$47*$B$68)*($B$57/$D$60))</f>
        <v>-</v>
      </c>
      <c r="H60" s="305" t="str">
        <f t="shared" ref="H60:H71" si="0">IF(ISBLANK(F60),"-",G60/$B$56)</f>
        <v>-</v>
      </c>
      <c r="L60" s="233"/>
    </row>
    <row r="61" spans="1:12" s="13" customFormat="1" ht="26.25" customHeight="1">
      <c r="A61" s="245" t="s">
        <v>110</v>
      </c>
      <c r="B61" s="246">
        <v>50</v>
      </c>
      <c r="C61" s="450"/>
      <c r="D61" s="453"/>
      <c r="E61" s="306">
        <v>2</v>
      </c>
      <c r="F61" s="258">
        <v>9865512</v>
      </c>
      <c r="G61" s="386">
        <f>IF(ISBLANK(F61),"-",(F61/$D$50*$D$47*$B$68)*($B$57/$D$60))</f>
        <v>103.22172906998527</v>
      </c>
      <c r="H61" s="307">
        <f t="shared" si="0"/>
        <v>1.0322172906998528</v>
      </c>
      <c r="L61" s="233"/>
    </row>
    <row r="62" spans="1:12" s="13" customFormat="1" ht="26.25" customHeight="1">
      <c r="A62" s="245" t="s">
        <v>111</v>
      </c>
      <c r="B62" s="246">
        <v>1</v>
      </c>
      <c r="C62" s="450"/>
      <c r="D62" s="453"/>
      <c r="E62" s="306">
        <v>3</v>
      </c>
      <c r="F62" s="308">
        <v>10211699</v>
      </c>
      <c r="G62" s="386">
        <f>IF(ISBLANK(F62),"-",(F62/$D$50*$D$47*$B$68)*($B$57/$D$60))</f>
        <v>106.8438442447021</v>
      </c>
      <c r="H62" s="307">
        <f t="shared" si="0"/>
        <v>1.068438442447021</v>
      </c>
      <c r="L62" s="233"/>
    </row>
    <row r="63" spans="1:12" ht="27" customHeight="1">
      <c r="A63" s="245" t="s">
        <v>112</v>
      </c>
      <c r="B63" s="246">
        <v>1</v>
      </c>
      <c r="C63" s="451"/>
      <c r="D63" s="454"/>
      <c r="E63" s="309">
        <v>4</v>
      </c>
      <c r="F63" s="310"/>
      <c r="G63" s="386" t="str">
        <f>IF(ISBLANK(F63),"-",(F63/$D$50*$D$47*$B$68)*($B$57/$D$60))</f>
        <v>-</v>
      </c>
      <c r="H63" s="307" t="str">
        <f t="shared" si="0"/>
        <v>-</v>
      </c>
    </row>
    <row r="64" spans="1:12" ht="26.25" customHeight="1">
      <c r="A64" s="245" t="s">
        <v>113</v>
      </c>
      <c r="B64" s="246">
        <v>1</v>
      </c>
      <c r="C64" s="449" t="s">
        <v>131</v>
      </c>
      <c r="D64" s="452">
        <v>559.11</v>
      </c>
      <c r="E64" s="303">
        <v>1</v>
      </c>
      <c r="F64" s="304">
        <v>10248074</v>
      </c>
      <c r="G64" s="387">
        <f>IF(ISBLANK(F64),"-",(F64/$D$50*$D$47*$B$68)*($B$57/$D$64))</f>
        <v>105.65569596777627</v>
      </c>
      <c r="H64" s="311">
        <f t="shared" si="0"/>
        <v>1.0565569596777626</v>
      </c>
    </row>
    <row r="65" spans="1:8" ht="26.25" customHeight="1">
      <c r="A65" s="245" t="s">
        <v>114</v>
      </c>
      <c r="B65" s="246">
        <v>1</v>
      </c>
      <c r="C65" s="450"/>
      <c r="D65" s="453"/>
      <c r="E65" s="306">
        <v>2</v>
      </c>
      <c r="F65" s="258">
        <v>10374159</v>
      </c>
      <c r="G65" s="388">
        <f>IF(ISBLANK(F65),"-",(F65/$D$50*$D$47*$B$68)*($B$57/$D$64))</f>
        <v>106.9556083636174</v>
      </c>
      <c r="H65" s="312">
        <f t="shared" si="0"/>
        <v>1.0695560836361739</v>
      </c>
    </row>
    <row r="66" spans="1:8" ht="26.25" customHeight="1">
      <c r="A66" s="245" t="s">
        <v>115</v>
      </c>
      <c r="B66" s="246">
        <v>1</v>
      </c>
      <c r="C66" s="450"/>
      <c r="D66" s="453"/>
      <c r="E66" s="306">
        <v>3</v>
      </c>
      <c r="F66" s="258">
        <v>10496491</v>
      </c>
      <c r="G66" s="388">
        <f>IF(ISBLANK(F66),"-",(F66/$D$50*$D$47*$B$68)*($B$57/$D$64))</f>
        <v>108.21682804246925</v>
      </c>
      <c r="H66" s="312">
        <f t="shared" si="0"/>
        <v>1.0821682804246924</v>
      </c>
    </row>
    <row r="67" spans="1:8" ht="27" customHeight="1">
      <c r="A67" s="245" t="s">
        <v>116</v>
      </c>
      <c r="B67" s="246">
        <v>1</v>
      </c>
      <c r="C67" s="451"/>
      <c r="D67" s="454"/>
      <c r="E67" s="309">
        <v>4</v>
      </c>
      <c r="F67" s="310"/>
      <c r="G67" s="389" t="str">
        <f>IF(ISBLANK(F67),"-",(F67/$D$50*$D$47*$B$68)*($B$57/$D$64))</f>
        <v>-</v>
      </c>
      <c r="H67" s="313" t="str">
        <f t="shared" si="0"/>
        <v>-</v>
      </c>
    </row>
    <row r="68" spans="1:8" ht="26.25" customHeight="1">
      <c r="A68" s="245" t="s">
        <v>117</v>
      </c>
      <c r="B68" s="314">
        <f>(B67/B66)*(B65/B64)*(B63/B62)*(B61/B60)*B59</f>
        <v>2500</v>
      </c>
      <c r="C68" s="449" t="s">
        <v>132</v>
      </c>
      <c r="D68" s="452">
        <v>559.86</v>
      </c>
      <c r="E68" s="303">
        <v>1</v>
      </c>
      <c r="F68" s="304">
        <v>10581479</v>
      </c>
      <c r="G68" s="387">
        <f>IF(ISBLANK(F68),"-",(F68/$D$50*$D$47*$B$68)*($B$57/$D$68))</f>
        <v>108.94689489271325</v>
      </c>
      <c r="H68" s="307">
        <f t="shared" si="0"/>
        <v>1.0894689489271325</v>
      </c>
    </row>
    <row r="69" spans="1:8" ht="27" customHeight="1">
      <c r="A69" s="293" t="s">
        <v>133</v>
      </c>
      <c r="B69" s="315">
        <f>(D47*B68)/B56*B57</f>
        <v>551.61599999999999</v>
      </c>
      <c r="C69" s="450"/>
      <c r="D69" s="453"/>
      <c r="E69" s="306">
        <v>2</v>
      </c>
      <c r="F69" s="258">
        <v>10575505</v>
      </c>
      <c r="G69" s="388">
        <f>IF(ISBLANK(F69),"-",(F69/$D$50*$D$47*$B$68)*($B$57/$D$68))</f>
        <v>108.88538659599131</v>
      </c>
      <c r="H69" s="307">
        <f t="shared" si="0"/>
        <v>1.088853865959913</v>
      </c>
    </row>
    <row r="70" spans="1:8" ht="26.25" customHeight="1">
      <c r="A70" s="456" t="s">
        <v>76</v>
      </c>
      <c r="B70" s="457"/>
      <c r="C70" s="450"/>
      <c r="D70" s="453"/>
      <c r="E70" s="306">
        <v>3</v>
      </c>
      <c r="F70" s="258">
        <v>10648561</v>
      </c>
      <c r="G70" s="388">
        <f>IF(ISBLANK(F70),"-",(F70/$D$50*$D$47*$B$68)*($B$57/$D$68))</f>
        <v>109.63757108298807</v>
      </c>
      <c r="H70" s="307">
        <f t="shared" si="0"/>
        <v>1.0963757108298808</v>
      </c>
    </row>
    <row r="71" spans="1:8" ht="27" customHeight="1">
      <c r="A71" s="458"/>
      <c r="B71" s="459"/>
      <c r="C71" s="455"/>
      <c r="D71" s="454"/>
      <c r="E71" s="309">
        <v>4</v>
      </c>
      <c r="F71" s="310"/>
      <c r="G71" s="389" t="str">
        <f>IF(ISBLANK(F71),"-",(F71/$D$50*$D$47*$B$68)*($B$57/$D$68))</f>
        <v>-</v>
      </c>
      <c r="H71" s="316" t="str">
        <f t="shared" si="0"/>
        <v>-</v>
      </c>
    </row>
    <row r="72" spans="1:8" ht="26.25" customHeight="1">
      <c r="A72" s="317"/>
      <c r="B72" s="317"/>
      <c r="C72" s="317"/>
      <c r="D72" s="317"/>
      <c r="E72" s="317"/>
      <c r="F72" s="319" t="s">
        <v>69</v>
      </c>
      <c r="G72" s="395">
        <f>AVERAGE(G60:G71)</f>
        <v>107.29544478253035</v>
      </c>
      <c r="H72" s="320">
        <f>AVERAGE(H60:H71)</f>
        <v>1.0729544478253037</v>
      </c>
    </row>
    <row r="73" spans="1:8" ht="26.25" customHeight="1">
      <c r="C73" s="317"/>
      <c r="D73" s="317"/>
      <c r="E73" s="317"/>
      <c r="F73" s="321" t="s">
        <v>82</v>
      </c>
      <c r="G73" s="390">
        <f>STDEV(G60:G71)/G72</f>
        <v>1.9674276720544011E-2</v>
      </c>
      <c r="H73" s="390">
        <f>STDEV(H60:H71)/H72</f>
        <v>1.9674276720543615E-2</v>
      </c>
    </row>
    <row r="74" spans="1:8" ht="27" customHeight="1">
      <c r="A74" s="317"/>
      <c r="B74" s="317"/>
      <c r="C74" s="318"/>
      <c r="D74" s="318"/>
      <c r="E74" s="322"/>
      <c r="F74" s="323" t="s">
        <v>19</v>
      </c>
      <c r="G74" s="324">
        <f>COUNT(G60:G71)</f>
        <v>8</v>
      </c>
      <c r="H74" s="324">
        <f>COUNT(H60:H71)</f>
        <v>8</v>
      </c>
    </row>
    <row r="76" spans="1:8" ht="26.25" customHeight="1">
      <c r="A76" s="229" t="s">
        <v>134</v>
      </c>
      <c r="B76" s="325" t="s">
        <v>95</v>
      </c>
      <c r="C76" s="438" t="str">
        <f>B20</f>
        <v xml:space="preserve">sildenafil citrate </v>
      </c>
      <c r="D76" s="438"/>
      <c r="E76" s="326" t="s">
        <v>96</v>
      </c>
      <c r="F76" s="326"/>
      <c r="G76" s="327">
        <f>H72</f>
        <v>1.0729544478253037</v>
      </c>
      <c r="H76" s="328"/>
    </row>
    <row r="77" spans="1:8" ht="18.75">
      <c r="A77" s="228" t="s">
        <v>103</v>
      </c>
      <c r="B77" s="228" t="s">
        <v>104</v>
      </c>
    </row>
    <row r="78" spans="1:8" ht="18.75">
      <c r="A78" s="228"/>
      <c r="B78" s="228"/>
    </row>
    <row r="79" spans="1:8" ht="26.25" customHeight="1">
      <c r="A79" s="229" t="s">
        <v>4</v>
      </c>
      <c r="B79" s="421" t="str">
        <f>B26</f>
        <v>Sildenafil Citrate</v>
      </c>
      <c r="C79" s="421"/>
    </row>
    <row r="80" spans="1:8" ht="26.25" customHeight="1">
      <c r="A80" s="230" t="s">
        <v>47</v>
      </c>
      <c r="B80" s="421" t="str">
        <f>B27</f>
        <v>S1-8</v>
      </c>
      <c r="C80" s="421"/>
    </row>
    <row r="81" spans="1:12" ht="27" customHeight="1">
      <c r="A81" s="230" t="s">
        <v>6</v>
      </c>
      <c r="B81" s="329">
        <f>B28</f>
        <v>98.96</v>
      </c>
    </row>
    <row r="82" spans="1:12" s="13" customFormat="1" ht="27" customHeight="1">
      <c r="A82" s="230" t="s">
        <v>48</v>
      </c>
      <c r="B82" s="232">
        <v>0</v>
      </c>
      <c r="C82" s="445" t="s">
        <v>105</v>
      </c>
      <c r="D82" s="446"/>
      <c r="E82" s="446"/>
      <c r="F82" s="446"/>
      <c r="G82" s="447"/>
      <c r="I82" s="233"/>
      <c r="J82" s="233"/>
      <c r="K82" s="233"/>
      <c r="L82" s="233"/>
    </row>
    <row r="83" spans="1:12" s="13" customFormat="1" ht="19.5" customHeight="1">
      <c r="A83" s="230" t="s">
        <v>50</v>
      </c>
      <c r="B83" s="234">
        <f>B81-B82</f>
        <v>98.96</v>
      </c>
      <c r="C83" s="235"/>
      <c r="D83" s="235"/>
      <c r="E83" s="235"/>
      <c r="F83" s="235"/>
      <c r="G83" s="236"/>
      <c r="I83" s="233"/>
      <c r="J83" s="233"/>
      <c r="K83" s="233"/>
      <c r="L83" s="233"/>
    </row>
    <row r="84" spans="1:12" s="13" customFormat="1" ht="27" customHeight="1">
      <c r="A84" s="230" t="s">
        <v>51</v>
      </c>
      <c r="B84" s="398">
        <v>474.6</v>
      </c>
      <c r="C84" s="423" t="s">
        <v>135</v>
      </c>
      <c r="D84" s="424"/>
      <c r="E84" s="424"/>
      <c r="F84" s="424"/>
      <c r="G84" s="424"/>
      <c r="H84" s="425"/>
      <c r="I84" s="233"/>
      <c r="J84" s="233"/>
      <c r="K84" s="233"/>
      <c r="L84" s="233"/>
    </row>
    <row r="85" spans="1:12" s="13" customFormat="1" ht="27" customHeight="1">
      <c r="A85" s="230" t="s">
        <v>53</v>
      </c>
      <c r="B85" s="398">
        <v>666.69</v>
      </c>
      <c r="C85" s="423" t="s">
        <v>136</v>
      </c>
      <c r="D85" s="424"/>
      <c r="E85" s="424"/>
      <c r="F85" s="424"/>
      <c r="G85" s="424"/>
      <c r="H85" s="425"/>
      <c r="I85" s="233"/>
      <c r="J85" s="233"/>
      <c r="K85" s="233"/>
      <c r="L85" s="233"/>
    </row>
    <row r="86" spans="1:12" s="13" customFormat="1" ht="18.75">
      <c r="A86" s="230"/>
      <c r="B86" s="240"/>
      <c r="C86" s="241"/>
      <c r="D86" s="241"/>
      <c r="E86" s="241"/>
      <c r="F86" s="241"/>
      <c r="G86" s="241"/>
      <c r="H86" s="241"/>
      <c r="I86" s="233"/>
      <c r="J86" s="233"/>
      <c r="K86" s="233"/>
      <c r="L86" s="233"/>
    </row>
    <row r="87" spans="1:12" s="13" customFormat="1" ht="18.75">
      <c r="A87" s="230" t="s">
        <v>55</v>
      </c>
      <c r="B87" s="242">
        <f>B84/B85</f>
        <v>0.71187508437204694</v>
      </c>
      <c r="C87" s="221" t="s">
        <v>56</v>
      </c>
      <c r="D87" s="221"/>
      <c r="E87" s="221"/>
      <c r="F87" s="221"/>
      <c r="G87" s="221"/>
      <c r="I87" s="233"/>
      <c r="J87" s="233"/>
      <c r="K87" s="233"/>
      <c r="L87" s="233"/>
    </row>
    <row r="88" spans="1:12" ht="19.5" customHeight="1">
      <c r="A88" s="228"/>
      <c r="B88" s="228"/>
    </row>
    <row r="89" spans="1:12" ht="27" customHeight="1">
      <c r="A89" s="243" t="s">
        <v>120</v>
      </c>
      <c r="B89" s="118">
        <v>50</v>
      </c>
      <c r="D89" s="330" t="s">
        <v>58</v>
      </c>
      <c r="E89" s="331"/>
      <c r="F89" s="426" t="s">
        <v>59</v>
      </c>
      <c r="G89" s="428"/>
    </row>
    <row r="90" spans="1:12" ht="27" customHeight="1">
      <c r="A90" s="245" t="s">
        <v>60</v>
      </c>
      <c r="B90" s="120">
        <v>2</v>
      </c>
      <c r="C90" s="332" t="s">
        <v>61</v>
      </c>
      <c r="D90" s="248" t="s">
        <v>62</v>
      </c>
      <c r="E90" s="249" t="s">
        <v>63</v>
      </c>
      <c r="F90" s="248" t="s">
        <v>62</v>
      </c>
      <c r="G90" s="333" t="s">
        <v>63</v>
      </c>
      <c r="I90" s="251" t="s">
        <v>121</v>
      </c>
    </row>
    <row r="91" spans="1:12" ht="26.25" customHeight="1">
      <c r="A91" s="245" t="s">
        <v>64</v>
      </c>
      <c r="B91" s="120">
        <v>50</v>
      </c>
      <c r="C91" s="334">
        <v>1</v>
      </c>
      <c r="D91" s="253">
        <v>0.38879999999999998</v>
      </c>
      <c r="E91" s="254">
        <f>IF(ISBLANK(D91),"-",$D$101/$D$98*D91)</f>
        <v>0.33473012366555416</v>
      </c>
      <c r="F91" s="400">
        <v>0.36299999999999999</v>
      </c>
      <c r="G91" s="255">
        <f>IF(ISBLANK(F91),"-",$D$101/$F$98*F91)</f>
        <v>0.32574712559244795</v>
      </c>
      <c r="I91" s="256"/>
    </row>
    <row r="92" spans="1:12" ht="26.25" customHeight="1">
      <c r="A92" s="245" t="s">
        <v>65</v>
      </c>
      <c r="B92" s="246">
        <v>1</v>
      </c>
      <c r="C92" s="318">
        <v>2</v>
      </c>
      <c r="D92" s="258">
        <v>0.38919999999999999</v>
      </c>
      <c r="E92" s="259">
        <f>IF(ISBLANK(D92),"-",$D$101/$D$98*D92)</f>
        <v>0.33507449622076563</v>
      </c>
      <c r="F92" s="401">
        <v>0.36309999999999998</v>
      </c>
      <c r="G92" s="260">
        <f>IF(ISBLANK(F92),"-",$D$101/$F$98*F92)</f>
        <v>0.32583686309261117</v>
      </c>
      <c r="I92" s="448">
        <f>ABS((F96/D96*D95)-F95)/D95</f>
        <v>2.8351216788978659E-2</v>
      </c>
    </row>
    <row r="93" spans="1:12" ht="26.25" customHeight="1">
      <c r="A93" s="245" t="s">
        <v>66</v>
      </c>
      <c r="B93" s="246">
        <v>1</v>
      </c>
      <c r="C93" s="318">
        <v>3</v>
      </c>
      <c r="D93" s="258">
        <v>0.39219999999999999</v>
      </c>
      <c r="E93" s="259">
        <f>IF(ISBLANK(D93),"-",$D$101/$D$98*D93)</f>
        <v>0.3376572903848517</v>
      </c>
      <c r="F93" s="401">
        <v>0.3634</v>
      </c>
      <c r="G93" s="260">
        <f>IF(ISBLANK(F93),"-",$D$101/$F$98*F93)</f>
        <v>0.32610607559310079</v>
      </c>
      <c r="I93" s="448"/>
    </row>
    <row r="94" spans="1:12" ht="27" customHeight="1">
      <c r="A94" s="245" t="s">
        <v>67</v>
      </c>
      <c r="B94" s="246">
        <v>1</v>
      </c>
      <c r="C94" s="335">
        <v>4</v>
      </c>
      <c r="D94" s="263"/>
      <c r="E94" s="264" t="str">
        <f>IF(ISBLANK(D94),"-",$D$101/$D$98*D94)</f>
        <v>-</v>
      </c>
      <c r="F94" s="336"/>
      <c r="G94" s="265" t="str">
        <f>IF(ISBLANK(F94),"-",$D$101/$F$98*F94)</f>
        <v>-</v>
      </c>
      <c r="I94" s="266"/>
    </row>
    <row r="95" spans="1:12" ht="27" customHeight="1">
      <c r="A95" s="245" t="s">
        <v>68</v>
      </c>
      <c r="B95" s="246">
        <v>1</v>
      </c>
      <c r="C95" s="337" t="s">
        <v>69</v>
      </c>
      <c r="D95" s="407">
        <f>AVERAGE(D91:D94)</f>
        <v>0.39006666666666662</v>
      </c>
      <c r="E95" s="269">
        <f>AVERAGE(E91:E94)</f>
        <v>0.33582063675705714</v>
      </c>
      <c r="F95" s="408">
        <f>AVERAGE(F91:F94)</f>
        <v>0.36316666666666664</v>
      </c>
      <c r="G95" s="338">
        <f>AVERAGE(G91:G94)</f>
        <v>0.32589668809271999</v>
      </c>
    </row>
    <row r="96" spans="1:12" ht="26.25" customHeight="1">
      <c r="A96" s="245" t="s">
        <v>70</v>
      </c>
      <c r="B96" s="231">
        <v>1</v>
      </c>
      <c r="C96" s="339" t="s">
        <v>71</v>
      </c>
      <c r="D96" s="273">
        <v>22.9</v>
      </c>
      <c r="E96" s="261"/>
      <c r="F96" s="273">
        <v>21.97</v>
      </c>
    </row>
    <row r="97" spans="1:10" ht="26.25" customHeight="1">
      <c r="A97" s="245" t="s">
        <v>72</v>
      </c>
      <c r="B97" s="231">
        <v>1</v>
      </c>
      <c r="C97" s="340" t="s">
        <v>73</v>
      </c>
      <c r="D97" s="341">
        <f>D96*$B$87</f>
        <v>16.301939432119873</v>
      </c>
      <c r="E97" s="276"/>
      <c r="F97" s="275">
        <f>F96*$B$87</f>
        <v>15.639895603653871</v>
      </c>
    </row>
    <row r="98" spans="1:10" ht="19.5" customHeight="1">
      <c r="A98" s="245" t="s">
        <v>74</v>
      </c>
      <c r="B98" s="342">
        <f>(B97/B96)*(B95/B94)*(B93/B92)*(B91/B90)*B89</f>
        <v>1250</v>
      </c>
      <c r="C98" s="340" t="s">
        <v>137</v>
      </c>
      <c r="D98" s="343">
        <f>D97*$B$83/100</f>
        <v>16.132399262025828</v>
      </c>
      <c r="E98" s="279"/>
      <c r="F98" s="278">
        <f>F97*$B$83/100</f>
        <v>15.477240689375868</v>
      </c>
    </row>
    <row r="99" spans="1:10" ht="19.5" customHeight="1">
      <c r="A99" s="429" t="s">
        <v>76</v>
      </c>
      <c r="B99" s="436"/>
      <c r="C99" s="340" t="s">
        <v>138</v>
      </c>
      <c r="D99" s="344">
        <f>D98/$B$98</f>
        <v>1.2905919409620662E-2</v>
      </c>
      <c r="E99" s="279"/>
      <c r="F99" s="282">
        <f>F98/$B$98</f>
        <v>1.2381792551500695E-2</v>
      </c>
      <c r="G99" s="345"/>
      <c r="H99" s="271"/>
    </row>
    <row r="100" spans="1:10" ht="19.5" customHeight="1">
      <c r="A100" s="431"/>
      <c r="B100" s="437"/>
      <c r="C100" s="340" t="s">
        <v>124</v>
      </c>
      <c r="D100" s="346">
        <f>$B$56/$B$116</f>
        <v>1.1111111111111112E-2</v>
      </c>
      <c r="F100" s="287"/>
      <c r="G100" s="347"/>
      <c r="H100" s="271"/>
    </row>
    <row r="101" spans="1:10" ht="18.75">
      <c r="C101" s="340" t="s">
        <v>79</v>
      </c>
      <c r="D101" s="341">
        <f>D100*$B$98</f>
        <v>13.888888888888889</v>
      </c>
      <c r="F101" s="287"/>
      <c r="G101" s="345"/>
      <c r="H101" s="271"/>
    </row>
    <row r="102" spans="1:10" ht="19.5" customHeight="1">
      <c r="C102" s="348" t="s">
        <v>80</v>
      </c>
      <c r="D102" s="349">
        <f>D101/B34</f>
        <v>19.510289366484059</v>
      </c>
      <c r="F102" s="291"/>
      <c r="G102" s="345"/>
      <c r="H102" s="271"/>
      <c r="J102" s="350"/>
    </row>
    <row r="103" spans="1:10" ht="18.75">
      <c r="C103" s="351" t="s">
        <v>139</v>
      </c>
      <c r="D103" s="352">
        <f>AVERAGE(E91:E94,G91:G94)</f>
        <v>0.33085866242488859</v>
      </c>
      <c r="F103" s="291"/>
      <c r="G103" s="353"/>
      <c r="H103" s="271"/>
      <c r="J103" s="354"/>
    </row>
    <row r="104" spans="1:10" ht="18.75">
      <c r="C104" s="321" t="s">
        <v>82</v>
      </c>
      <c r="D104" s="355">
        <f>STDEV(E91:E94,G91:G94)/D103</f>
        <v>1.6714723278423913E-2</v>
      </c>
      <c r="F104" s="291"/>
      <c r="G104" s="345"/>
      <c r="H104" s="271"/>
      <c r="J104" s="354"/>
    </row>
    <row r="105" spans="1:10" ht="19.5" customHeight="1">
      <c r="C105" s="323" t="s">
        <v>19</v>
      </c>
      <c r="D105" s="356">
        <f>COUNT(E91:E94,G91:G94)</f>
        <v>6</v>
      </c>
      <c r="F105" s="291"/>
      <c r="G105" s="345"/>
      <c r="H105" s="271"/>
      <c r="J105" s="354"/>
    </row>
    <row r="106" spans="1:10" ht="19.5" customHeight="1">
      <c r="A106" s="295"/>
      <c r="B106" s="295"/>
      <c r="C106" s="295"/>
      <c r="D106" s="295"/>
      <c r="E106" s="295"/>
    </row>
    <row r="107" spans="1:10" ht="26.25" customHeight="1">
      <c r="A107" s="243" t="s">
        <v>106</v>
      </c>
      <c r="B107" s="244">
        <v>900</v>
      </c>
      <c r="C107" s="357" t="s">
        <v>140</v>
      </c>
      <c r="D107" s="358" t="s">
        <v>62</v>
      </c>
      <c r="E107" s="359" t="s">
        <v>107</v>
      </c>
      <c r="F107" s="360" t="s">
        <v>108</v>
      </c>
    </row>
    <row r="108" spans="1:10" ht="26.25" customHeight="1">
      <c r="A108" s="245" t="s">
        <v>109</v>
      </c>
      <c r="B108" s="246">
        <v>5</v>
      </c>
      <c r="C108" s="361">
        <v>1</v>
      </c>
      <c r="D108" s="402">
        <v>0.30409999999999998</v>
      </c>
      <c r="E108" s="391">
        <f t="shared" ref="E108:E113" si="1">IF(ISBLANK(D108),"-",D108/$D$103*$D$100*$B$116)</f>
        <v>91.912358519262497</v>
      </c>
      <c r="F108" s="362">
        <f t="shared" ref="F108:F113" si="2">IF(ISBLANK(D108), "-", E108/$B$56)</f>
        <v>0.91912358519262494</v>
      </c>
    </row>
    <row r="109" spans="1:10" ht="26.25" customHeight="1">
      <c r="A109" s="245" t="s">
        <v>110</v>
      </c>
      <c r="B109" s="246">
        <v>50</v>
      </c>
      <c r="C109" s="361">
        <v>2</v>
      </c>
      <c r="D109" s="402">
        <v>0.30180000000000001</v>
      </c>
      <c r="E109" s="392">
        <f t="shared" si="1"/>
        <v>91.217197636019137</v>
      </c>
      <c r="F109" s="363">
        <f t="shared" si="2"/>
        <v>0.91217197636019132</v>
      </c>
    </row>
    <row r="110" spans="1:10" ht="26.25" customHeight="1">
      <c r="A110" s="245" t="s">
        <v>111</v>
      </c>
      <c r="B110" s="246">
        <v>1</v>
      </c>
      <c r="C110" s="361">
        <v>3</v>
      </c>
      <c r="D110" s="402">
        <v>0.29730000000000001</v>
      </c>
      <c r="E110" s="392">
        <f t="shared" si="1"/>
        <v>89.8571002557604</v>
      </c>
      <c r="F110" s="363">
        <f t="shared" si="2"/>
        <v>0.89857100255760403</v>
      </c>
    </row>
    <row r="111" spans="1:10" ht="26.25" customHeight="1">
      <c r="A111" s="245" t="s">
        <v>112</v>
      </c>
      <c r="B111" s="246">
        <v>1</v>
      </c>
      <c r="C111" s="361">
        <v>4</v>
      </c>
      <c r="D111" s="402">
        <v>0.30780000000000002</v>
      </c>
      <c r="E111" s="392">
        <f t="shared" si="1"/>
        <v>93.030660809697451</v>
      </c>
      <c r="F111" s="363">
        <f t="shared" si="2"/>
        <v>0.93030660809697452</v>
      </c>
    </row>
    <row r="112" spans="1:10" ht="26.25" customHeight="1">
      <c r="A112" s="245" t="s">
        <v>113</v>
      </c>
      <c r="B112" s="246">
        <v>1</v>
      </c>
      <c r="C112" s="361">
        <v>5</v>
      </c>
      <c r="D112" s="402">
        <v>0.30199999999999999</v>
      </c>
      <c r="E112" s="392">
        <f t="shared" si="1"/>
        <v>91.277646408475078</v>
      </c>
      <c r="F112" s="363">
        <f t="shared" si="2"/>
        <v>0.91277646408475077</v>
      </c>
    </row>
    <row r="113" spans="1:10" ht="26.25" customHeight="1">
      <c r="A113" s="245" t="s">
        <v>114</v>
      </c>
      <c r="B113" s="246">
        <v>1</v>
      </c>
      <c r="C113" s="364">
        <v>6</v>
      </c>
      <c r="D113" s="403">
        <v>0.307</v>
      </c>
      <c r="E113" s="393">
        <f t="shared" si="1"/>
        <v>92.788865719873669</v>
      </c>
      <c r="F113" s="365">
        <f t="shared" si="2"/>
        <v>0.9278886571987367</v>
      </c>
    </row>
    <row r="114" spans="1:10" ht="26.25" customHeight="1">
      <c r="A114" s="245" t="s">
        <v>115</v>
      </c>
      <c r="B114" s="246">
        <v>1</v>
      </c>
      <c r="C114" s="361"/>
      <c r="D114" s="318"/>
      <c r="E114" s="220"/>
      <c r="F114" s="366"/>
    </row>
    <row r="115" spans="1:10" ht="26.25" customHeight="1">
      <c r="A115" s="245" t="s">
        <v>116</v>
      </c>
      <c r="B115" s="246">
        <v>1</v>
      </c>
      <c r="C115" s="361"/>
      <c r="D115" s="367" t="s">
        <v>69</v>
      </c>
      <c r="E115" s="396">
        <f>AVERAGE(E108:E113)</f>
        <v>91.680638224848053</v>
      </c>
      <c r="F115" s="368">
        <f>AVERAGE(F108:F113)</f>
        <v>0.91680638224848032</v>
      </c>
    </row>
    <row r="116" spans="1:10" ht="27" customHeight="1">
      <c r="A116" s="245" t="s">
        <v>117</v>
      </c>
      <c r="B116" s="277">
        <f>(B115/B114)*(B113/B112)*(B111/B110)*(B109/B108)*B107</f>
        <v>9000</v>
      </c>
      <c r="C116" s="369"/>
      <c r="D116" s="337" t="s">
        <v>82</v>
      </c>
      <c r="E116" s="370">
        <f>STDEV(E108:E113)/E115</f>
        <v>1.2726584229149672E-2</v>
      </c>
      <c r="F116" s="370">
        <f>STDEV(F108:F113)/F115</f>
        <v>1.2726584229154748E-2</v>
      </c>
      <c r="I116" s="220"/>
    </row>
    <row r="117" spans="1:10" ht="27" customHeight="1">
      <c r="A117" s="429" t="s">
        <v>76</v>
      </c>
      <c r="B117" s="430"/>
      <c r="C117" s="371"/>
      <c r="D117" s="372" t="s">
        <v>19</v>
      </c>
      <c r="E117" s="373">
        <f>COUNT(E108:E113)</f>
        <v>6</v>
      </c>
      <c r="F117" s="373">
        <f>COUNT(F108:F113)</f>
        <v>6</v>
      </c>
      <c r="I117" s="220"/>
      <c r="J117" s="354"/>
    </row>
    <row r="118" spans="1:10" ht="19.5" customHeight="1">
      <c r="A118" s="431"/>
      <c r="B118" s="432"/>
      <c r="C118" s="220"/>
      <c r="D118" s="220"/>
      <c r="E118" s="220"/>
      <c r="F118" s="318"/>
      <c r="G118" s="220"/>
      <c r="H118" s="220"/>
      <c r="I118" s="220"/>
    </row>
    <row r="119" spans="1:10" ht="18.75">
      <c r="A119" s="382"/>
      <c r="B119" s="241"/>
      <c r="C119" s="220"/>
      <c r="D119" s="220"/>
      <c r="E119" s="220"/>
      <c r="F119" s="318"/>
      <c r="G119" s="220"/>
      <c r="H119" s="220"/>
      <c r="I119" s="220"/>
    </row>
    <row r="120" spans="1:10" ht="26.25" customHeight="1">
      <c r="A120" s="229" t="s">
        <v>134</v>
      </c>
      <c r="B120" s="325" t="s">
        <v>118</v>
      </c>
      <c r="C120" s="438" t="str">
        <f>B20</f>
        <v xml:space="preserve">sildenafil citrate </v>
      </c>
      <c r="D120" s="438"/>
      <c r="E120" s="326" t="s">
        <v>119</v>
      </c>
      <c r="F120" s="326"/>
      <c r="G120" s="327">
        <f>F115</f>
        <v>0.91680638224848032</v>
      </c>
      <c r="H120" s="220"/>
      <c r="I120" s="220"/>
    </row>
    <row r="121" spans="1:10" ht="19.5" customHeight="1">
      <c r="A121" s="374"/>
      <c r="B121" s="374"/>
      <c r="C121" s="375"/>
      <c r="D121" s="375"/>
      <c r="E121" s="375"/>
      <c r="F121" s="375"/>
      <c r="G121" s="375"/>
      <c r="H121" s="375"/>
    </row>
    <row r="122" spans="1:10" ht="18.75">
      <c r="B122" s="435" t="s">
        <v>25</v>
      </c>
      <c r="C122" s="435"/>
      <c r="E122" s="332" t="s">
        <v>26</v>
      </c>
      <c r="F122" s="376"/>
      <c r="G122" s="435" t="s">
        <v>27</v>
      </c>
      <c r="H122" s="435"/>
    </row>
    <row r="123" spans="1:10" ht="69.95" customHeight="1">
      <c r="A123" s="377" t="s">
        <v>28</v>
      </c>
      <c r="B123" s="378"/>
      <c r="C123" s="378"/>
      <c r="E123" s="378"/>
      <c r="F123" s="220"/>
      <c r="G123" s="379"/>
      <c r="H123" s="379"/>
    </row>
    <row r="124" spans="1:10" ht="69.95" customHeight="1">
      <c r="A124" s="377" t="s">
        <v>29</v>
      </c>
      <c r="B124" s="380"/>
      <c r="C124" s="380"/>
      <c r="E124" s="380"/>
      <c r="F124" s="220"/>
      <c r="G124" s="381"/>
      <c r="H124" s="381"/>
    </row>
    <row r="125" spans="1:10" ht="18.75">
      <c r="A125" s="317"/>
      <c r="B125" s="317"/>
      <c r="C125" s="318"/>
      <c r="D125" s="318"/>
      <c r="E125" s="318"/>
      <c r="F125" s="322"/>
      <c r="G125" s="318"/>
      <c r="H125" s="318"/>
      <c r="I125" s="220"/>
    </row>
    <row r="126" spans="1:10" ht="18.75">
      <c r="A126" s="317"/>
      <c r="B126" s="317"/>
      <c r="C126" s="318"/>
      <c r="D126" s="318"/>
      <c r="E126" s="318"/>
      <c r="F126" s="322"/>
      <c r="G126" s="318"/>
      <c r="H126" s="318"/>
      <c r="I126" s="220"/>
    </row>
    <row r="127" spans="1:10" ht="18.75">
      <c r="A127" s="317"/>
      <c r="B127" s="317"/>
      <c r="C127" s="318"/>
      <c r="D127" s="318"/>
      <c r="E127" s="318"/>
      <c r="F127" s="322"/>
      <c r="G127" s="318"/>
      <c r="H127" s="318"/>
      <c r="I127" s="220"/>
    </row>
    <row r="128" spans="1:10" ht="18.75">
      <c r="A128" s="317"/>
      <c r="B128" s="317"/>
      <c r="C128" s="318"/>
      <c r="D128" s="318"/>
      <c r="E128" s="318"/>
      <c r="F128" s="322"/>
      <c r="G128" s="318"/>
      <c r="H128" s="318"/>
      <c r="I128" s="220"/>
    </row>
    <row r="129" spans="1:9" ht="18.75">
      <c r="A129" s="317"/>
      <c r="B129" s="317"/>
      <c r="C129" s="318"/>
      <c r="D129" s="318"/>
      <c r="E129" s="318"/>
      <c r="F129" s="322"/>
      <c r="G129" s="318"/>
      <c r="H129" s="318"/>
      <c r="I129" s="220"/>
    </row>
    <row r="130" spans="1:9" ht="18.75">
      <c r="A130" s="317"/>
      <c r="B130" s="317"/>
      <c r="C130" s="318"/>
      <c r="D130" s="318"/>
      <c r="E130" s="318"/>
      <c r="F130" s="322"/>
      <c r="G130" s="318"/>
      <c r="H130" s="318"/>
      <c r="I130" s="220"/>
    </row>
    <row r="131" spans="1:9" ht="18.75">
      <c r="A131" s="317"/>
      <c r="B131" s="317"/>
      <c r="C131" s="318"/>
      <c r="D131" s="318"/>
      <c r="E131" s="318"/>
      <c r="F131" s="322"/>
      <c r="G131" s="318"/>
      <c r="H131" s="318"/>
      <c r="I131" s="220"/>
    </row>
    <row r="132" spans="1:9" ht="18.75">
      <c r="A132" s="317"/>
      <c r="B132" s="317"/>
      <c r="C132" s="318"/>
      <c r="D132" s="318"/>
      <c r="E132" s="318"/>
      <c r="F132" s="322"/>
      <c r="G132" s="318"/>
      <c r="H132" s="318"/>
      <c r="I132" s="220"/>
    </row>
    <row r="133" spans="1:9" ht="18.75">
      <c r="A133" s="317"/>
      <c r="B133" s="317"/>
      <c r="C133" s="318"/>
      <c r="D133" s="318"/>
      <c r="E133" s="318"/>
      <c r="F133" s="322"/>
      <c r="G133" s="318"/>
      <c r="H133" s="318"/>
      <c r="I133" s="220"/>
    </row>
    <row r="250" spans="1:1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Sildenafil</vt:lpstr>
      <vt:lpstr>Sildenafil 1</vt:lpstr>
      <vt:lpstr>Sildenafil!Print_Area</vt:lpstr>
      <vt:lpstr>'Sildenafil 1'!Print_Area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2016-03-03T12:15:27Z</cp:lastPrinted>
  <dcterms:created xsi:type="dcterms:W3CDTF">2005-07-05T10:19:27Z</dcterms:created>
  <dcterms:modified xsi:type="dcterms:W3CDTF">2016-03-04T07:58:17Z</dcterms:modified>
</cp:coreProperties>
</file>