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20730" windowHeight="8640" firstSheet="1" activeTab="3"/>
  </bookViews>
  <sheets>
    <sheet name="Uniformity" sheetId="8" r:id="rId1"/>
    <sheet name="SST " sheetId="9" r:id="rId2"/>
    <sheet name="SST  Diss S2" sheetId="14" r:id="rId3"/>
    <sheet name="Tadalafil CU" sheetId="10" r:id="rId4"/>
    <sheet name="Tadalafil Assay Diss S1" sheetId="12" r:id="rId5"/>
    <sheet name="Tadalafil Diss S2 10 min" sheetId="11" r:id="rId6"/>
    <sheet name="Tadalafil Diss S2 30 min " sheetId="13" r:id="rId7"/>
  </sheets>
  <externalReferences>
    <externalReference r:id="rId8"/>
    <externalReference r:id="rId9"/>
  </externalReferences>
  <definedNames>
    <definedName name="_xlnm.Print_Area" localSheetId="4">'Tadalafil Assay Diss S1'!$A$1:$H$142</definedName>
    <definedName name="_xlnm.Print_Area" localSheetId="3">'Tadalafil CU'!$A$1:$H$91</definedName>
    <definedName name="_xlnm.Print_Area" localSheetId="5">'Tadalafil Diss S2 10 min'!$A$1:$H$172</definedName>
    <definedName name="_xlnm.Print_Area" localSheetId="6">'Tadalafil Diss S2 30 min '!$A$1:$H$172</definedName>
    <definedName name="_xlnm.Print_Area" localSheetId="0">Uniformity!$A$1:$F$44</definedName>
  </definedNames>
  <calcPr calcId="145621"/>
</workbook>
</file>

<file path=xl/calcChain.xml><?xml version="1.0" encoding="utf-8"?>
<calcChain xmlns="http://schemas.openxmlformats.org/spreadsheetml/2006/main">
  <c r="H160" i="13" l="1"/>
  <c r="H159" i="13"/>
  <c r="H158" i="13"/>
  <c r="H160" i="11"/>
  <c r="H159" i="11"/>
  <c r="H158" i="11"/>
  <c r="B28" i="9" l="1"/>
  <c r="B39" i="14"/>
  <c r="E37" i="14"/>
  <c r="D37" i="14"/>
  <c r="C37" i="14"/>
  <c r="B37" i="14"/>
  <c r="B38" i="14" s="1"/>
  <c r="B28" i="14"/>
  <c r="B27" i="14"/>
  <c r="B26" i="14"/>
  <c r="B25" i="14"/>
  <c r="B18" i="14"/>
  <c r="E16" i="14"/>
  <c r="D16" i="14"/>
  <c r="C16" i="14"/>
  <c r="B16" i="14"/>
  <c r="B17" i="14" s="1"/>
  <c r="C168" i="13"/>
  <c r="B159" i="13"/>
  <c r="D143" i="13"/>
  <c r="D144" i="13" s="1"/>
  <c r="B141" i="13"/>
  <c r="F138" i="13"/>
  <c r="D138" i="13"/>
  <c r="G137" i="13"/>
  <c r="E137" i="13"/>
  <c r="B130" i="13"/>
  <c r="D140" i="13" s="1"/>
  <c r="D141" i="13" s="1"/>
  <c r="B126" i="13"/>
  <c r="B116" i="13"/>
  <c r="D100" i="13"/>
  <c r="D101" i="13" s="1"/>
  <c r="B98" i="13"/>
  <c r="F95" i="13"/>
  <c r="D95" i="13"/>
  <c r="G94" i="13"/>
  <c r="E94" i="13"/>
  <c r="B87" i="13"/>
  <c r="F97" i="13" s="1"/>
  <c r="B82" i="13"/>
  <c r="B83" i="13" s="1"/>
  <c r="B81" i="13"/>
  <c r="B80" i="13"/>
  <c r="B79" i="13"/>
  <c r="C76" i="13"/>
  <c r="H71" i="13"/>
  <c r="G71" i="13"/>
  <c r="B68" i="13"/>
  <c r="H67" i="13"/>
  <c r="G67" i="13"/>
  <c r="H63" i="13"/>
  <c r="G63" i="13"/>
  <c r="B57" i="13"/>
  <c r="C56" i="13"/>
  <c r="B55" i="13"/>
  <c r="B45" i="13"/>
  <c r="D48" i="13" s="1"/>
  <c r="F42" i="13"/>
  <c r="D42" i="13"/>
  <c r="G41" i="13"/>
  <c r="E41" i="13"/>
  <c r="B34" i="13"/>
  <c r="F44" i="13" s="1"/>
  <c r="F45" i="13" s="1"/>
  <c r="F46" i="13" s="1"/>
  <c r="B30" i="13"/>
  <c r="B126" i="11"/>
  <c r="C138" i="12"/>
  <c r="B134" i="12"/>
  <c r="C121" i="12"/>
  <c r="B117" i="12"/>
  <c r="D101" i="12"/>
  <c r="B99" i="12"/>
  <c r="F96" i="12"/>
  <c r="D96" i="12"/>
  <c r="G95" i="12"/>
  <c r="E95" i="12"/>
  <c r="B88" i="12"/>
  <c r="F98" i="12" s="1"/>
  <c r="B83" i="12"/>
  <c r="B82" i="12"/>
  <c r="B84" i="12" s="1"/>
  <c r="B81" i="12"/>
  <c r="B80" i="12"/>
  <c r="C76" i="12"/>
  <c r="H71" i="12"/>
  <c r="G71" i="12"/>
  <c r="B68" i="12"/>
  <c r="H67" i="12"/>
  <c r="G67" i="12"/>
  <c r="H63" i="12"/>
  <c r="G63" i="12"/>
  <c r="B57" i="12"/>
  <c r="B69" i="12" s="1"/>
  <c r="C56" i="12"/>
  <c r="B55" i="12"/>
  <c r="B45" i="12"/>
  <c r="D48" i="12" s="1"/>
  <c r="F42" i="12"/>
  <c r="D42" i="12"/>
  <c r="G41" i="12"/>
  <c r="E41" i="12"/>
  <c r="B34" i="12"/>
  <c r="F44" i="12" s="1"/>
  <c r="B30" i="12"/>
  <c r="C168" i="11"/>
  <c r="B159" i="11"/>
  <c r="D143" i="11" s="1"/>
  <c r="B141" i="11"/>
  <c r="F140" i="11"/>
  <c r="F141" i="11" s="1"/>
  <c r="D140" i="11"/>
  <c r="D141" i="11" s="1"/>
  <c r="F138" i="11"/>
  <c r="D138" i="11"/>
  <c r="G137" i="11"/>
  <c r="E137" i="11"/>
  <c r="B130" i="11"/>
  <c r="B116" i="11"/>
  <c r="D100" i="11" s="1"/>
  <c r="B98" i="11"/>
  <c r="F95" i="11"/>
  <c r="D95" i="11"/>
  <c r="G94" i="11"/>
  <c r="E94" i="11"/>
  <c r="B87" i="11"/>
  <c r="D97" i="11" s="1"/>
  <c r="B82" i="11"/>
  <c r="B81" i="11"/>
  <c r="B83" i="11" s="1"/>
  <c r="B80" i="11"/>
  <c r="B79" i="11"/>
  <c r="C76" i="11"/>
  <c r="H71" i="11"/>
  <c r="G71" i="11"/>
  <c r="B68" i="11"/>
  <c r="H67" i="11"/>
  <c r="G67" i="11"/>
  <c r="H63" i="11"/>
  <c r="G63" i="11"/>
  <c r="B57" i="11"/>
  <c r="B69" i="11" s="1"/>
  <c r="C56" i="11"/>
  <c r="B55" i="11"/>
  <c r="B45" i="11"/>
  <c r="D48" i="11" s="1"/>
  <c r="D49" i="11" s="1"/>
  <c r="F42" i="11"/>
  <c r="D42" i="11"/>
  <c r="G41" i="11"/>
  <c r="E41" i="11"/>
  <c r="B34" i="11"/>
  <c r="D44" i="11" s="1"/>
  <c r="B30" i="11"/>
  <c r="C74" i="10"/>
  <c r="B67" i="10"/>
  <c r="C56" i="10"/>
  <c r="B55" i="10"/>
  <c r="D48" i="10"/>
  <c r="B45" i="10"/>
  <c r="F42" i="10"/>
  <c r="D42" i="10"/>
  <c r="B34" i="10"/>
  <c r="D44" i="10" s="1"/>
  <c r="D45" i="10" s="1"/>
  <c r="D46" i="10" s="1"/>
  <c r="B30" i="10"/>
  <c r="B39" i="9"/>
  <c r="E37" i="9"/>
  <c r="D37" i="9"/>
  <c r="C37" i="9"/>
  <c r="B37" i="9"/>
  <c r="B38" i="9" s="1"/>
  <c r="B26" i="9"/>
  <c r="B25" i="9"/>
  <c r="B18" i="9"/>
  <c r="E16" i="9"/>
  <c r="D16" i="9"/>
  <c r="C16" i="9"/>
  <c r="B16" i="9"/>
  <c r="B17" i="9" s="1"/>
  <c r="C36" i="8"/>
  <c r="D40" i="8" s="1"/>
  <c r="C35" i="8"/>
  <c r="D31" i="8"/>
  <c r="D27" i="8"/>
  <c r="D23" i="8"/>
  <c r="D19" i="8"/>
  <c r="D15" i="8"/>
  <c r="F98" i="13" l="1"/>
  <c r="F99" i="13" s="1"/>
  <c r="F99" i="12"/>
  <c r="F100" i="12" s="1"/>
  <c r="F45" i="12"/>
  <c r="F46" i="12" s="1"/>
  <c r="D102" i="12"/>
  <c r="B69" i="13"/>
  <c r="G40" i="13"/>
  <c r="G38" i="13"/>
  <c r="G42" i="13" s="1"/>
  <c r="G39" i="13"/>
  <c r="D49" i="13"/>
  <c r="D102" i="13"/>
  <c r="G91" i="13"/>
  <c r="E136" i="13"/>
  <c r="E134" i="13"/>
  <c r="D142" i="13"/>
  <c r="E135" i="13"/>
  <c r="D44" i="13"/>
  <c r="D45" i="13" s="1"/>
  <c r="D46" i="13" s="1"/>
  <c r="D97" i="13"/>
  <c r="D98" i="13" s="1"/>
  <c r="D99" i="13" s="1"/>
  <c r="G136" i="13"/>
  <c r="F140" i="13"/>
  <c r="F141" i="13" s="1"/>
  <c r="G134" i="13" s="1"/>
  <c r="D145" i="13"/>
  <c r="F142" i="11"/>
  <c r="D142" i="11"/>
  <c r="D144" i="11"/>
  <c r="D101" i="11"/>
  <c r="D102" i="11" s="1"/>
  <c r="D98" i="11"/>
  <c r="D45" i="11"/>
  <c r="G38" i="12"/>
  <c r="D49" i="12"/>
  <c r="D103" i="12"/>
  <c r="G94" i="12"/>
  <c r="G92" i="12"/>
  <c r="G96" i="12" s="1"/>
  <c r="G93" i="12"/>
  <c r="E92" i="12"/>
  <c r="D44" i="12"/>
  <c r="D45" i="12" s="1"/>
  <c r="D46" i="12" s="1"/>
  <c r="D98" i="12"/>
  <c r="D99" i="12" s="1"/>
  <c r="D100" i="12" s="1"/>
  <c r="F44" i="11"/>
  <c r="F45" i="11" s="1"/>
  <c r="F97" i="11"/>
  <c r="F98" i="11" s="1"/>
  <c r="E41" i="10"/>
  <c r="G38" i="10"/>
  <c r="F44" i="10"/>
  <c r="F45" i="10" s="1"/>
  <c r="G40" i="10" s="1"/>
  <c r="E38" i="10"/>
  <c r="E40" i="10"/>
  <c r="D49" i="10"/>
  <c r="E39" i="10"/>
  <c r="C40" i="8"/>
  <c r="D14" i="8"/>
  <c r="D18" i="8"/>
  <c r="D22" i="8"/>
  <c r="D26" i="8"/>
  <c r="D30" i="8"/>
  <c r="D39" i="8"/>
  <c r="D17" i="8"/>
  <c r="D21" i="8"/>
  <c r="D25" i="8"/>
  <c r="D29" i="8"/>
  <c r="D33" i="8"/>
  <c r="C39" i="8"/>
  <c r="D16" i="8"/>
  <c r="D20" i="8"/>
  <c r="D24" i="8"/>
  <c r="D28" i="8"/>
  <c r="D32" i="8"/>
  <c r="B39" i="8"/>
  <c r="B57" i="10" s="1"/>
  <c r="G39" i="12" l="1"/>
  <c r="E91" i="13"/>
  <c r="D105" i="13" s="1"/>
  <c r="G93" i="13"/>
  <c r="G92" i="13"/>
  <c r="G95" i="13" s="1"/>
  <c r="E93" i="12"/>
  <c r="E40" i="12"/>
  <c r="G40" i="12"/>
  <c r="G42" i="12" s="1"/>
  <c r="E92" i="13"/>
  <c r="E40" i="13"/>
  <c r="E39" i="13"/>
  <c r="E93" i="13"/>
  <c r="D103" i="13" s="1"/>
  <c r="F142" i="13"/>
  <c r="G135" i="13"/>
  <c r="G138" i="13" s="1"/>
  <c r="D146" i="13"/>
  <c r="D148" i="13"/>
  <c r="E138" i="13"/>
  <c r="E38" i="13"/>
  <c r="D145" i="11"/>
  <c r="E136" i="11"/>
  <c r="E134" i="11"/>
  <c r="G136" i="11"/>
  <c r="G134" i="11"/>
  <c r="E135" i="11"/>
  <c r="G135" i="11"/>
  <c r="F99" i="11"/>
  <c r="G92" i="11"/>
  <c r="G93" i="11"/>
  <c r="G91" i="11"/>
  <c r="D99" i="11"/>
  <c r="E93" i="11"/>
  <c r="E91" i="11"/>
  <c r="E92" i="11"/>
  <c r="F46" i="11"/>
  <c r="G38" i="11"/>
  <c r="G39" i="11"/>
  <c r="G40" i="11"/>
  <c r="D46" i="11"/>
  <c r="E39" i="11"/>
  <c r="E40" i="11"/>
  <c r="E38" i="11"/>
  <c r="E38" i="12"/>
  <c r="E39" i="12"/>
  <c r="E94" i="12"/>
  <c r="F46" i="10"/>
  <c r="G41" i="10"/>
  <c r="G39" i="10"/>
  <c r="D52" i="10" s="1"/>
  <c r="E42" i="10"/>
  <c r="D50" i="11" l="1"/>
  <c r="G42" i="11"/>
  <c r="G42" i="10"/>
  <c r="E96" i="12"/>
  <c r="E112" i="13"/>
  <c r="F112" i="13" s="1"/>
  <c r="E110" i="13"/>
  <c r="F110" i="13" s="1"/>
  <c r="E108" i="13"/>
  <c r="F108" i="13" s="1"/>
  <c r="E113" i="13"/>
  <c r="F113" i="13" s="1"/>
  <c r="E111" i="13"/>
  <c r="F111" i="13" s="1"/>
  <c r="E109" i="13"/>
  <c r="F109" i="13" s="1"/>
  <c r="D104" i="13"/>
  <c r="D50" i="13"/>
  <c r="E42" i="13"/>
  <c r="D51" i="13"/>
  <c r="D52" i="13"/>
  <c r="E156" i="13"/>
  <c r="F156" i="13" s="1"/>
  <c r="E154" i="13"/>
  <c r="F154" i="13" s="1"/>
  <c r="E152" i="13"/>
  <c r="F152" i="13" s="1"/>
  <c r="E155" i="13"/>
  <c r="F155" i="13" s="1"/>
  <c r="E153" i="13"/>
  <c r="F153" i="13" s="1"/>
  <c r="E151" i="13"/>
  <c r="F151" i="13" s="1"/>
  <c r="D147" i="13"/>
  <c r="E95" i="13"/>
  <c r="G138" i="11"/>
  <c r="D146" i="11"/>
  <c r="E138" i="11"/>
  <c r="D148" i="11"/>
  <c r="G95" i="11"/>
  <c r="D105" i="11"/>
  <c r="E95" i="11"/>
  <c r="D103" i="11"/>
  <c r="D52" i="11"/>
  <c r="E42" i="11"/>
  <c r="D50" i="12"/>
  <c r="E42" i="12"/>
  <c r="D52" i="12"/>
  <c r="D104" i="12"/>
  <c r="D106" i="12"/>
  <c r="D50" i="10"/>
  <c r="D51" i="11" l="1"/>
  <c r="G69" i="11"/>
  <c r="H69" i="11" s="1"/>
  <c r="G65" i="11"/>
  <c r="H65" i="11" s="1"/>
  <c r="G61" i="11"/>
  <c r="H61" i="11" s="1"/>
  <c r="G68" i="11"/>
  <c r="H68" i="11" s="1"/>
  <c r="G66" i="11"/>
  <c r="H66" i="11" s="1"/>
  <c r="G64" i="11"/>
  <c r="H64" i="11" s="1"/>
  <c r="G62" i="11"/>
  <c r="H62" i="11" s="1"/>
  <c r="G60" i="11"/>
  <c r="H60" i="11" s="1"/>
  <c r="G70" i="11"/>
  <c r="H70" i="11" s="1"/>
  <c r="D104" i="11"/>
  <c r="E111" i="11"/>
  <c r="F111" i="11" s="1"/>
  <c r="E113" i="11"/>
  <c r="F113" i="11" s="1"/>
  <c r="E108" i="11"/>
  <c r="F108" i="11" s="1"/>
  <c r="E110" i="11"/>
  <c r="F110" i="11" s="1"/>
  <c r="E112" i="11"/>
  <c r="F112" i="11" s="1"/>
  <c r="E109" i="11"/>
  <c r="F109" i="11" s="1"/>
  <c r="G70" i="13"/>
  <c r="H70" i="13" s="1"/>
  <c r="G65" i="13"/>
  <c r="H65" i="13" s="1"/>
  <c r="G61" i="13"/>
  <c r="H61" i="13" s="1"/>
  <c r="G69" i="13"/>
  <c r="H69" i="13" s="1"/>
  <c r="G66" i="13"/>
  <c r="H66" i="13" s="1"/>
  <c r="G64" i="13"/>
  <c r="H64" i="13" s="1"/>
  <c r="G62" i="13"/>
  <c r="H62" i="13" s="1"/>
  <c r="G60" i="13"/>
  <c r="H60" i="13" s="1"/>
  <c r="G68" i="13"/>
  <c r="H68" i="13" s="1"/>
  <c r="F160" i="13"/>
  <c r="F158" i="13"/>
  <c r="F159" i="13" s="1"/>
  <c r="F115" i="13"/>
  <c r="F116" i="13" s="1"/>
  <c r="B167" i="13"/>
  <c r="B165" i="13"/>
  <c r="G168" i="13" s="1"/>
  <c r="F117" i="13"/>
  <c r="E154" i="11"/>
  <c r="F154" i="11" s="1"/>
  <c r="E155" i="11"/>
  <c r="F155" i="11" s="1"/>
  <c r="E156" i="11"/>
  <c r="F156" i="11" s="1"/>
  <c r="E153" i="11"/>
  <c r="F153" i="11" s="1"/>
  <c r="D147" i="11"/>
  <c r="E151" i="11"/>
  <c r="F151" i="11" s="1"/>
  <c r="E152" i="11"/>
  <c r="F152" i="11" s="1"/>
  <c r="E131" i="12"/>
  <c r="F131" i="12" s="1"/>
  <c r="E129" i="12"/>
  <c r="F129" i="12" s="1"/>
  <c r="E127" i="12"/>
  <c r="F127" i="12" s="1"/>
  <c r="E113" i="12"/>
  <c r="F113" i="12" s="1"/>
  <c r="E111" i="12"/>
  <c r="F111" i="12" s="1"/>
  <c r="E109" i="12"/>
  <c r="F109" i="12" s="1"/>
  <c r="E130" i="12"/>
  <c r="F130" i="12" s="1"/>
  <c r="E128" i="12"/>
  <c r="F128" i="12" s="1"/>
  <c r="E126" i="12"/>
  <c r="F126" i="12" s="1"/>
  <c r="E114" i="12"/>
  <c r="F114" i="12" s="1"/>
  <c r="E112" i="12"/>
  <c r="F112" i="12" s="1"/>
  <c r="E110" i="12"/>
  <c r="F110" i="12" s="1"/>
  <c r="D105" i="12"/>
  <c r="G70" i="12"/>
  <c r="H70" i="12" s="1"/>
  <c r="G65" i="12"/>
  <c r="H65" i="12" s="1"/>
  <c r="G61" i="12"/>
  <c r="H61" i="12" s="1"/>
  <c r="D51" i="12"/>
  <c r="G69" i="12"/>
  <c r="H69" i="12" s="1"/>
  <c r="G66" i="12"/>
  <c r="H66" i="12" s="1"/>
  <c r="G64" i="12"/>
  <c r="H64" i="12" s="1"/>
  <c r="G62" i="12"/>
  <c r="H62" i="12" s="1"/>
  <c r="G60" i="12"/>
  <c r="H60" i="12" s="1"/>
  <c r="G68" i="12"/>
  <c r="H68" i="12" s="1"/>
  <c r="E64" i="10"/>
  <c r="E60" i="10"/>
  <c r="D51" i="10"/>
  <c r="E68" i="10"/>
  <c r="E63" i="10"/>
  <c r="E59" i="10"/>
  <c r="E67" i="10"/>
  <c r="E66" i="10"/>
  <c r="E62" i="10"/>
  <c r="E65" i="10"/>
  <c r="E61" i="10"/>
  <c r="H72" i="11" l="1"/>
  <c r="H74" i="11"/>
  <c r="F117" i="11"/>
  <c r="F115" i="11"/>
  <c r="F116" i="11" s="1"/>
  <c r="H72" i="13"/>
  <c r="G76" i="13" s="1"/>
  <c r="H74" i="13"/>
  <c r="B166" i="13"/>
  <c r="F158" i="11"/>
  <c r="F159" i="11" s="1"/>
  <c r="B167" i="11"/>
  <c r="F160" i="11"/>
  <c r="B165" i="11"/>
  <c r="G168" i="11" s="1"/>
  <c r="H72" i="12"/>
  <c r="H74" i="12"/>
  <c r="F116" i="12"/>
  <c r="F118" i="12"/>
  <c r="F135" i="12"/>
  <c r="F133" i="12"/>
  <c r="G65" i="10"/>
  <c r="E70" i="10"/>
  <c r="E71" i="10" s="1"/>
  <c r="E72" i="10"/>
  <c r="G59" i="10"/>
  <c r="G60" i="10"/>
  <c r="G61" i="10"/>
  <c r="G67" i="10"/>
  <c r="G66" i="10"/>
  <c r="G68" i="10"/>
  <c r="G62" i="10"/>
  <c r="G63" i="10"/>
  <c r="G64" i="10"/>
  <c r="F66" i="10" l="1"/>
  <c r="F62" i="10"/>
  <c r="F60" i="10"/>
  <c r="F63" i="10"/>
  <c r="F68" i="10"/>
  <c r="H73" i="13"/>
  <c r="H73" i="11"/>
  <c r="G76" i="11"/>
  <c r="B166" i="11"/>
  <c r="F134" i="12"/>
  <c r="G138" i="12"/>
  <c r="G121" i="12"/>
  <c r="F117" i="12"/>
  <c r="G76" i="12"/>
  <c r="H73" i="12"/>
  <c r="C81" i="10"/>
  <c r="G72" i="10"/>
  <c r="G70" i="10"/>
  <c r="F67" i="10"/>
  <c r="F64" i="10"/>
  <c r="F61" i="10"/>
  <c r="F59" i="10"/>
  <c r="F65" i="10"/>
  <c r="F70" i="10" l="1"/>
  <c r="F71" i="10" s="1"/>
  <c r="F72" i="10"/>
  <c r="C82" i="10"/>
  <c r="G71" i="10"/>
  <c r="G74" i="10"/>
  <c r="C79" i="10"/>
  <c r="C83" i="10" l="1"/>
</calcChain>
</file>

<file path=xl/sharedStrings.xml><?xml version="1.0" encoding="utf-8"?>
<sst xmlns="http://schemas.openxmlformats.org/spreadsheetml/2006/main" count="867" uniqueCount="161">
  <si>
    <t>HPLC System Suitability Report</t>
  </si>
  <si>
    <t>Analysis Data</t>
  </si>
  <si>
    <t>Assay</t>
  </si>
  <si>
    <t>Sample(s)</t>
  </si>
  <si>
    <t>Reference Substance:</t>
  </si>
  <si>
    <t>PROCALIS20TABLETS</t>
  </si>
  <si>
    <t>% age Purity:</t>
  </si>
  <si>
    <t>NDQA201511560</t>
  </si>
  <si>
    <t>Weight (mg):</t>
  </si>
  <si>
    <t>Tadalafil 20mg</t>
  </si>
  <si>
    <t>Standard Conc (mg/mL):</t>
  </si>
  <si>
    <t>Each film coated tablet contains tadalafil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</si>
  <si>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</si>
  <si>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</si>
  <si>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</si>
  <si>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</si>
  <si>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</si>
  <si>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</si>
  <si>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</si>
  <si>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</si>
  <si>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</si>
  <si>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</si>
  <si>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</si>
  <si>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</si>
  <si>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</si>
  <si>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</si>
  <si>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</si>
  <si>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</si>
  <si>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</si>
  <si>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</si>
  <si>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</si>
  <si>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</si>
  <si>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</si>
  <si>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</si>
  <si>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</si>
  <si>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</si>
  <si>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</si>
  <si>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</si>
  <si>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</si>
  <si>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</si>
  <si>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</si>
  <si>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</si>
  <si>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</si>
  <si>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</si>
  <si>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</si>
  <si>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</si>
  <si>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</si>
  <si>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</si>
  <si>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</si>
  <si>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</si>
  <si>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</si>
  <si>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</si>
  <si>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</si>
  <si>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</si>
  <si>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</si>
  <si>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</si>
  <si>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</si>
  <si>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</si>
  <si>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</si>
  <si>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</si>
  <si>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</si>
  <si>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</si>
  <si>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</si>
  <si>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</si>
  <si>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</si>
  <si>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</si>
  <si>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</si>
  <si>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</si>
  <si>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</si>
  <si>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</si>
  <si>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</si>
  <si>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</si>
  <si>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</si>
  <si>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</si>
  <si>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</si>
  <si>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</si>
  <si>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</si>
  <si>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</si>
  <si>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</si>
  <si>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</si>
  <si>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</si>
  <si>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</si>
  <si>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</si>
  <si>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</si>
  <si>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</si>
  <si>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</si>
  <si>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</si>
  <si>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</si>
  <si>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</si>
  <si>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</si>
  <si>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</si>
  <si>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</si>
  <si>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</si>
  <si>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</si>
  <si>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</si>
  <si>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</si>
  <si>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</si>
  <si>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</si>
  <si>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</si>
  <si>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</si>
  <si>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</si>
  <si>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</si>
  <si>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</si>
  <si>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</si>
  <si>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</si>
  <si>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</si>
  <si>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</si>
  <si>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</si>
  <si>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</si>
  <si>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</si>
  <si>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</si>
  <si>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</si>
  <si>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</si>
  <si>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</si>
  <si>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</si>
  <si>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</si>
  <si>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</si>
  <si>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</si>
  <si>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</si>
  <si>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</si>
  <si>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</si>
  <si>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</si>
  <si>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</si>
  <si>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</si>
  <si>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</si>
  <si>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</si>
  <si>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</si>
  <si>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</si>
  <si>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</si>
  <si>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</si>
  <si>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</si>
  <si>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</si>
  <si>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tablet No.</t>
  </si>
  <si>
    <t>Initial    Standard dilution</t>
  </si>
  <si>
    <t>Inj</t>
  </si>
  <si>
    <t>Initial    Sample dilution</t>
  </si>
  <si>
    <t>Analysis Data:</t>
  </si>
  <si>
    <t>Determination of Active Ingredient Dissolved after</t>
  </si>
  <si>
    <t>DR. Sarah Mwangi</t>
  </si>
  <si>
    <t>4th February 2016</t>
  </si>
  <si>
    <t>Tadalafil</t>
  </si>
  <si>
    <t>2015-10-02 12:27:26</t>
  </si>
  <si>
    <t>Dr. Sarah Mwangi</t>
  </si>
  <si>
    <t>8th February 2016</t>
  </si>
  <si>
    <t>Each Tablet contains 20 mg Tadalafil</t>
  </si>
  <si>
    <t>If correction for water content is NOT needed please enter 0</t>
  </si>
  <si>
    <t>Desired Sample Weight (mg)</t>
  </si>
  <si>
    <t>Repeat Determination of Active Ingredient Dissolved</t>
  </si>
  <si>
    <t>Dissolution Result Summary</t>
  </si>
  <si>
    <t>PROCALISTA 20</t>
  </si>
  <si>
    <t>Tadalfil 20 mg</t>
  </si>
  <si>
    <t>Each film coated tablet contains 20 mg Tadalfil</t>
  </si>
  <si>
    <t xml:space="preserve">Tadalfil </t>
  </si>
  <si>
    <t>T1-2</t>
  </si>
  <si>
    <t>10 minutes</t>
  </si>
  <si>
    <t>30 minutes</t>
  </si>
  <si>
    <t>26th February 2016</t>
  </si>
  <si>
    <t>26th Fedbruary 2016</t>
  </si>
  <si>
    <t>PROCALISTA 20 TABLETS</t>
  </si>
  <si>
    <t>Tadalafil 20 mg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</si>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</sst>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27" fillId="2" borderId="0"/>
    <xf numFmtId="0" fontId="27" fillId="2" borderId="0"/>
    <xf numFmtId="0" fontId="27" fillId="2" borderId="0"/>
    <xf numFmtId="0" fontId="27" fillId="2" borderId="0"/>
    <xf numFmtId="0" fontId="27" fillId="2" borderId="0"/>
  </cellStyleXfs>
  <cellXfs count="695">
    <xf numFmtId="0" fontId="0" fillId="2" borderId="0" xfId="0" applyFill="1"/>
    <xf numFmtId="0" fontId="10" fillId="2" borderId="0" xfId="1" applyFont="1" applyFill="1" applyAlignment="1">
      <alignment wrapText="1"/>
    </xf>
    <xf numFmtId="0" fontId="1" fillId="2" borderId="0" xfId="1" applyFont="1" applyFill="1"/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7" fillId="2" borderId="0" xfId="1" applyFill="1"/>
    <xf numFmtId="0" fontId="2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8" fillId="2" borderId="0" xfId="2" applyFont="1" applyFill="1" applyAlignment="1">
      <alignment horizontal="left"/>
    </xf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7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9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7" fillId="2" borderId="0" xfId="3" applyFill="1"/>
    <xf numFmtId="0" fontId="11" fillId="2" borderId="0" xfId="3" applyFont="1" applyFill="1"/>
    <xf numFmtId="0" fontId="3" fillId="2" borderId="0" xfId="3" applyFont="1" applyFill="1"/>
    <xf numFmtId="0" fontId="12" fillId="2" borderId="0" xfId="3" applyFont="1" applyFill="1"/>
    <xf numFmtId="0" fontId="12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Protection="1"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left"/>
      <protection locked="0"/>
    </xf>
    <xf numFmtId="0" fontId="14" fillId="2" borderId="0" xfId="3" applyFont="1" applyFill="1"/>
    <xf numFmtId="168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69" fontId="12" fillId="2" borderId="0" xfId="3" applyNumberFormat="1" applyFont="1" applyFill="1" applyAlignment="1">
      <alignment horizontal="center"/>
    </xf>
    <xf numFmtId="0" fontId="18" fillId="2" borderId="0" xfId="3" applyFont="1" applyFill="1"/>
    <xf numFmtId="0" fontId="11" fillId="2" borderId="21" xfId="3" applyFont="1" applyFill="1" applyBorder="1" applyAlignment="1">
      <alignment horizontal="right"/>
    </xf>
    <xf numFmtId="0" fontId="13" fillId="3" borderId="59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32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170" fontId="11" fillId="2" borderId="26" xfId="3" applyNumberFormat="1" applyFont="1" applyFill="1" applyBorder="1" applyAlignment="1">
      <alignment horizontal="center"/>
    </xf>
    <xf numFmtId="170" fontId="11" fillId="2" borderId="30" xfId="3" applyNumberFormat="1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/>
    </xf>
    <xf numFmtId="170" fontId="11" fillId="2" borderId="31" xfId="3" applyNumberFormat="1" applyFont="1" applyFill="1" applyBorder="1" applyAlignment="1">
      <alignment horizontal="center"/>
    </xf>
    <xf numFmtId="170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170" fontId="11" fillId="2" borderId="35" xfId="3" applyNumberFormat="1" applyFont="1" applyFill="1" applyBorder="1" applyAlignment="1">
      <alignment horizontal="center"/>
    </xf>
    <xf numFmtId="170" fontId="11" fillId="2" borderId="36" xfId="3" applyNumberFormat="1" applyFont="1" applyFill="1" applyBorder="1" applyAlignment="1">
      <alignment horizontal="center"/>
    </xf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0" fontId="12" fillId="6" borderId="38" xfId="3" applyNumberFormat="1" applyFont="1" applyFill="1" applyBorder="1" applyAlignment="1">
      <alignment horizontal="center"/>
    </xf>
    <xf numFmtId="170" fontId="12" fillId="6" borderId="39" xfId="3" applyNumberFormat="1" applyFont="1" applyFill="1" applyBorder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0" fontId="11" fillId="2" borderId="39" xfId="3" applyFont="1" applyFill="1" applyBorder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2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0" fontId="13" fillId="3" borderId="41" xfId="3" applyFont="1" applyFill="1" applyBorder="1" applyAlignment="1" applyProtection="1">
      <alignment horizontal="center"/>
      <protection locked="0"/>
    </xf>
    <xf numFmtId="1" fontId="11" fillId="2" borderId="0" xfId="3" applyNumberFormat="1" applyFont="1" applyFill="1" applyAlignment="1">
      <alignment horizontal="center"/>
    </xf>
    <xf numFmtId="0" fontId="11" fillId="2" borderId="29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0" fontId="12" fillId="7" borderId="13" xfId="3" applyNumberFormat="1" applyFont="1" applyFill="1" applyBorder="1" applyAlignment="1">
      <alignment horizontal="center"/>
    </xf>
    <xf numFmtId="170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0" fontId="4" fillId="2" borderId="0" xfId="3" applyFont="1" applyFill="1"/>
    <xf numFmtId="0" fontId="6" fillId="2" borderId="0" xfId="3" applyFont="1" applyFill="1"/>
    <xf numFmtId="0" fontId="12" fillId="2" borderId="60" xfId="3" applyFont="1" applyFill="1" applyBorder="1" applyAlignment="1">
      <alignment horizontal="center"/>
    </xf>
    <xf numFmtId="0" fontId="12" fillId="7" borderId="54" xfId="3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2" fillId="7" borderId="55" xfId="3" applyFont="1" applyFill="1" applyBorder="1" applyAlignment="1">
      <alignment horizontal="center" wrapText="1"/>
    </xf>
    <xf numFmtId="0" fontId="12" fillId="7" borderId="22" xfId="3" applyFont="1" applyFill="1" applyBorder="1" applyAlignment="1">
      <alignment horizontal="center" wrapText="1"/>
    </xf>
    <xf numFmtId="0" fontId="11" fillId="2" borderId="29" xfId="3" applyFont="1" applyFill="1" applyBorder="1" applyAlignment="1">
      <alignment horizontal="center"/>
    </xf>
    <xf numFmtId="166" fontId="14" fillId="3" borderId="4" xfId="3" applyNumberFormat="1" applyFont="1" applyFill="1" applyBorder="1" applyAlignment="1">
      <alignment horizontal="center" wrapText="1"/>
    </xf>
    <xf numFmtId="2" fontId="11" fillId="2" borderId="26" xfId="3" applyNumberFormat="1" applyFont="1" applyFill="1" applyBorder="1" applyAlignment="1">
      <alignment horizontal="center"/>
    </xf>
    <xf numFmtId="2" fontId="11" fillId="2" borderId="4" xfId="3" applyNumberFormat="1" applyFont="1" applyFill="1" applyBorder="1" applyAlignment="1">
      <alignment horizontal="center"/>
    </xf>
    <xf numFmtId="2" fontId="11" fillId="2" borderId="28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66" fontId="14" fillId="3" borderId="3" xfId="3" applyNumberFormat="1" applyFont="1" applyFill="1" applyBorder="1" applyAlignment="1">
      <alignment horizontal="center" wrapText="1"/>
    </xf>
    <xf numFmtId="2" fontId="11" fillId="2" borderId="31" xfId="3" applyNumberFormat="1" applyFont="1" applyFill="1" applyBorder="1" applyAlignment="1">
      <alignment horizontal="center"/>
    </xf>
    <xf numFmtId="2" fontId="11" fillId="2" borderId="3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center"/>
    </xf>
    <xf numFmtId="166" fontId="14" fillId="3" borderId="61" xfId="3" applyNumberFormat="1" applyFont="1" applyFill="1" applyBorder="1" applyAlignment="1">
      <alignment horizontal="center" wrapText="1"/>
    </xf>
    <xf numFmtId="2" fontId="11" fillId="2" borderId="38" xfId="3" applyNumberFormat="1" applyFont="1" applyFill="1" applyBorder="1" applyAlignment="1">
      <alignment horizontal="center"/>
    </xf>
    <xf numFmtId="2" fontId="11" fillId="2" borderId="61" xfId="3" applyNumberFormat="1" applyFont="1" applyFill="1" applyBorder="1" applyAlignment="1">
      <alignment horizontal="center"/>
    </xf>
    <xf numFmtId="2" fontId="11" fillId="2" borderId="44" xfId="3" applyNumberFormat="1" applyFont="1" applyFill="1" applyBorder="1" applyAlignment="1">
      <alignment horizontal="center"/>
    </xf>
    <xf numFmtId="0" fontId="11" fillId="2" borderId="24" xfId="3" applyFont="1" applyFill="1" applyBorder="1"/>
    <xf numFmtId="10" fontId="12" fillId="2" borderId="0" xfId="3" applyNumberFormat="1" applyFont="1" applyFill="1" applyAlignment="1">
      <alignment horizontal="center"/>
    </xf>
    <xf numFmtId="2" fontId="12" fillId="5" borderId="27" xfId="3" applyNumberFormat="1" applyFont="1" applyFill="1" applyBorder="1" applyAlignment="1">
      <alignment horizontal="center"/>
    </xf>
    <xf numFmtId="2" fontId="13" fillId="5" borderId="27" xfId="3" applyNumberFormat="1" applyFont="1" applyFill="1" applyBorder="1" applyAlignment="1">
      <alignment horizontal="center"/>
    </xf>
    <xf numFmtId="10" fontId="12" fillId="6" borderId="27" xfId="3" applyNumberFormat="1" applyFont="1" applyFill="1" applyBorder="1" applyAlignment="1">
      <alignment horizontal="center"/>
    </xf>
    <xf numFmtId="10" fontId="13" fillId="6" borderId="27" xfId="3" applyNumberFormat="1" applyFont="1" applyFill="1" applyBorder="1" applyAlignment="1">
      <alignment horizontal="center"/>
    </xf>
    <xf numFmtId="10" fontId="12" fillId="2" borderId="9" xfId="3" applyNumberFormat="1" applyFont="1" applyFill="1" applyBorder="1" applyAlignment="1">
      <alignment horizontal="center"/>
    </xf>
    <xf numFmtId="2" fontId="12" fillId="5" borderId="62" xfId="3" applyNumberFormat="1" applyFont="1" applyFill="1" applyBorder="1" applyAlignment="1">
      <alignment horizontal="center"/>
    </xf>
    <xf numFmtId="2" fontId="13" fillId="5" borderId="62" xfId="3" applyNumberFormat="1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171" fontId="12" fillId="2" borderId="0" xfId="3" applyNumberFormat="1" applyFont="1" applyFill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11" fillId="2" borderId="1" xfId="3" applyFont="1" applyFill="1" applyBorder="1" applyAlignment="1">
      <alignment horizontal="right"/>
    </xf>
    <xf numFmtId="2" fontId="11" fillId="2" borderId="1" xfId="3" applyNumberFormat="1" applyFont="1" applyFill="1" applyBorder="1" applyAlignment="1">
      <alignment horizontal="center"/>
    </xf>
    <xf numFmtId="0" fontId="14" fillId="3" borderId="1" xfId="3" applyFont="1" applyFill="1" applyBorder="1" applyAlignment="1" applyProtection="1">
      <alignment horizontal="center"/>
      <protection locked="0"/>
    </xf>
    <xf numFmtId="1" fontId="12" fillId="6" borderId="1" xfId="3" applyNumberFormat="1" applyFont="1" applyFill="1" applyBorder="1" applyAlignment="1">
      <alignment horizontal="center"/>
    </xf>
    <xf numFmtId="0" fontId="12" fillId="2" borderId="0" xfId="3" applyFont="1" applyFill="1" applyAlignment="1" applyProtection="1">
      <alignment horizontal="center"/>
      <protection locked="0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1" fillId="2" borderId="0" xfId="4" applyFont="1" applyFill="1"/>
    <xf numFmtId="0" fontId="0" fillId="2" borderId="0" xfId="4" applyFont="1" applyFill="1"/>
    <xf numFmtId="2" fontId="7" fillId="3" borderId="3" xfId="4" applyNumberFormat="1" applyFont="1" applyFill="1" applyBorder="1" applyAlignment="1" applyProtection="1">
      <alignment horizontal="center"/>
      <protection locked="0"/>
    </xf>
    <xf numFmtId="0" fontId="12" fillId="2" borderId="0" xfId="4" applyFont="1" applyFill="1" applyAlignment="1">
      <alignment vertical="center"/>
    </xf>
    <xf numFmtId="0" fontId="12" fillId="3" borderId="0" xfId="4" applyFont="1" applyFill="1" applyAlignment="1" applyProtection="1">
      <alignment horizontal="left" vertical="center"/>
      <protection locked="0"/>
    </xf>
    <xf numFmtId="0" fontId="11" fillId="2" borderId="0" xfId="4" applyFont="1" applyFill="1" applyAlignment="1">
      <alignment vertical="center"/>
    </xf>
    <xf numFmtId="0" fontId="11" fillId="3" borderId="0" xfId="4" applyFont="1" applyFill="1" applyAlignment="1" applyProtection="1">
      <alignment vertical="center"/>
      <protection locked="0"/>
    </xf>
    <xf numFmtId="168" fontId="14" fillId="3" borderId="0" xfId="4" applyNumberFormat="1" applyFont="1" applyFill="1" applyAlignment="1" applyProtection="1">
      <alignment horizontal="left" vertical="center"/>
      <protection locked="0"/>
    </xf>
    <xf numFmtId="168" fontId="11" fillId="2" borderId="0" xfId="4" applyNumberFormat="1" applyFont="1" applyFill="1" applyAlignment="1">
      <alignment horizontal="left" vertical="center"/>
    </xf>
    <xf numFmtId="0" fontId="3" fillId="2" borderId="0" xfId="4" applyFont="1" applyFill="1" applyAlignment="1">
      <alignment horizontal="left" vertical="center"/>
    </xf>
    <xf numFmtId="0" fontId="12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right" vertical="center"/>
    </xf>
    <xf numFmtId="0" fontId="13" fillId="3" borderId="0" xfId="4" applyFont="1" applyFill="1" applyAlignment="1" applyProtection="1">
      <alignment horizontal="center" vertical="center"/>
      <protection locked="0"/>
    </xf>
    <xf numFmtId="0" fontId="14" fillId="3" borderId="0" xfId="4" applyFont="1" applyFill="1" applyAlignment="1" applyProtection="1">
      <alignment horizontal="center" vertical="center"/>
      <protection locked="0"/>
    </xf>
    <xf numFmtId="0" fontId="18" fillId="2" borderId="0" xfId="4" applyFont="1" applyFill="1" applyAlignment="1">
      <alignment vertical="center"/>
    </xf>
    <xf numFmtId="0" fontId="15" fillId="2" borderId="0" xfId="4" applyFont="1" applyFill="1" applyAlignment="1">
      <alignment vertical="center" wrapText="1"/>
    </xf>
    <xf numFmtId="0" fontId="2" fillId="2" borderId="0" xfId="4" applyFont="1" applyFill="1"/>
    <xf numFmtId="0" fontId="12" fillId="2" borderId="0" xfId="4" applyFont="1" applyFill="1" applyAlignment="1">
      <alignment horizontal="center"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Alignment="1">
      <alignment vertical="center"/>
    </xf>
    <xf numFmtId="2" fontId="13" fillId="3" borderId="0" xfId="4" applyNumberFormat="1" applyFont="1" applyFill="1" applyAlignment="1" applyProtection="1">
      <alignment horizontal="center" vertic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 vertical="center"/>
    </xf>
    <xf numFmtId="0" fontId="19" fillId="2" borderId="0" xfId="4" applyFont="1" applyFill="1" applyAlignment="1">
      <alignment horizontal="left" vertical="center" wrapText="1"/>
    </xf>
    <xf numFmtId="169" fontId="12" fillId="2" borderId="0" xfId="4" applyNumberFormat="1" applyFont="1" applyFill="1" applyAlignment="1">
      <alignment horizontal="center" vertical="center"/>
    </xf>
    <xf numFmtId="0" fontId="11" fillId="2" borderId="21" xfId="4" applyFont="1" applyFill="1" applyBorder="1" applyAlignment="1">
      <alignment horizontal="right" vertical="center"/>
    </xf>
    <xf numFmtId="0" fontId="13" fillId="3" borderId="22" xfId="4" applyFont="1" applyFill="1" applyBorder="1" applyAlignment="1" applyProtection="1">
      <alignment horizontal="center" vertical="center"/>
      <protection locked="0"/>
    </xf>
    <xf numFmtId="0" fontId="11" fillId="2" borderId="23" xfId="4" applyFont="1" applyFill="1" applyBorder="1" applyAlignment="1">
      <alignment horizontal="right" vertical="center"/>
    </xf>
    <xf numFmtId="0" fontId="13" fillId="3" borderId="24" xfId="4" applyFont="1" applyFill="1" applyBorder="1" applyAlignment="1" applyProtection="1">
      <alignment horizontal="center" vertical="center"/>
      <protection locked="0"/>
    </xf>
    <xf numFmtId="0" fontId="12" fillId="2" borderId="10" xfId="4" applyFont="1" applyFill="1" applyBorder="1" applyAlignment="1">
      <alignment horizontal="center" vertical="center"/>
    </xf>
    <xf numFmtId="0" fontId="12" fillId="2" borderId="53" xfId="4" applyFont="1" applyFill="1" applyBorder="1" applyAlignment="1">
      <alignment horizontal="center" vertical="center"/>
    </xf>
    <xf numFmtId="0" fontId="12" fillId="2" borderId="26" xfId="4" applyFont="1" applyFill="1" applyBorder="1" applyAlignment="1">
      <alignment horizontal="center" vertical="center"/>
    </xf>
    <xf numFmtId="0" fontId="12" fillId="2" borderId="30" xfId="4" applyFont="1" applyFill="1" applyBorder="1" applyAlignment="1">
      <alignment horizontal="center" vertical="center"/>
    </xf>
    <xf numFmtId="0" fontId="11" fillId="2" borderId="48" xfId="4" applyFont="1" applyFill="1" applyBorder="1" applyAlignment="1">
      <alignment horizontal="center" vertical="center"/>
    </xf>
    <xf numFmtId="170" fontId="11" fillId="2" borderId="48" xfId="4" applyNumberFormat="1" applyFont="1" applyFill="1" applyBorder="1" applyAlignment="1">
      <alignment horizontal="center" vertical="center"/>
    </xf>
    <xf numFmtId="170" fontId="11" fillId="2" borderId="28" xfId="4" applyNumberFormat="1" applyFont="1" applyFill="1" applyBorder="1" applyAlignment="1">
      <alignment horizontal="center" vertical="center"/>
    </xf>
    <xf numFmtId="0" fontId="11" fillId="2" borderId="0" xfId="4" applyFont="1" applyFill="1" applyAlignment="1">
      <alignment horizontal="center" vertical="center"/>
    </xf>
    <xf numFmtId="170" fontId="11" fillId="2" borderId="0" xfId="4" applyNumberFormat="1" applyFont="1" applyFill="1" applyAlignment="1">
      <alignment horizontal="center" vertical="center"/>
    </xf>
    <xf numFmtId="170" fontId="11" fillId="2" borderId="24" xfId="4" applyNumberFormat="1" applyFont="1" applyFill="1" applyBorder="1" applyAlignment="1">
      <alignment horizontal="center" vertical="center"/>
    </xf>
    <xf numFmtId="0" fontId="11" fillId="2" borderId="0" xfId="4" applyFont="1" applyFill="1"/>
    <xf numFmtId="0" fontId="11" fillId="2" borderId="7" xfId="4" applyFont="1" applyFill="1" applyBorder="1" applyAlignment="1">
      <alignment horizontal="center" vertical="center"/>
    </xf>
    <xf numFmtId="0" fontId="13" fillId="3" borderId="65" xfId="4" applyFont="1" applyFill="1" applyBorder="1" applyAlignment="1" applyProtection="1">
      <alignment horizontal="center" vertical="center"/>
      <protection locked="0"/>
    </xf>
    <xf numFmtId="170" fontId="11" fillId="2" borderId="7" xfId="4" applyNumberFormat="1" applyFont="1" applyFill="1" applyBorder="1" applyAlignment="1">
      <alignment horizontal="center" vertical="center"/>
    </xf>
    <xf numFmtId="170" fontId="11" fillId="2" borderId="33" xfId="4" applyNumberFormat="1" applyFont="1" applyFill="1" applyBorder="1" applyAlignment="1">
      <alignment horizontal="center" vertical="center"/>
    </xf>
    <xf numFmtId="170" fontId="12" fillId="6" borderId="49" xfId="4" applyNumberFormat="1" applyFont="1" applyFill="1" applyBorder="1" applyAlignment="1">
      <alignment horizontal="center" vertical="center"/>
    </xf>
    <xf numFmtId="170" fontId="12" fillId="6" borderId="38" xfId="4" applyNumberFormat="1" applyFont="1" applyFill="1" applyBorder="1" applyAlignment="1">
      <alignment horizontal="center" vertical="center"/>
    </xf>
    <xf numFmtId="1" fontId="12" fillId="6" borderId="50" xfId="4" applyNumberFormat="1" applyFont="1" applyFill="1" applyBorder="1" applyAlignment="1">
      <alignment horizontal="center" vertical="center"/>
    </xf>
    <xf numFmtId="170" fontId="12" fillId="6" borderId="39" xfId="4" applyNumberFormat="1" applyFont="1" applyFill="1" applyBorder="1" applyAlignment="1">
      <alignment horizontal="center" vertical="center"/>
    </xf>
    <xf numFmtId="0" fontId="2" fillId="2" borderId="0" xfId="4" applyFont="1" applyFill="1" applyAlignment="1">
      <alignment horizontal="center" vertical="center"/>
    </xf>
    <xf numFmtId="0" fontId="11" fillId="2" borderId="40" xfId="4" applyFont="1" applyFill="1" applyBorder="1" applyAlignment="1">
      <alignment horizontal="right"/>
    </xf>
    <xf numFmtId="0" fontId="11" fillId="2" borderId="11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 vertical="center"/>
    </xf>
    <xf numFmtId="2" fontId="11" fillId="6" borderId="41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 vertical="center"/>
    </xf>
    <xf numFmtId="2" fontId="11" fillId="7" borderId="27" xfId="4" applyNumberFormat="1" applyFont="1" applyFill="1" applyBorder="1" applyAlignment="1">
      <alignment horizontal="center" vertical="center"/>
    </xf>
    <xf numFmtId="2" fontId="11" fillId="2" borderId="0" xfId="4" applyNumberFormat="1" applyFont="1" applyFill="1" applyAlignment="1">
      <alignment horizontal="center" vertical="center"/>
    </xf>
    <xf numFmtId="2" fontId="11" fillId="7" borderId="41" xfId="4" applyNumberFormat="1" applyFont="1" applyFill="1" applyBorder="1" applyAlignment="1">
      <alignment horizontal="center" vertical="center"/>
    </xf>
    <xf numFmtId="2" fontId="11" fillId="6" borderId="17" xfId="4" applyNumberFormat="1" applyFont="1" applyFill="1" applyBorder="1" applyAlignment="1">
      <alignment horizontal="center" vertical="center"/>
    </xf>
    <xf numFmtId="0" fontId="11" fillId="2" borderId="64" xfId="4" applyFont="1" applyFill="1" applyBorder="1" applyAlignment="1">
      <alignment horizontal="right" vertical="center"/>
    </xf>
    <xf numFmtId="1" fontId="11" fillId="2" borderId="0" xfId="4" applyNumberFormat="1" applyFont="1" applyFill="1" applyAlignment="1">
      <alignment horizontal="center" vertical="center"/>
    </xf>
    <xf numFmtId="0" fontId="11" fillId="2" borderId="25" xfId="4" applyFont="1" applyFill="1" applyBorder="1" applyAlignment="1">
      <alignment horizontal="right" vertical="center"/>
    </xf>
    <xf numFmtId="0" fontId="11" fillId="2" borderId="53" xfId="4" applyFont="1" applyFill="1" applyBorder="1" applyAlignment="1">
      <alignment horizontal="right" vertical="center"/>
    </xf>
    <xf numFmtId="2" fontId="11" fillId="6" borderId="30" xfId="4" applyNumberFormat="1" applyFont="1" applyFill="1" applyBorder="1" applyAlignment="1">
      <alignment horizontal="center" vertical="center"/>
    </xf>
    <xf numFmtId="0" fontId="11" fillId="2" borderId="16" xfId="4" applyFont="1" applyFill="1" applyBorder="1" applyAlignment="1">
      <alignment horizontal="right" vertical="center"/>
    </xf>
    <xf numFmtId="170" fontId="12" fillId="7" borderId="16" xfId="4" applyNumberFormat="1" applyFont="1" applyFill="1" applyBorder="1" applyAlignment="1">
      <alignment horizontal="center" vertical="center"/>
    </xf>
    <xf numFmtId="0" fontId="11" fillId="2" borderId="41" xfId="4" applyFont="1" applyFill="1" applyBorder="1" applyAlignment="1">
      <alignment horizontal="right" vertical="center"/>
    </xf>
    <xf numFmtId="10" fontId="11" fillId="6" borderId="41" xfId="4" applyNumberFormat="1" applyFont="1" applyFill="1" applyBorder="1" applyAlignment="1">
      <alignment horizontal="center" vertical="center"/>
    </xf>
    <xf numFmtId="0" fontId="11" fillId="2" borderId="17" xfId="4" applyFont="1" applyFill="1" applyBorder="1" applyAlignment="1">
      <alignment horizontal="right" vertical="center"/>
    </xf>
    <xf numFmtId="0" fontId="11" fillId="7" borderId="17" xfId="4" applyFont="1" applyFill="1" applyBorder="1" applyAlignment="1">
      <alignment horizontal="center" vertical="center"/>
    </xf>
    <xf numFmtId="0" fontId="3" fillId="2" borderId="0" xfId="4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166" fontId="12" fillId="2" borderId="0" xfId="4" applyNumberFormat="1" applyFont="1" applyFill="1" applyAlignment="1" applyProtection="1">
      <alignment horizontal="center" vertical="center"/>
      <protection locked="0"/>
    </xf>
    <xf numFmtId="2" fontId="12" fillId="2" borderId="13" xfId="4" applyNumberFormat="1" applyFont="1" applyFill="1" applyBorder="1" applyAlignment="1">
      <alignment horizontal="center" vertical="center"/>
    </xf>
    <xf numFmtId="0" fontId="12" fillId="2" borderId="13" xfId="4" applyFont="1" applyFill="1" applyBorder="1" applyAlignment="1">
      <alignment horizontal="center" vertical="center"/>
    </xf>
    <xf numFmtId="0" fontId="12" fillId="2" borderId="22" xfId="4" applyFont="1" applyFill="1" applyBorder="1" applyAlignment="1">
      <alignment horizontal="center" vertical="center"/>
    </xf>
    <xf numFmtId="0" fontId="11" fillId="2" borderId="13" xfId="4" applyFont="1" applyFill="1" applyBorder="1" applyAlignment="1">
      <alignment horizontal="center" vertical="center"/>
    </xf>
    <xf numFmtId="2" fontId="11" fillId="2" borderId="21" xfId="4" applyNumberFormat="1" applyFont="1" applyFill="1" applyBorder="1" applyAlignment="1">
      <alignment horizontal="center" vertic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 vertical="center"/>
    </xf>
    <xf numFmtId="0" fontId="13" fillId="3" borderId="23" xfId="4" applyFont="1" applyFill="1" applyBorder="1" applyAlignment="1" applyProtection="1">
      <alignment horizontal="center" vertical="center"/>
      <protection locked="0"/>
    </xf>
    <xf numFmtId="2" fontId="11" fillId="2" borderId="23" xfId="4" applyNumberFormat="1" applyFont="1" applyFill="1" applyBorder="1" applyAlignment="1">
      <alignment horizontal="center" vertical="center"/>
    </xf>
    <xf numFmtId="10" fontId="11" fillId="2" borderId="14" xfId="4" applyNumberFormat="1" applyFont="1" applyFill="1" applyBorder="1" applyAlignment="1">
      <alignment horizontal="center" vertical="center"/>
    </xf>
    <xf numFmtId="0" fontId="11" fillId="2" borderId="15" xfId="4" applyFont="1" applyFill="1" applyBorder="1" applyAlignment="1">
      <alignment horizontal="center" vertical="center"/>
    </xf>
    <xf numFmtId="2" fontId="11" fillId="2" borderId="13" xfId="4" applyNumberFormat="1" applyFont="1" applyFill="1" applyBorder="1" applyAlignment="1">
      <alignment horizontal="center" vertical="center"/>
    </xf>
    <xf numFmtId="10" fontId="11" fillId="2" borderId="22" xfId="4" applyNumberFormat="1" applyFont="1" applyFill="1" applyBorder="1" applyAlignment="1">
      <alignment horizontal="center" vertical="center"/>
    </xf>
    <xf numFmtId="2" fontId="11" fillId="2" borderId="14" xfId="4" applyNumberFormat="1" applyFont="1" applyFill="1" applyBorder="1" applyAlignment="1">
      <alignment horizontal="center" vertical="center"/>
    </xf>
    <xf numFmtId="10" fontId="11" fillId="2" borderId="24" xfId="4" applyNumberFormat="1" applyFont="1" applyFill="1" applyBorder="1" applyAlignment="1">
      <alignment horizontal="center" vertical="center"/>
    </xf>
    <xf numFmtId="2" fontId="11" fillId="2" borderId="15" xfId="4" applyNumberFormat="1" applyFont="1" applyFill="1" applyBorder="1" applyAlignment="1">
      <alignment horizontal="center" vertical="center"/>
    </xf>
    <xf numFmtId="10" fontId="11" fillId="2" borderId="44" xfId="4" applyNumberFormat="1" applyFont="1" applyFill="1" applyBorder="1" applyAlignment="1">
      <alignment horizontal="center" vertical="center"/>
    </xf>
    <xf numFmtId="0" fontId="11" fillId="2" borderId="43" xfId="4" applyFont="1" applyFill="1" applyBorder="1" applyAlignment="1">
      <alignment horizontal="right" vertical="center"/>
    </xf>
    <xf numFmtId="2" fontId="12" fillId="2" borderId="44" xfId="4" applyNumberFormat="1" applyFont="1" applyFill="1" applyBorder="1" applyAlignment="1">
      <alignment horizontal="center" vertic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 vertical="center"/>
    </xf>
    <xf numFmtId="10" fontId="13" fillId="7" borderId="33" xfId="4" applyNumberFormat="1" applyFont="1" applyFill="1" applyBorder="1" applyAlignment="1">
      <alignment horizontal="center" vertical="center"/>
    </xf>
    <xf numFmtId="10" fontId="13" fillId="6" borderId="57" xfId="4" applyNumberFormat="1" applyFont="1" applyFill="1" applyBorder="1" applyAlignment="1">
      <alignment horizontal="center" vertical="center"/>
    </xf>
    <xf numFmtId="0" fontId="13" fillId="7" borderId="46" xfId="4" applyFont="1" applyFill="1" applyBorder="1" applyAlignment="1">
      <alignment horizontal="center" vertical="center"/>
    </xf>
    <xf numFmtId="165" fontId="13" fillId="2" borderId="0" xfId="4" applyNumberFormat="1" applyFont="1" applyFill="1" applyAlignment="1">
      <alignment horizontal="center" vertical="center"/>
    </xf>
    <xf numFmtId="0" fontId="12" fillId="2" borderId="47" xfId="4" applyFont="1" applyFill="1" applyBorder="1" applyAlignment="1">
      <alignment horizontal="center" vertical="center"/>
    </xf>
    <xf numFmtId="0" fontId="12" fillId="2" borderId="40" xfId="4" applyFont="1" applyFill="1" applyBorder="1" applyAlignment="1">
      <alignment horizontal="center" vertical="center"/>
    </xf>
    <xf numFmtId="0" fontId="12" fillId="2" borderId="25" xfId="4" applyFont="1" applyFill="1" applyBorder="1" applyAlignment="1">
      <alignment horizontal="center" vertical="center"/>
    </xf>
    <xf numFmtId="0" fontId="13" fillId="3" borderId="29" xfId="4" applyFont="1" applyFill="1" applyBorder="1" applyAlignment="1" applyProtection="1">
      <alignment horizontal="center" vertical="center"/>
      <protection locked="0"/>
    </xf>
    <xf numFmtId="170" fontId="11" fillId="2" borderId="26" xfId="4" applyNumberFormat="1" applyFont="1" applyFill="1" applyBorder="1" applyAlignment="1">
      <alignment horizontal="center" vertical="center"/>
    </xf>
    <xf numFmtId="170" fontId="11" fillId="2" borderId="30" xfId="4" applyNumberFormat="1" applyFont="1" applyFill="1" applyBorder="1" applyAlignment="1">
      <alignment horizontal="center" vertical="center"/>
    </xf>
    <xf numFmtId="170" fontId="11" fillId="2" borderId="31" xfId="4" applyNumberFormat="1" applyFont="1" applyFill="1" applyBorder="1" applyAlignment="1">
      <alignment horizontal="center" vertical="center"/>
    </xf>
    <xf numFmtId="170" fontId="11" fillId="2" borderId="32" xfId="4" applyNumberFormat="1" applyFont="1" applyFill="1" applyBorder="1" applyAlignment="1">
      <alignment horizontal="center" vertical="center"/>
    </xf>
    <xf numFmtId="0" fontId="13" fillId="3" borderId="34" xfId="4" applyFont="1" applyFill="1" applyBorder="1" applyAlignment="1" applyProtection="1">
      <alignment horizontal="center" vertical="center"/>
      <protection locked="0"/>
    </xf>
    <xf numFmtId="170" fontId="11" fillId="2" borderId="35" xfId="4" applyNumberFormat="1" applyFont="1" applyFill="1" applyBorder="1" applyAlignment="1">
      <alignment horizontal="center" vertical="center"/>
    </xf>
    <xf numFmtId="1" fontId="13" fillId="3" borderId="34" xfId="4" applyNumberFormat="1" applyFont="1" applyFill="1" applyBorder="1" applyAlignment="1" applyProtection="1">
      <alignment horizontal="center" vertical="center"/>
      <protection locked="0"/>
    </xf>
    <xf numFmtId="170" fontId="11" fillId="2" borderId="36" xfId="4" applyNumberFormat="1" applyFont="1" applyFill="1" applyBorder="1" applyAlignment="1">
      <alignment horizontal="center" vertical="center"/>
    </xf>
    <xf numFmtId="170" fontId="12" fillId="6" borderId="50" xfId="4" applyNumberFormat="1" applyFont="1" applyFill="1" applyBorder="1" applyAlignment="1">
      <alignment horizontal="center" vertical="center"/>
    </xf>
    <xf numFmtId="170" fontId="12" fillId="6" borderId="15" xfId="4" applyNumberFormat="1" applyFont="1" applyFill="1" applyBorder="1" applyAlignment="1">
      <alignment horizontal="center" vertical="center"/>
    </xf>
    <xf numFmtId="0" fontId="11" fillId="2" borderId="44" xfId="4" applyFont="1" applyFill="1" applyBorder="1" applyAlignment="1">
      <alignment horizontal="center" vertical="center"/>
    </xf>
    <xf numFmtId="164" fontId="11" fillId="6" borderId="27" xfId="4" applyNumberFormat="1" applyFont="1" applyFill="1" applyBorder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4" fontId="11" fillId="6" borderId="17" xfId="4" applyNumberFormat="1" applyFont="1" applyFill="1" applyBorder="1" applyAlignment="1">
      <alignment horizontal="center" vertical="center"/>
    </xf>
    <xf numFmtId="0" fontId="2" fillId="2" borderId="0" xfId="4" applyFont="1" applyFill="1" applyAlignment="1">
      <alignment vertical="center"/>
    </xf>
    <xf numFmtId="166" fontId="11" fillId="7" borderId="27" xfId="4" applyNumberFormat="1" applyFont="1" applyFill="1" applyBorder="1" applyAlignment="1">
      <alignment horizontal="center" vertical="center"/>
    </xf>
    <xf numFmtId="2" fontId="2" fillId="2" borderId="0" xfId="4" applyNumberFormat="1" applyFont="1" applyFill="1" applyAlignment="1">
      <alignment horizontal="center" vertical="center"/>
    </xf>
    <xf numFmtId="2" fontId="11" fillId="7" borderId="30" xfId="4" applyNumberFormat="1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wrapText="1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 vertical="center"/>
    </xf>
    <xf numFmtId="0" fontId="12" fillId="7" borderId="17" xfId="4" applyFont="1" applyFill="1" applyBorder="1" applyAlignment="1">
      <alignment horizontal="center" vertical="center"/>
    </xf>
    <xf numFmtId="0" fontId="12" fillId="2" borderId="54" xfId="4" applyFont="1" applyFill="1" applyBorder="1" applyAlignment="1">
      <alignment horizontal="center" vertical="center"/>
    </xf>
    <xf numFmtId="0" fontId="12" fillId="2" borderId="55" xfId="4" applyFont="1" applyFill="1" applyBorder="1" applyAlignment="1">
      <alignment vertical="center"/>
    </xf>
    <xf numFmtId="0" fontId="12" fillId="2" borderId="22" xfId="4" applyFont="1" applyFill="1" applyBorder="1" applyAlignment="1">
      <alignment horizontal="center" vertical="center" wrapText="1"/>
    </xf>
    <xf numFmtId="0" fontId="11" fillId="2" borderId="23" xfId="4" applyFont="1" applyFill="1" applyBorder="1" applyAlignment="1">
      <alignment horizontal="center" vertical="center"/>
    </xf>
    <xf numFmtId="2" fontId="11" fillId="2" borderId="26" xfId="4" applyNumberFormat="1" applyFont="1" applyFill="1" applyBorder="1" applyAlignment="1">
      <alignment horizontal="center" vertical="center"/>
    </xf>
    <xf numFmtId="10" fontId="11" fillId="2" borderId="30" xfId="4" applyNumberFormat="1" applyFont="1" applyFill="1" applyBorder="1" applyAlignment="1">
      <alignment horizontal="center" vertical="center"/>
    </xf>
    <xf numFmtId="2" fontId="11" fillId="2" borderId="31" xfId="4" applyNumberFormat="1" applyFont="1" applyFill="1" applyBorder="1" applyAlignment="1">
      <alignment horizontal="center" vertical="center"/>
    </xf>
    <xf numFmtId="10" fontId="11" fillId="2" borderId="32" xfId="4" applyNumberFormat="1" applyFont="1" applyFill="1" applyBorder="1" applyAlignment="1">
      <alignment horizontal="center" vertical="center"/>
    </xf>
    <xf numFmtId="0" fontId="11" fillId="2" borderId="34" xfId="4" applyFont="1" applyFill="1" applyBorder="1" applyAlignment="1">
      <alignment horizontal="center" vertical="center"/>
    </xf>
    <xf numFmtId="2" fontId="11" fillId="2" borderId="35" xfId="4" applyNumberFormat="1" applyFont="1" applyFill="1" applyBorder="1" applyAlignment="1">
      <alignment horizontal="center" vertical="center"/>
    </xf>
    <xf numFmtId="10" fontId="11" fillId="2" borderId="36" xfId="4" applyNumberFormat="1" applyFont="1" applyFill="1" applyBorder="1" applyAlignment="1">
      <alignment horizontal="center" vertical="center"/>
    </xf>
    <xf numFmtId="2" fontId="11" fillId="2" borderId="24" xfId="4" applyNumberFormat="1" applyFont="1" applyFill="1" applyBorder="1" applyAlignment="1">
      <alignment horizontal="center" vertical="center"/>
    </xf>
    <xf numFmtId="170" fontId="12" fillId="2" borderId="0" xfId="4" applyNumberFormat="1" applyFont="1" applyFill="1" applyAlignment="1">
      <alignment horizontal="center" vertical="center"/>
    </xf>
    <xf numFmtId="170" fontId="11" fillId="2" borderId="2" xfId="4" applyNumberFormat="1" applyFont="1" applyFill="1" applyBorder="1" applyAlignment="1">
      <alignment horizontal="right" vertical="center"/>
    </xf>
    <xf numFmtId="10" fontId="13" fillId="7" borderId="27" xfId="4" applyNumberFormat="1" applyFont="1" applyFill="1" applyBorder="1" applyAlignment="1">
      <alignment horizontal="center" vertical="center"/>
    </xf>
    <xf numFmtId="0" fontId="11" fillId="2" borderId="23" xfId="4" applyFont="1" applyFill="1" applyBorder="1" applyAlignment="1">
      <alignment vertical="center"/>
    </xf>
    <xf numFmtId="0" fontId="11" fillId="2" borderId="6" xfId="4" applyFont="1" applyFill="1" applyBorder="1" applyAlignment="1">
      <alignment vertical="center"/>
    </xf>
    <xf numFmtId="10" fontId="13" fillId="6" borderId="27" xfId="4" applyNumberFormat="1" applyFont="1" applyFill="1" applyBorder="1" applyAlignment="1">
      <alignment horizontal="center" vertical="center"/>
    </xf>
    <xf numFmtId="0" fontId="11" fillId="2" borderId="43" xfId="4" applyFont="1" applyFill="1" applyBorder="1" applyAlignment="1">
      <alignment vertical="center"/>
    </xf>
    <xf numFmtId="0" fontId="11" fillId="2" borderId="63" xfId="4" applyFont="1" applyFill="1" applyBorder="1" applyAlignment="1">
      <alignment horizontal="center" vertical="center"/>
    </xf>
    <xf numFmtId="0" fontId="11" fillId="2" borderId="56" xfId="4" applyFont="1" applyFill="1" applyBorder="1" applyAlignment="1">
      <alignment horizontal="right" vertical="center"/>
    </xf>
    <xf numFmtId="0" fontId="13" fillId="7" borderId="17" xfId="4" applyFont="1" applyFill="1" applyBorder="1" applyAlignment="1">
      <alignment horizontal="center" vertical="center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2" fillId="3" borderId="0" xfId="4" applyFont="1" applyFill="1" applyAlignment="1" applyProtection="1">
      <alignment horizontal="center"/>
      <protection locked="0"/>
    </xf>
    <xf numFmtId="0" fontId="11" fillId="2" borderId="0" xfId="4" applyFont="1" applyFill="1" applyAlignment="1">
      <alignment horizontal="right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0" fontId="11" fillId="2" borderId="21" xfId="4" applyFont="1" applyFill="1" applyBorder="1" applyAlignment="1">
      <alignment horizontal="right"/>
    </xf>
    <xf numFmtId="0" fontId="13" fillId="3" borderId="59" xfId="4" applyFont="1" applyFill="1" applyBorder="1" applyAlignment="1" applyProtection="1">
      <alignment horizontal="center" vertic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32" xfId="4" applyFont="1" applyFill="1" applyBorder="1" applyAlignment="1" applyProtection="1">
      <alignment horizontal="center" vertical="center"/>
      <protection locked="0"/>
    </xf>
    <xf numFmtId="0" fontId="12" fillId="2" borderId="10" xfId="4" applyFont="1" applyFill="1" applyBorder="1" applyAlignment="1">
      <alignment horizontal="center"/>
    </xf>
    <xf numFmtId="0" fontId="12" fillId="2" borderId="53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170" fontId="11" fillId="2" borderId="30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170" fontId="11" fillId="2" borderId="32" xfId="4" applyNumberFormat="1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0" fontId="11" fillId="2" borderId="36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0" fontId="12" fillId="6" borderId="39" xfId="4" applyNumberFormat="1" applyFont="1" applyFill="1" applyBorder="1" applyAlignment="1">
      <alignment horizontal="center"/>
    </xf>
    <xf numFmtId="1" fontId="12" fillId="6" borderId="44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13" xfId="4" applyFont="1" applyFill="1" applyBorder="1" applyAlignment="1" applyProtection="1">
      <alignment horizontal="center" vertic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6" borderId="41" xfId="4" applyNumberFormat="1" applyFont="1" applyFill="1" applyBorder="1" applyAlignment="1">
      <alignment horizontal="center"/>
    </xf>
    <xf numFmtId="170" fontId="11" fillId="2" borderId="39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6" borderId="17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1" fontId="11" fillId="2" borderId="0" xfId="4" applyNumberFormat="1" applyFont="1" applyFill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37" xfId="4" applyFont="1" applyFill="1" applyBorder="1" applyAlignment="1">
      <alignment horizontal="right"/>
    </xf>
    <xf numFmtId="2" fontId="11" fillId="7" borderId="62" xfId="4" applyNumberFormat="1" applyFont="1" applyFill="1" applyBorder="1" applyAlignment="1">
      <alignment horizontal="center"/>
    </xf>
    <xf numFmtId="170" fontId="11" fillId="2" borderId="0" xfId="4" applyNumberFormat="1" applyFont="1" applyFill="1" applyAlignment="1">
      <alignment horizontal="center"/>
    </xf>
    <xf numFmtId="0" fontId="11" fillId="2" borderId="45" xfId="4" applyFont="1" applyFill="1" applyBorder="1" applyAlignment="1">
      <alignment horizontal="right"/>
    </xf>
    <xf numFmtId="170" fontId="12" fillId="7" borderId="45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2" fillId="6" borderId="41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2" fillId="7" borderId="17" xfId="4" applyFont="1" applyFill="1" applyBorder="1" applyAlignment="1">
      <alignment horizontal="center"/>
    </xf>
    <xf numFmtId="0" fontId="3" fillId="2" borderId="0" xfId="4" applyFont="1" applyFill="1"/>
    <xf numFmtId="0" fontId="12" fillId="2" borderId="47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55" xfId="4" applyFont="1" applyFill="1" applyBorder="1"/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0" fontId="13" fillId="3" borderId="26" xfId="4" applyFont="1" applyFill="1" applyBorder="1" applyAlignment="1" applyProtection="1">
      <alignment horizontal="center" vertical="center"/>
      <protection locked="0"/>
    </xf>
    <xf numFmtId="2" fontId="11" fillId="2" borderId="4" xfId="4" applyNumberFormat="1" applyFont="1" applyFill="1" applyBorder="1" applyAlignment="1">
      <alignment horizontal="center"/>
    </xf>
    <xf numFmtId="10" fontId="11" fillId="2" borderId="28" xfId="4" applyNumberFormat="1" applyFont="1" applyFill="1" applyBorder="1" applyAlignment="1">
      <alignment horizontal="center"/>
    </xf>
    <xf numFmtId="0" fontId="13" fillId="3" borderId="31" xfId="4" applyFont="1" applyFill="1" applyBorder="1" applyAlignment="1" applyProtection="1">
      <alignment horizontal="center" vertical="center"/>
      <protection locked="0"/>
    </xf>
    <xf numFmtId="2" fontId="11" fillId="2" borderId="3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0" fontId="13" fillId="3" borderId="35" xfId="4" applyFont="1" applyFill="1" applyBorder="1" applyAlignment="1" applyProtection="1">
      <alignment horizontal="center" vertical="center"/>
      <protection locked="0"/>
    </xf>
    <xf numFmtId="2" fontId="11" fillId="2" borderId="5" xfId="4" applyNumberFormat="1" applyFont="1" applyFill="1" applyBorder="1" applyAlignment="1">
      <alignment horizontal="center"/>
    </xf>
    <xf numFmtId="10" fontId="11" fillId="2" borderId="33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0" fontId="12" fillId="2" borderId="0" xfId="4" applyNumberFormat="1" applyFont="1" applyFill="1" applyAlignment="1">
      <alignment horizontal="center"/>
    </xf>
    <xf numFmtId="170" fontId="11" fillId="2" borderId="1" xfId="4" applyNumberFormat="1" applyFont="1" applyFill="1" applyBorder="1" applyAlignment="1">
      <alignment horizontal="right"/>
    </xf>
    <xf numFmtId="10" fontId="13" fillId="7" borderId="57" xfId="4" applyNumberFormat="1" applyFont="1" applyFill="1" applyBorder="1" applyAlignment="1">
      <alignment horizontal="center"/>
    </xf>
    <xf numFmtId="0" fontId="11" fillId="2" borderId="23" xfId="4" applyFont="1" applyFill="1" applyBorder="1"/>
    <xf numFmtId="0" fontId="11" fillId="2" borderId="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9" xfId="4" applyFont="1" applyFill="1" applyBorder="1" applyAlignment="1">
      <alignment horizontal="center"/>
    </xf>
    <xf numFmtId="0" fontId="11" fillId="2" borderId="66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70" fontId="11" fillId="2" borderId="47" xfId="4" applyNumberFormat="1" applyFont="1" applyFill="1" applyBorder="1" applyAlignment="1">
      <alignment horizontal="right"/>
    </xf>
    <xf numFmtId="165" fontId="13" fillId="7" borderId="52" xfId="4" applyNumberFormat="1" applyFont="1" applyFill="1" applyBorder="1" applyAlignment="1">
      <alignment horizontal="center"/>
    </xf>
    <xf numFmtId="165" fontId="13" fillId="6" borderId="27" xfId="4" applyNumberFormat="1" applyFont="1" applyFill="1" applyBorder="1" applyAlignment="1">
      <alignment horizontal="center"/>
    </xf>
    <xf numFmtId="0" fontId="11" fillId="2" borderId="67" xfId="4" applyFont="1" applyFill="1" applyBorder="1" applyAlignment="1">
      <alignment horizontal="right"/>
    </xf>
    <xf numFmtId="0" fontId="13" fillId="7" borderId="62" xfId="4" applyFont="1" applyFill="1" applyBorder="1" applyAlignment="1">
      <alignment horizontal="center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 applyAlignment="1">
      <alignment vertical="center"/>
    </xf>
    <xf numFmtId="0" fontId="11" fillId="2" borderId="10" xfId="4" applyFont="1" applyFill="1" applyBorder="1" applyAlignment="1">
      <alignment horizontal="center" vertical="center"/>
    </xf>
    <xf numFmtId="0" fontId="11" fillId="2" borderId="7" xfId="4" applyFont="1" applyFill="1" applyBorder="1" applyAlignment="1" applyProtection="1">
      <alignment vertical="center"/>
      <protection locked="0"/>
    </xf>
    <xf numFmtId="0" fontId="11" fillId="2" borderId="7" xfId="4" applyFont="1" applyFill="1" applyBorder="1" applyAlignment="1">
      <alignment vertical="center"/>
    </xf>
    <xf numFmtId="0" fontId="12" fillId="2" borderId="11" xfId="4" applyFont="1" applyFill="1" applyBorder="1" applyAlignment="1" applyProtection="1">
      <alignment vertical="center"/>
      <protection locked="0"/>
    </xf>
    <xf numFmtId="0" fontId="12" fillId="2" borderId="11" xfId="4" applyFont="1" applyFill="1" applyBorder="1" applyAlignment="1">
      <alignment vertical="center"/>
    </xf>
    <xf numFmtId="0" fontId="11" fillId="2" borderId="11" xfId="4" applyFont="1" applyFill="1" applyBorder="1" applyAlignment="1">
      <alignment vertical="center"/>
    </xf>
    <xf numFmtId="0" fontId="2" fillId="2" borderId="0" xfId="5" applyFont="1" applyFill="1"/>
    <xf numFmtId="0" fontId="3" fillId="2" borderId="0" xfId="5" applyFont="1" applyFill="1"/>
    <xf numFmtId="0" fontId="0" fillId="2" borderId="0" xfId="5" applyFont="1" applyFill="1"/>
    <xf numFmtId="0" fontId="12" fillId="2" borderId="0" xfId="5" applyFont="1" applyFill="1"/>
    <xf numFmtId="0" fontId="12" fillId="3" borderId="0" xfId="5" applyFont="1" applyFill="1" applyAlignment="1" applyProtection="1">
      <alignment horizontal="left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1" fillId="2" borderId="0" xfId="5" applyFont="1" applyFill="1" applyProtection="1">
      <protection locked="0"/>
    </xf>
    <xf numFmtId="0" fontId="11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left"/>
      <protection locked="0"/>
    </xf>
    <xf numFmtId="168" fontId="11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2" fillId="2" borderId="0" xfId="5" applyFont="1" applyFill="1" applyAlignment="1">
      <alignment horizontal="right"/>
    </xf>
    <xf numFmtId="0" fontId="11" fillId="2" borderId="0" xfId="5" applyFont="1" applyFill="1" applyAlignment="1">
      <alignment horizontal="right"/>
    </xf>
    <xf numFmtId="0" fontId="13" fillId="3" borderId="0" xfId="5" applyFont="1" applyFill="1" applyAlignment="1" applyProtection="1">
      <alignment horizontal="center"/>
      <protection locked="0"/>
    </xf>
    <xf numFmtId="0" fontId="5" fillId="2" borderId="0" xfId="5" applyFont="1" applyFill="1"/>
    <xf numFmtId="0" fontId="15" fillId="2" borderId="0" xfId="5" applyFont="1" applyFill="1" applyAlignment="1">
      <alignment vertical="center" wrapText="1"/>
    </xf>
    <xf numFmtId="0" fontId="12" fillId="2" borderId="0" xfId="5" applyFont="1" applyFill="1" applyAlignment="1">
      <alignment horizontal="center"/>
    </xf>
    <xf numFmtId="0" fontId="16" fillId="2" borderId="0" xfId="5" applyFont="1" applyFill="1"/>
    <xf numFmtId="0" fontId="17" fillId="2" borderId="0" xfId="5" applyFont="1" applyFill="1"/>
    <xf numFmtId="2" fontId="13" fillId="3" borderId="0" xfId="5" applyNumberFormat="1" applyFont="1" applyFill="1" applyAlignment="1" applyProtection="1">
      <alignment horizontal="center"/>
      <protection locked="0"/>
    </xf>
    <xf numFmtId="0" fontId="12" fillId="2" borderId="0" xfId="5" applyFont="1" applyFill="1" applyAlignment="1">
      <alignment vertical="center" wrapText="1"/>
    </xf>
    <xf numFmtId="0" fontId="18" fillId="2" borderId="0" xfId="5" applyFont="1" applyFill="1"/>
    <xf numFmtId="2" fontId="12" fillId="2" borderId="0" xfId="5" applyNumberFormat="1" applyFont="1" applyFill="1" applyAlignment="1">
      <alignment horizontal="center"/>
    </xf>
    <xf numFmtId="0" fontId="19" fillId="2" borderId="0" xfId="5" applyFont="1" applyFill="1" applyAlignment="1">
      <alignment horizontal="left" vertical="center" wrapText="1"/>
    </xf>
    <xf numFmtId="169" fontId="12" fillId="2" borderId="0" xfId="5" applyNumberFormat="1" applyFont="1" applyFill="1" applyAlignment="1">
      <alignment horizontal="center"/>
    </xf>
    <xf numFmtId="0" fontId="11" fillId="2" borderId="0" xfId="5" applyFont="1" applyFill="1"/>
    <xf numFmtId="0" fontId="11" fillId="2" borderId="21" xfId="5" applyFont="1" applyFill="1" applyBorder="1" applyAlignment="1">
      <alignment horizontal="right"/>
    </xf>
    <xf numFmtId="0" fontId="13" fillId="3" borderId="22" xfId="5" applyFont="1" applyFill="1" applyBorder="1" applyAlignment="1" applyProtection="1">
      <alignment horizontal="center"/>
      <protection locked="0"/>
    </xf>
    <xf numFmtId="0" fontId="11" fillId="2" borderId="23" xfId="5" applyFont="1" applyFill="1" applyBorder="1" applyAlignment="1">
      <alignment horizontal="right"/>
    </xf>
    <xf numFmtId="0" fontId="13" fillId="3" borderId="24" xfId="5" applyFont="1" applyFill="1" applyBorder="1" applyAlignment="1" applyProtection="1">
      <alignment horizontal="center"/>
      <protection locked="0"/>
    </xf>
    <xf numFmtId="0" fontId="12" fillId="2" borderId="22" xfId="5" applyFont="1" applyFill="1" applyBorder="1" applyAlignment="1">
      <alignment horizontal="center"/>
    </xf>
    <xf numFmtId="0" fontId="12" fillId="2" borderId="25" xfId="5" applyFont="1" applyFill="1" applyBorder="1" applyAlignment="1">
      <alignment horizontal="center"/>
    </xf>
    <xf numFmtId="0" fontId="12" fillId="2" borderId="26" xfId="5" applyFont="1" applyFill="1" applyBorder="1" applyAlignment="1">
      <alignment horizontal="center"/>
    </xf>
    <xf numFmtId="0" fontId="12" fillId="2" borderId="30" xfId="5" applyFont="1" applyFill="1" applyBorder="1" applyAlignment="1">
      <alignment horizontal="center"/>
    </xf>
    <xf numFmtId="0" fontId="11" fillId="2" borderId="28" xfId="5" applyFont="1" applyFill="1" applyBorder="1" applyAlignment="1">
      <alignment horizontal="center"/>
    </xf>
    <xf numFmtId="0" fontId="30" fillId="3" borderId="29" xfId="5" applyFont="1" applyFill="1" applyBorder="1" applyAlignment="1" applyProtection="1">
      <alignment horizontal="center"/>
      <protection locked="0"/>
    </xf>
    <xf numFmtId="170" fontId="11" fillId="2" borderId="26" xfId="5" applyNumberFormat="1" applyFont="1" applyFill="1" applyBorder="1" applyAlignment="1">
      <alignment horizontal="center"/>
    </xf>
    <xf numFmtId="170" fontId="11" fillId="2" borderId="30" xfId="5" applyNumberFormat="1" applyFont="1" applyFill="1" applyBorder="1" applyAlignment="1">
      <alignment horizontal="center"/>
    </xf>
    <xf numFmtId="0" fontId="11" fillId="2" borderId="24" xfId="5" applyFont="1" applyFill="1" applyBorder="1" applyAlignment="1">
      <alignment horizontal="center"/>
    </xf>
    <xf numFmtId="0" fontId="30" fillId="3" borderId="23" xfId="5" applyFont="1" applyFill="1" applyBorder="1" applyAlignment="1" applyProtection="1">
      <alignment horizontal="center"/>
      <protection locked="0"/>
    </xf>
    <xf numFmtId="170" fontId="11" fillId="2" borderId="31" xfId="5" applyNumberFormat="1" applyFont="1" applyFill="1" applyBorder="1" applyAlignment="1">
      <alignment horizontal="center"/>
    </xf>
    <xf numFmtId="170" fontId="11" fillId="2" borderId="32" xfId="5" applyNumberFormat="1" applyFont="1" applyFill="1" applyBorder="1" applyAlignment="1">
      <alignment horizontal="center"/>
    </xf>
    <xf numFmtId="0" fontId="11" fillId="2" borderId="33" xfId="5" applyFont="1" applyFill="1" applyBorder="1" applyAlignment="1">
      <alignment horizontal="center"/>
    </xf>
    <xf numFmtId="0" fontId="13" fillId="3" borderId="34" xfId="5" applyFont="1" applyFill="1" applyBorder="1" applyAlignment="1" applyProtection="1">
      <alignment horizontal="center"/>
      <protection locked="0"/>
    </xf>
    <xf numFmtId="170" fontId="11" fillId="2" borderId="35" xfId="5" applyNumberFormat="1" applyFont="1" applyFill="1" applyBorder="1" applyAlignment="1">
      <alignment horizontal="center"/>
    </xf>
    <xf numFmtId="170" fontId="11" fillId="2" borderId="36" xfId="5" applyNumberFormat="1" applyFont="1" applyFill="1" applyBorder="1" applyAlignment="1">
      <alignment horizontal="center"/>
    </xf>
    <xf numFmtId="0" fontId="11" fillId="2" borderId="24" xfId="5" applyFont="1" applyFill="1" applyBorder="1" applyAlignment="1">
      <alignment horizontal="right"/>
    </xf>
    <xf numFmtId="1" fontId="12" fillId="6" borderId="53" xfId="5" applyNumberFormat="1" applyFont="1" applyFill="1" applyBorder="1" applyAlignment="1">
      <alignment horizontal="center"/>
    </xf>
    <xf numFmtId="170" fontId="12" fillId="6" borderId="38" xfId="5" applyNumberFormat="1" applyFont="1" applyFill="1" applyBorder="1" applyAlignment="1">
      <alignment horizontal="center"/>
    </xf>
    <xf numFmtId="1" fontId="12" fillId="6" borderId="37" xfId="5" applyNumberFormat="1" applyFont="1" applyFill="1" applyBorder="1" applyAlignment="1">
      <alignment horizontal="center"/>
    </xf>
    <xf numFmtId="170" fontId="12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1" fillId="2" borderId="51" xfId="5" applyFont="1" applyFill="1" applyBorder="1" applyAlignment="1">
      <alignment horizontal="right"/>
    </xf>
    <xf numFmtId="0" fontId="13" fillId="3" borderId="52" xfId="5" applyFont="1" applyFill="1" applyBorder="1" applyAlignment="1" applyProtection="1">
      <alignment horizontal="center"/>
      <protection locked="0"/>
    </xf>
    <xf numFmtId="0" fontId="13" fillId="3" borderId="16" xfId="5" applyFont="1" applyFill="1" applyBorder="1" applyAlignment="1" applyProtection="1">
      <alignment horizontal="center"/>
      <protection locked="0"/>
    </xf>
    <xf numFmtId="0" fontId="11" fillId="2" borderId="25" xfId="5" applyFont="1" applyFill="1" applyBorder="1" applyAlignment="1">
      <alignment horizontal="right"/>
    </xf>
    <xf numFmtId="2" fontId="11" fillId="6" borderId="27" xfId="5" applyNumberFormat="1" applyFont="1" applyFill="1" applyBorder="1" applyAlignment="1">
      <alignment horizontal="center"/>
    </xf>
    <xf numFmtId="0" fontId="11" fillId="2" borderId="0" xfId="5" applyFont="1" applyFill="1" applyAlignment="1">
      <alignment horizontal="center"/>
    </xf>
    <xf numFmtId="2" fontId="11" fillId="6" borderId="41" xfId="5" applyNumberFormat="1" applyFont="1" applyFill="1" applyBorder="1" applyAlignment="1">
      <alignment horizontal="center"/>
    </xf>
    <xf numFmtId="2" fontId="11" fillId="7" borderId="27" xfId="5" applyNumberFormat="1" applyFont="1" applyFill="1" applyBorder="1" applyAlignment="1">
      <alignment horizontal="center"/>
    </xf>
    <xf numFmtId="2" fontId="11" fillId="2" borderId="0" xfId="5" applyNumberFormat="1" applyFont="1" applyFill="1" applyAlignment="1">
      <alignment horizontal="center"/>
    </xf>
    <xf numFmtId="2" fontId="11" fillId="7" borderId="41" xfId="5" applyNumberFormat="1" applyFont="1" applyFill="1" applyBorder="1" applyAlignment="1">
      <alignment horizontal="center"/>
    </xf>
    <xf numFmtId="2" fontId="11" fillId="6" borderId="17" xfId="5" applyNumberFormat="1" applyFont="1" applyFill="1" applyBorder="1" applyAlignment="1">
      <alignment horizontal="center"/>
    </xf>
    <xf numFmtId="0" fontId="13" fillId="3" borderId="27" xfId="5" applyFont="1" applyFill="1" applyBorder="1" applyAlignment="1" applyProtection="1">
      <alignment horizontal="center"/>
      <protection locked="0"/>
    </xf>
    <xf numFmtId="1" fontId="11" fillId="2" borderId="0" xfId="5" applyNumberFormat="1" applyFont="1" applyFill="1" applyAlignment="1">
      <alignment horizontal="center"/>
    </xf>
    <xf numFmtId="0" fontId="11" fillId="2" borderId="53" xfId="5" applyFont="1" applyFill="1" applyBorder="1" applyAlignment="1">
      <alignment horizontal="right"/>
    </xf>
    <xf numFmtId="2" fontId="11" fillId="7" borderId="30" xfId="5" applyNumberFormat="1" applyFont="1" applyFill="1" applyBorder="1" applyAlignment="1">
      <alignment horizontal="center"/>
    </xf>
    <xf numFmtId="170" fontId="11" fillId="2" borderId="0" xfId="5" applyNumberFormat="1" applyFont="1" applyFill="1" applyAlignment="1">
      <alignment horizontal="center"/>
    </xf>
    <xf numFmtId="0" fontId="11" fillId="2" borderId="16" xfId="5" applyFont="1" applyFill="1" applyBorder="1" applyAlignment="1">
      <alignment horizontal="right"/>
    </xf>
    <xf numFmtId="170" fontId="12" fillId="7" borderId="16" xfId="5" applyNumberFormat="1" applyFont="1" applyFill="1" applyBorder="1" applyAlignment="1">
      <alignment horizontal="center"/>
    </xf>
    <xf numFmtId="0" fontId="11" fillId="2" borderId="41" xfId="5" applyFont="1" applyFill="1" applyBorder="1" applyAlignment="1">
      <alignment horizontal="right"/>
    </xf>
    <xf numFmtId="10" fontId="11" fillId="6" borderId="41" xfId="5" applyNumberFormat="1" applyFont="1" applyFill="1" applyBorder="1" applyAlignment="1">
      <alignment horizontal="center"/>
    </xf>
    <xf numFmtId="0" fontId="11" fillId="2" borderId="17" xfId="5" applyFont="1" applyFill="1" applyBorder="1" applyAlignment="1">
      <alignment horizontal="right"/>
    </xf>
    <xf numFmtId="0" fontId="11" fillId="7" borderId="17" xfId="5" applyFont="1" applyFill="1" applyBorder="1" applyAlignment="1">
      <alignment horizontal="center"/>
    </xf>
    <xf numFmtId="0" fontId="12" fillId="2" borderId="0" xfId="5" applyFont="1" applyFill="1" applyAlignment="1">
      <alignment horizontal="left"/>
    </xf>
    <xf numFmtId="0" fontId="11" fillId="2" borderId="0" xfId="5" applyFont="1" applyFill="1" applyAlignment="1">
      <alignment horizontal="left"/>
    </xf>
    <xf numFmtId="166" fontId="12" fillId="2" borderId="0" xfId="5" applyNumberFormat="1" applyFont="1" applyFill="1" applyAlignment="1" applyProtection="1">
      <alignment horizontal="center"/>
      <protection locked="0"/>
    </xf>
    <xf numFmtId="2" fontId="12" fillId="2" borderId="13" xfId="5" applyNumberFormat="1" applyFont="1" applyFill="1" applyBorder="1" applyAlignment="1">
      <alignment horizontal="center"/>
    </xf>
    <xf numFmtId="0" fontId="12" fillId="2" borderId="13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3" fillId="3" borderId="21" xfId="5" applyFont="1" applyFill="1" applyBorder="1" applyAlignment="1" applyProtection="1">
      <alignment horizontal="center"/>
      <protection locked="0"/>
    </xf>
    <xf numFmtId="2" fontId="11" fillId="2" borderId="21" xfId="5" applyNumberFormat="1" applyFont="1" applyFill="1" applyBorder="1" applyAlignment="1">
      <alignment horizontal="center"/>
    </xf>
    <xf numFmtId="10" fontId="11" fillId="2" borderId="13" xfId="5" applyNumberFormat="1" applyFont="1" applyFill="1" applyBorder="1" applyAlignment="1">
      <alignment horizontal="center" vertical="center"/>
    </xf>
    <xf numFmtId="0" fontId="11" fillId="2" borderId="14" xfId="5" applyFont="1" applyFill="1" applyBorder="1" applyAlignment="1">
      <alignment horizontal="center"/>
    </xf>
    <xf numFmtId="0" fontId="13" fillId="3" borderId="23" xfId="5" applyFont="1" applyFill="1" applyBorder="1" applyAlignment="1" applyProtection="1">
      <alignment horizontal="center"/>
      <protection locked="0"/>
    </xf>
    <xf numFmtId="2" fontId="11" fillId="2" borderId="23" xfId="5" applyNumberFormat="1" applyFont="1" applyFill="1" applyBorder="1" applyAlignment="1">
      <alignment horizontal="center"/>
    </xf>
    <xf numFmtId="10" fontId="11" fillId="2" borderId="14" xfId="5" applyNumberFormat="1" applyFont="1" applyFill="1" applyBorder="1" applyAlignment="1">
      <alignment horizontal="center" vertical="center"/>
    </xf>
    <xf numFmtId="0" fontId="11" fillId="2" borderId="15" xfId="5" applyFont="1" applyFill="1" applyBorder="1" applyAlignment="1">
      <alignment horizontal="center"/>
    </xf>
    <xf numFmtId="0" fontId="13" fillId="3" borderId="43" xfId="5" applyFont="1" applyFill="1" applyBorder="1" applyAlignment="1" applyProtection="1">
      <alignment horizontal="center"/>
      <protection locked="0"/>
    </xf>
    <xf numFmtId="2" fontId="11" fillId="2" borderId="13" xfId="5" applyNumberFormat="1" applyFont="1" applyFill="1" applyBorder="1" applyAlignment="1">
      <alignment horizontal="center"/>
    </xf>
    <xf numFmtId="10" fontId="11" fillId="2" borderId="22" xfId="5" applyNumberFormat="1" applyFont="1" applyFill="1" applyBorder="1" applyAlignment="1">
      <alignment horizontal="center" vertical="center"/>
    </xf>
    <xf numFmtId="2" fontId="11" fillId="2" borderId="14" xfId="5" applyNumberFormat="1" applyFont="1" applyFill="1" applyBorder="1" applyAlignment="1">
      <alignment horizontal="center"/>
    </xf>
    <xf numFmtId="10" fontId="11" fillId="2" borderId="24" xfId="5" applyNumberFormat="1" applyFont="1" applyFill="1" applyBorder="1" applyAlignment="1">
      <alignment horizontal="center" vertical="center"/>
    </xf>
    <xf numFmtId="2" fontId="11" fillId="2" borderId="15" xfId="5" applyNumberFormat="1" applyFont="1" applyFill="1" applyBorder="1" applyAlignment="1">
      <alignment horizontal="center"/>
    </xf>
    <xf numFmtId="10" fontId="11" fillId="2" borderId="44" xfId="5" applyNumberFormat="1" applyFont="1" applyFill="1" applyBorder="1" applyAlignment="1">
      <alignment horizontal="center" vertical="center"/>
    </xf>
    <xf numFmtId="0" fontId="12" fillId="2" borderId="24" xfId="5" applyFont="1" applyFill="1" applyBorder="1" applyAlignment="1">
      <alignment horizontal="center"/>
    </xf>
    <xf numFmtId="0" fontId="11" fillId="2" borderId="43" xfId="5" applyFont="1" applyFill="1" applyBorder="1" applyAlignment="1">
      <alignment horizontal="right"/>
    </xf>
    <xf numFmtId="2" fontId="14" fillId="2" borderId="44" xfId="5" applyNumberFormat="1" applyFont="1" applyFill="1" applyBorder="1" applyAlignment="1">
      <alignment horizontal="center"/>
    </xf>
    <xf numFmtId="10" fontId="11" fillId="2" borderId="15" xfId="5" applyNumberFormat="1" applyFont="1" applyFill="1" applyBorder="1" applyAlignment="1">
      <alignment horizontal="center" vertical="center"/>
    </xf>
    <xf numFmtId="0" fontId="11" fillId="2" borderId="45" xfId="5" applyFont="1" applyFill="1" applyBorder="1" applyAlignment="1">
      <alignment horizontal="right"/>
    </xf>
    <xf numFmtId="10" fontId="13" fillId="7" borderId="33" xfId="5" applyNumberFormat="1" applyFont="1" applyFill="1" applyBorder="1" applyAlignment="1">
      <alignment horizontal="center"/>
    </xf>
    <xf numFmtId="10" fontId="13" fillId="6" borderId="57" xfId="5" applyNumberFormat="1" applyFont="1" applyFill="1" applyBorder="1" applyAlignment="1">
      <alignment horizontal="center"/>
    </xf>
    <xf numFmtId="0" fontId="13" fillId="7" borderId="46" xfId="5" applyFont="1" applyFill="1" applyBorder="1" applyAlignment="1">
      <alignment horizontal="center"/>
    </xf>
    <xf numFmtId="165" fontId="12" fillId="2" borderId="0" xfId="5" applyNumberFormat="1" applyFont="1" applyFill="1" applyAlignment="1">
      <alignment horizontal="center"/>
    </xf>
    <xf numFmtId="0" fontId="23" fillId="3" borderId="0" xfId="5" applyFont="1" applyFill="1" applyAlignment="1" applyProtection="1">
      <alignment horizontal="center"/>
      <protection locked="0"/>
    </xf>
    <xf numFmtId="0" fontId="12" fillId="2" borderId="47" xfId="5" applyFont="1" applyFill="1" applyBorder="1" applyAlignment="1">
      <alignment horizontal="center"/>
    </xf>
    <xf numFmtId="0" fontId="12" fillId="2" borderId="40" xfId="5" applyFont="1" applyFill="1" applyBorder="1" applyAlignment="1">
      <alignment horizontal="center"/>
    </xf>
    <xf numFmtId="0" fontId="12" fillId="2" borderId="10" xfId="5" applyFont="1" applyFill="1" applyBorder="1" applyAlignment="1">
      <alignment horizontal="center"/>
    </xf>
    <xf numFmtId="0" fontId="11" fillId="2" borderId="48" xfId="5" applyFont="1" applyFill="1" applyBorder="1" applyAlignment="1">
      <alignment horizontal="center"/>
    </xf>
    <xf numFmtId="0" fontId="11" fillId="2" borderId="7" xfId="5" applyFont="1" applyFill="1" applyBorder="1" applyAlignment="1">
      <alignment horizontal="center"/>
    </xf>
    <xf numFmtId="170" fontId="13" fillId="3" borderId="34" xfId="5" applyNumberFormat="1" applyFont="1" applyFill="1" applyBorder="1" applyAlignment="1" applyProtection="1">
      <alignment horizontal="center"/>
      <protection locked="0"/>
    </xf>
    <xf numFmtId="1" fontId="12" fillId="6" borderId="49" xfId="5" applyNumberFormat="1" applyFont="1" applyFill="1" applyBorder="1" applyAlignment="1">
      <alignment horizontal="center"/>
    </xf>
    <xf numFmtId="1" fontId="12" fillId="6" borderId="50" xfId="5" applyNumberFormat="1" applyFont="1" applyFill="1" applyBorder="1" applyAlignment="1">
      <alignment horizontal="center"/>
    </xf>
    <xf numFmtId="1" fontId="12" fillId="6" borderId="15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2" fillId="2" borderId="0" xfId="5" applyFont="1" applyFill="1" applyAlignment="1">
      <alignment horizontal="center" wrapText="1"/>
    </xf>
    <xf numFmtId="10" fontId="11" fillId="2" borderId="0" xfId="5" applyNumberFormat="1" applyFont="1" applyFill="1" applyAlignment="1">
      <alignment horizontal="center"/>
    </xf>
    <xf numFmtId="10" fontId="12" fillId="6" borderId="41" xfId="5" applyNumberFormat="1" applyFont="1" applyFill="1" applyBorder="1" applyAlignment="1">
      <alignment horizontal="center"/>
    </xf>
    <xf numFmtId="0" fontId="12" fillId="7" borderId="17" xfId="5" applyFont="1" applyFill="1" applyBorder="1" applyAlignment="1">
      <alignment horizontal="center"/>
    </xf>
    <xf numFmtId="0" fontId="12" fillId="2" borderId="54" xfId="5" applyFont="1" applyFill="1" applyBorder="1" applyAlignment="1">
      <alignment horizontal="center"/>
    </xf>
    <xf numFmtId="0" fontId="12" fillId="2" borderId="55" xfId="5" applyFont="1" applyFill="1" applyBorder="1"/>
    <xf numFmtId="0" fontId="12" fillId="2" borderId="22" xfId="5" applyFont="1" applyFill="1" applyBorder="1" applyAlignment="1">
      <alignment horizontal="center" wrapText="1"/>
    </xf>
    <xf numFmtId="0" fontId="11" fillId="2" borderId="23" xfId="5" applyFont="1" applyFill="1" applyBorder="1" applyAlignment="1">
      <alignment horizontal="center"/>
    </xf>
    <xf numFmtId="1" fontId="13" fillId="3" borderId="31" xfId="5" applyNumberFormat="1" applyFont="1" applyFill="1" applyBorder="1" applyAlignment="1" applyProtection="1">
      <alignment horizontal="center"/>
      <protection locked="0"/>
    </xf>
    <xf numFmtId="2" fontId="11" fillId="2" borderId="26" xfId="5" applyNumberFormat="1" applyFont="1" applyFill="1" applyBorder="1" applyAlignment="1">
      <alignment horizontal="center"/>
    </xf>
    <xf numFmtId="10" fontId="11" fillId="2" borderId="30" xfId="5" applyNumberFormat="1" applyFont="1" applyFill="1" applyBorder="1" applyAlignment="1">
      <alignment horizontal="center"/>
    </xf>
    <xf numFmtId="2" fontId="11" fillId="2" borderId="31" xfId="5" applyNumberFormat="1" applyFont="1" applyFill="1" applyBorder="1" applyAlignment="1">
      <alignment horizontal="center"/>
    </xf>
    <xf numFmtId="10" fontId="11" fillId="2" borderId="32" xfId="5" applyNumberFormat="1" applyFont="1" applyFill="1" applyBorder="1" applyAlignment="1">
      <alignment horizontal="center"/>
    </xf>
    <xf numFmtId="0" fontId="11" fillId="2" borderId="34" xfId="5" applyFont="1" applyFill="1" applyBorder="1" applyAlignment="1">
      <alignment horizontal="center"/>
    </xf>
    <xf numFmtId="1" fontId="13" fillId="3" borderId="35" xfId="5" applyNumberFormat="1" applyFont="1" applyFill="1" applyBorder="1" applyAlignment="1" applyProtection="1">
      <alignment horizontal="center"/>
      <protection locked="0"/>
    </xf>
    <xf numFmtId="2" fontId="11" fillId="2" borderId="35" xfId="5" applyNumberFormat="1" applyFont="1" applyFill="1" applyBorder="1" applyAlignment="1">
      <alignment horizontal="center"/>
    </xf>
    <xf numFmtId="10" fontId="11" fillId="2" borderId="36" xfId="5" applyNumberFormat="1" applyFont="1" applyFill="1" applyBorder="1" applyAlignment="1">
      <alignment horizontal="center"/>
    </xf>
    <xf numFmtId="2" fontId="11" fillId="2" borderId="24" xfId="5" applyNumberFormat="1" applyFont="1" applyFill="1" applyBorder="1" applyAlignment="1">
      <alignment horizontal="center"/>
    </xf>
    <xf numFmtId="170" fontId="12" fillId="2" borderId="0" xfId="5" applyNumberFormat="1" applyFont="1" applyFill="1" applyAlignment="1">
      <alignment horizontal="center"/>
    </xf>
    <xf numFmtId="170" fontId="11" fillId="2" borderId="2" xfId="5" applyNumberFormat="1" applyFont="1" applyFill="1" applyBorder="1" applyAlignment="1">
      <alignment horizontal="right"/>
    </xf>
    <xf numFmtId="10" fontId="13" fillId="7" borderId="27" xfId="5" applyNumberFormat="1" applyFont="1" applyFill="1" applyBorder="1" applyAlignment="1">
      <alignment horizontal="center"/>
    </xf>
    <xf numFmtId="0" fontId="11" fillId="2" borderId="23" xfId="5" applyFont="1" applyFill="1" applyBorder="1"/>
    <xf numFmtId="0" fontId="11" fillId="2" borderId="6" xfId="5" applyFont="1" applyFill="1" applyBorder="1"/>
    <xf numFmtId="10" fontId="13" fillId="6" borderId="27" xfId="5" applyNumberFormat="1" applyFont="1" applyFill="1" applyBorder="1" applyAlignment="1">
      <alignment horizontal="center"/>
    </xf>
    <xf numFmtId="0" fontId="11" fillId="2" borderId="43" xfId="5" applyFont="1" applyFill="1" applyBorder="1"/>
    <xf numFmtId="0" fontId="11" fillId="2" borderId="63" xfId="5" applyFont="1" applyFill="1" applyBorder="1" applyAlignment="1">
      <alignment horizontal="center"/>
    </xf>
    <xf numFmtId="0" fontId="11" fillId="2" borderId="56" xfId="5" applyFont="1" applyFill="1" applyBorder="1" applyAlignment="1">
      <alignment horizontal="right"/>
    </xf>
    <xf numFmtId="0" fontId="13" fillId="7" borderId="17" xfId="5" applyFont="1" applyFill="1" applyBorder="1" applyAlignment="1">
      <alignment horizontal="center"/>
    </xf>
    <xf numFmtId="165" fontId="13" fillId="2" borderId="0" xfId="5" applyNumberFormat="1" applyFont="1" applyFill="1" applyAlignment="1">
      <alignment horizontal="center"/>
    </xf>
    <xf numFmtId="0" fontId="14" fillId="3" borderId="22" xfId="5" applyFont="1" applyFill="1" applyBorder="1" applyAlignment="1" applyProtection="1">
      <alignment horizontal="center"/>
      <protection locked="0"/>
    </xf>
    <xf numFmtId="0" fontId="14" fillId="3" borderId="24" xfId="5" applyFont="1" applyFill="1" applyBorder="1" applyAlignment="1" applyProtection="1">
      <alignment horizontal="center"/>
      <protection locked="0"/>
    </xf>
    <xf numFmtId="1" fontId="14" fillId="3" borderId="31" xfId="5" applyNumberFormat="1" applyFont="1" applyFill="1" applyBorder="1" applyAlignment="1" applyProtection="1">
      <alignment horizontal="center"/>
      <protection locked="0"/>
    </xf>
    <xf numFmtId="2" fontId="11" fillId="2" borderId="4" xfId="5" applyNumberFormat="1" applyFont="1" applyFill="1" applyBorder="1" applyAlignment="1">
      <alignment horizontal="center"/>
    </xf>
    <xf numFmtId="10" fontId="11" fillId="2" borderId="28" xfId="5" applyNumberFormat="1" applyFont="1" applyFill="1" applyBorder="1" applyAlignment="1">
      <alignment horizontal="center"/>
    </xf>
    <xf numFmtId="2" fontId="11" fillId="2" borderId="3" xfId="5" applyNumberFormat="1" applyFont="1" applyFill="1" applyBorder="1" applyAlignment="1">
      <alignment horizontal="center"/>
    </xf>
    <xf numFmtId="10" fontId="11" fillId="2" borderId="24" xfId="5" applyNumberFormat="1" applyFont="1" applyFill="1" applyBorder="1" applyAlignment="1">
      <alignment horizontal="center"/>
    </xf>
    <xf numFmtId="1" fontId="14" fillId="3" borderId="35" xfId="5" applyNumberFormat="1" applyFont="1" applyFill="1" applyBorder="1" applyAlignment="1" applyProtection="1">
      <alignment horizontal="center"/>
      <protection locked="0"/>
    </xf>
    <xf numFmtId="2" fontId="11" fillId="2" borderId="5" xfId="5" applyNumberFormat="1" applyFont="1" applyFill="1" applyBorder="1" applyAlignment="1">
      <alignment horizontal="center"/>
    </xf>
    <xf numFmtId="10" fontId="11" fillId="2" borderId="33" xfId="5" applyNumberFormat="1" applyFont="1" applyFill="1" applyBorder="1" applyAlignment="1">
      <alignment horizontal="center"/>
    </xf>
    <xf numFmtId="0" fontId="11" fillId="2" borderId="24" xfId="5" applyFont="1" applyFill="1" applyBorder="1" applyAlignment="1" applyProtection="1">
      <alignment horizontal="center"/>
      <protection locked="0"/>
    </xf>
    <xf numFmtId="0" fontId="19" fillId="2" borderId="9" xfId="5" applyFont="1" applyFill="1" applyBorder="1" applyAlignment="1">
      <alignment horizontal="left" vertical="center" wrapText="1"/>
    </xf>
    <xf numFmtId="0" fontId="11" fillId="2" borderId="9" xfId="5" applyFont="1" applyFill="1" applyBorder="1"/>
    <xf numFmtId="0" fontId="11" fillId="2" borderId="10" xfId="5" applyFont="1" applyFill="1" applyBorder="1" applyAlignment="1">
      <alignment horizontal="center"/>
    </xf>
    <xf numFmtId="0" fontId="11" fillId="2" borderId="7" xfId="5" applyFont="1" applyFill="1" applyBorder="1" applyProtection="1">
      <protection locked="0"/>
    </xf>
    <xf numFmtId="0" fontId="11" fillId="2" borderId="7" xfId="5" applyFont="1" applyFill="1" applyBorder="1"/>
    <xf numFmtId="0" fontId="12" fillId="2" borderId="11" xfId="5" applyFont="1" applyFill="1" applyBorder="1" applyProtection="1">
      <protection locked="0"/>
    </xf>
    <xf numFmtId="0" fontId="12" fillId="2" borderId="11" xfId="5" applyFont="1" applyFill="1" applyBorder="1"/>
    <xf numFmtId="0" fontId="11" fillId="2" borderId="11" xfId="5" applyFont="1" applyFill="1" applyBorder="1"/>
    <xf numFmtId="166" fontId="13" fillId="3" borderId="29" xfId="3" applyNumberFormat="1" applyFont="1" applyFill="1" applyBorder="1" applyAlignment="1" applyProtection="1">
      <alignment horizontal="center"/>
      <protection locked="0"/>
    </xf>
    <xf numFmtId="166" fontId="13" fillId="3" borderId="23" xfId="3" applyNumberFormat="1" applyFont="1" applyFill="1" applyBorder="1" applyAlignment="1" applyProtection="1">
      <alignment horizontal="center"/>
      <protection locked="0"/>
    </xf>
    <xf numFmtId="166" fontId="13" fillId="3" borderId="34" xfId="3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2" xfId="3" applyFont="1" applyFill="1" applyBorder="1" applyAlignment="1">
      <alignment horizontal="center"/>
    </xf>
    <xf numFmtId="0" fontId="12" fillId="2" borderId="64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21" xfId="5" applyFont="1" applyFill="1" applyBorder="1" applyAlignment="1">
      <alignment horizontal="left" vertical="center" wrapText="1"/>
    </xf>
    <xf numFmtId="0" fontId="19" fillId="2" borderId="22" xfId="5" applyFont="1" applyFill="1" applyBorder="1" applyAlignment="1">
      <alignment horizontal="left" vertical="center" wrapText="1"/>
    </xf>
    <xf numFmtId="0" fontId="19" fillId="2" borderId="43" xfId="5" applyFont="1" applyFill="1" applyBorder="1" applyAlignment="1">
      <alignment horizontal="left" vertical="center" wrapText="1"/>
    </xf>
    <xf numFmtId="0" fontId="19" fillId="2" borderId="44" xfId="5" applyFont="1" applyFill="1" applyBorder="1" applyAlignment="1">
      <alignment horizontal="left" vertical="center" wrapText="1"/>
    </xf>
    <xf numFmtId="0" fontId="12" fillId="2" borderId="0" xfId="5" applyFont="1" applyFill="1" applyAlignment="1">
      <alignment horizontal="center"/>
    </xf>
    <xf numFmtId="0" fontId="12" fillId="2" borderId="10" xfId="5" applyFont="1" applyFill="1" applyBorder="1" applyAlignment="1">
      <alignment horizontal="center"/>
    </xf>
    <xf numFmtId="0" fontId="13" fillId="3" borderId="0" xfId="5" applyFont="1" applyFill="1" applyAlignment="1" applyProtection="1">
      <alignment horizontal="left"/>
      <protection locked="0"/>
    </xf>
    <xf numFmtId="0" fontId="19" fillId="2" borderId="18" xfId="5" applyFont="1" applyFill="1" applyBorder="1" applyAlignment="1">
      <alignment horizontal="justify" vertical="center" wrapText="1"/>
    </xf>
    <xf numFmtId="0" fontId="19" fillId="2" borderId="19" xfId="5" applyFont="1" applyFill="1" applyBorder="1" applyAlignment="1">
      <alignment horizontal="justify" vertical="center" wrapText="1"/>
    </xf>
    <xf numFmtId="0" fontId="19" fillId="2" borderId="20" xfId="5" applyFont="1" applyFill="1" applyBorder="1" applyAlignment="1">
      <alignment horizontal="justify" vertical="center" wrapText="1"/>
    </xf>
    <xf numFmtId="0" fontId="19" fillId="2" borderId="18" xfId="5" applyFont="1" applyFill="1" applyBorder="1" applyAlignment="1">
      <alignment horizontal="left" vertical="center" wrapText="1"/>
    </xf>
    <xf numFmtId="0" fontId="19" fillId="2" borderId="19" xfId="5" applyFont="1" applyFill="1" applyBorder="1" applyAlignment="1">
      <alignment horizontal="left" vertical="center" wrapText="1"/>
    </xf>
    <xf numFmtId="0" fontId="19" fillId="2" borderId="20" xfId="5" applyFont="1" applyFill="1" applyBorder="1" applyAlignment="1">
      <alignment horizontal="left" vertical="center" wrapText="1"/>
    </xf>
    <xf numFmtId="0" fontId="12" fillId="2" borderId="47" xfId="5" applyFont="1" applyFill="1" applyBorder="1" applyAlignment="1">
      <alignment horizontal="center"/>
    </xf>
    <xf numFmtId="0" fontId="12" fillId="2" borderId="58" xfId="5" applyFont="1" applyFill="1" applyBorder="1" applyAlignment="1">
      <alignment horizontal="center"/>
    </xf>
    <xf numFmtId="0" fontId="19" fillId="2" borderId="10" xfId="5" applyFont="1" applyFill="1" applyBorder="1" applyAlignment="1">
      <alignment horizontal="left" vertical="center" wrapText="1"/>
    </xf>
    <xf numFmtId="0" fontId="19" fillId="2" borderId="9" xfId="5" applyFont="1" applyFill="1" applyBorder="1" applyAlignment="1">
      <alignment horizontal="left" vertical="center" wrapText="1"/>
    </xf>
    <xf numFmtId="0" fontId="12" fillId="2" borderId="10" xfId="5" applyFont="1" applyFill="1" applyBorder="1" applyAlignment="1">
      <alignment horizontal="center" vertical="center"/>
    </xf>
    <xf numFmtId="0" fontId="12" fillId="2" borderId="0" xfId="5" applyFont="1" applyFill="1" applyAlignment="1">
      <alignment horizontal="center" vertical="center"/>
    </xf>
    <xf numFmtId="0" fontId="12" fillId="2" borderId="9" xfId="5" applyFont="1" applyFill="1" applyBorder="1" applyAlignment="1">
      <alignment horizontal="center" vertical="center"/>
    </xf>
    <xf numFmtId="2" fontId="13" fillId="3" borderId="13" xfId="5" applyNumberFormat="1" applyFont="1" applyFill="1" applyBorder="1" applyAlignment="1" applyProtection="1">
      <alignment horizontal="center" vertical="center"/>
      <protection locked="0"/>
    </xf>
    <xf numFmtId="2" fontId="13" fillId="3" borderId="14" xfId="5" applyNumberFormat="1" applyFont="1" applyFill="1" applyBorder="1" applyAlignment="1" applyProtection="1">
      <alignment horizontal="center" vertical="center"/>
      <protection locked="0"/>
    </xf>
    <xf numFmtId="2" fontId="13" fillId="3" borderId="15" xfId="5" applyNumberFormat="1" applyFont="1" applyFill="1" applyBorder="1" applyAlignment="1" applyProtection="1">
      <alignment horizontal="center" vertical="center"/>
      <protection locked="0"/>
    </xf>
    <xf numFmtId="0" fontId="12" fillId="2" borderId="43" xfId="5" applyFont="1" applyFill="1" applyBorder="1" applyAlignment="1">
      <alignment horizontal="center" vertical="center"/>
    </xf>
    <xf numFmtId="0" fontId="19" fillId="2" borderId="21" xfId="5" applyFont="1" applyFill="1" applyBorder="1" applyAlignment="1">
      <alignment horizontal="center" vertical="center" wrapText="1"/>
    </xf>
    <xf numFmtId="0" fontId="19" fillId="2" borderId="22" xfId="5" applyFont="1" applyFill="1" applyBorder="1" applyAlignment="1">
      <alignment horizontal="center" vertical="center" wrapText="1"/>
    </xf>
    <xf numFmtId="0" fontId="19" fillId="2" borderId="43" xfId="5" applyFont="1" applyFill="1" applyBorder="1" applyAlignment="1">
      <alignment horizontal="center" vertical="center" wrapText="1"/>
    </xf>
    <xf numFmtId="0" fontId="19" fillId="2" borderId="44" xfId="5" applyFont="1" applyFill="1" applyBorder="1" applyAlignment="1">
      <alignment horizontal="center" vertical="center" wrapText="1"/>
    </xf>
    <xf numFmtId="0" fontId="12" fillId="2" borderId="40" xfId="5" applyFont="1" applyFill="1" applyBorder="1" applyAlignment="1">
      <alignment horizontal="center"/>
    </xf>
    <xf numFmtId="0" fontId="21" fillId="2" borderId="0" xfId="5" applyFont="1" applyFill="1" applyAlignment="1">
      <alignment horizontal="center" vertical="center"/>
    </xf>
    <xf numFmtId="0" fontId="22" fillId="2" borderId="0" xfId="5" applyFont="1" applyFill="1" applyAlignment="1">
      <alignment horizontal="center" vertical="center"/>
    </xf>
    <xf numFmtId="0" fontId="24" fillId="2" borderId="18" xfId="5" applyFont="1" applyFill="1" applyBorder="1" applyAlignment="1">
      <alignment horizontal="center"/>
    </xf>
    <xf numFmtId="0" fontId="24" fillId="2" borderId="19" xfId="5" applyFont="1" applyFill="1" applyBorder="1" applyAlignment="1">
      <alignment horizontal="center"/>
    </xf>
    <xf numFmtId="0" fontId="24" fillId="2" borderId="20" xfId="5" applyFont="1" applyFill="1" applyBorder="1" applyAlignment="1">
      <alignment horizontal="center"/>
    </xf>
    <xf numFmtId="0" fontId="12" fillId="3" borderId="0" xfId="5" applyFont="1" applyFill="1" applyAlignment="1" applyProtection="1">
      <alignment horizontal="left"/>
      <protection locked="0"/>
    </xf>
    <xf numFmtId="0" fontId="12" fillId="2" borderId="47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10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horizontal="center" vertical="center"/>
    </xf>
    <xf numFmtId="0" fontId="12" fillId="2" borderId="10" xfId="4" applyFont="1" applyFill="1" applyBorder="1" applyAlignment="1">
      <alignment horizontal="center" vertical="center"/>
    </xf>
    <xf numFmtId="0" fontId="12" fillId="2" borderId="47" xfId="4" applyFont="1" applyFill="1" applyBorder="1" applyAlignment="1">
      <alignment horizontal="center" vertical="center"/>
    </xf>
    <xf numFmtId="0" fontId="12" fillId="2" borderId="58" xfId="4" applyFont="1" applyFill="1" applyBorder="1" applyAlignment="1">
      <alignment horizontal="center" vertical="center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13" fillId="3" borderId="0" xfId="4" applyFont="1" applyFill="1" applyAlignment="1" applyProtection="1">
      <alignment horizontal="left" vertical="center"/>
      <protection locked="0"/>
    </xf>
    <xf numFmtId="0" fontId="14" fillId="3" borderId="0" xfId="4" applyFont="1" applyFill="1" applyAlignment="1" applyProtection="1">
      <alignment horizontal="left" vertical="center"/>
      <protection locked="0"/>
    </xf>
    <xf numFmtId="0" fontId="12" fillId="2" borderId="9" xfId="4" applyFont="1" applyFill="1" applyBorder="1" applyAlignment="1">
      <alignment horizontal="center" vertical="center"/>
    </xf>
    <xf numFmtId="0" fontId="12" fillId="2" borderId="43" xfId="4" applyFont="1" applyFill="1" applyBorder="1" applyAlignment="1">
      <alignment horizontal="center" vertical="center"/>
    </xf>
    <xf numFmtId="0" fontId="12" fillId="2" borderId="40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 vertical="center"/>
    </xf>
    <xf numFmtId="0" fontId="19" fillId="2" borderId="19" xfId="4" applyFont="1" applyFill="1" applyBorder="1" applyAlignment="1">
      <alignment horizontal="center" vertical="center"/>
    </xf>
    <xf numFmtId="0" fontId="19" fillId="2" borderId="20" xfId="4" applyFont="1" applyFill="1" applyBorder="1" applyAlignment="1">
      <alignment horizontal="center" vertical="center"/>
    </xf>
    <xf numFmtId="0" fontId="20" fillId="2" borderId="10" xfId="4" applyFont="1" applyFill="1" applyBorder="1" applyAlignment="1">
      <alignment horizontal="center" vertical="center"/>
    </xf>
    <xf numFmtId="0" fontId="3" fillId="2" borderId="0" xfId="4" applyFont="1" applyFill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29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rah\Work%20sheets\NDQA201511560%20copy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frida/AppData/Local/Temp/NDQA20151156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"/>
      <sheetName val="Tadalafil CU"/>
      <sheetName val="Tadalafil Assay Diss"/>
    </sheetNames>
    <sheetDataSet>
      <sheetData sheetId="0">
        <row r="36">
          <cell r="C36">
            <v>362.52800000000002</v>
          </cell>
        </row>
      </sheetData>
      <sheetData sheetId="1" refreshError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Tadalafil"/>
      <sheetName val="Tadalafil 1"/>
      <sheetName val="Tadalafil 2"/>
      <sheetName val="Tadalafil 3"/>
      <sheetName val="Tadalafil 4"/>
      <sheetName val="Tadalafil 5"/>
    </sheetNames>
    <sheetDataSet>
      <sheetData sheetId="0" refreshError="1"/>
      <sheetData sheetId="1">
        <row r="46">
          <cell r="C46">
            <v>362.52800000000002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31" workbookViewId="0">
      <selection activeCell="A27" sqref="A27"/>
    </sheetView>
  </sheetViews>
  <sheetFormatPr defaultRowHeight="15" x14ac:dyDescent="0.3"/>
  <cols>
    <col min="1" max="1" width="15.5703125" style="2" customWidth="1"/>
    <col min="2" max="2" width="18.42578125" style="2" customWidth="1"/>
    <col min="3" max="3" width="14.28515625" style="2" customWidth="1"/>
    <col min="4" max="4" width="15" style="2" customWidth="1"/>
    <col min="5" max="5" width="9.140625" style="2" customWidth="1"/>
    <col min="6" max="6" width="27.85546875" style="2" customWidth="1"/>
    <col min="7" max="7" width="12.28515625" style="2" customWidth="1"/>
    <col min="8" max="8" width="9.140625" style="2" customWidth="1"/>
    <col min="9" max="16384" width="9.140625" style="44"/>
  </cols>
  <sheetData>
    <row r="1" spans="1:7" ht="13.5" customHeight="1" thickBot="1" x14ac:dyDescent="0.35">
      <c r="A1" s="603" t="s">
        <v>30</v>
      </c>
      <c r="B1" s="604"/>
      <c r="C1" s="604"/>
      <c r="D1" s="604"/>
      <c r="E1" s="604"/>
      <c r="F1" s="605"/>
      <c r="G1" s="1"/>
    </row>
    <row r="2" spans="1:7" ht="16.5" customHeight="1" x14ac:dyDescent="0.3">
      <c r="A2" s="599" t="s">
        <v>31</v>
      </c>
      <c r="B2" s="599"/>
      <c r="C2" s="599"/>
      <c r="D2" s="599"/>
      <c r="E2" s="599"/>
      <c r="F2" s="599"/>
      <c r="G2" s="3"/>
    </row>
    <row r="4" spans="1:7" ht="16.5" customHeight="1" x14ac:dyDescent="0.3">
      <c r="A4" s="598" t="s">
        <v>32</v>
      </c>
      <c r="B4" s="598"/>
      <c r="C4" s="4" t="s">
        <v>5</v>
      </c>
    </row>
    <row r="5" spans="1:7" ht="16.5" customHeight="1" x14ac:dyDescent="0.3">
      <c r="A5" s="598" t="s">
        <v>33</v>
      </c>
      <c r="B5" s="598"/>
      <c r="C5" s="4" t="s">
        <v>7</v>
      </c>
    </row>
    <row r="6" spans="1:7" ht="16.5" customHeight="1" x14ac:dyDescent="0.3">
      <c r="A6" s="598" t="s">
        <v>34</v>
      </c>
      <c r="B6" s="598"/>
      <c r="C6" s="4" t="s">
        <v>9</v>
      </c>
    </row>
    <row r="7" spans="1:7" ht="16.5" customHeight="1" x14ac:dyDescent="0.3">
      <c r="A7" s="598" t="s">
        <v>35</v>
      </c>
      <c r="B7" s="598"/>
      <c r="C7" s="4" t="s">
        <v>11</v>
      </c>
    </row>
    <row r="8" spans="1:7" ht="16.5" customHeight="1" x14ac:dyDescent="0.3">
      <c r="A8" s="598" t="s">
        <v>36</v>
      </c>
      <c r="B8" s="598"/>
      <c r="C8" s="5">
        <v>42403</v>
      </c>
    </row>
    <row r="9" spans="1:7" ht="16.5" customHeight="1" x14ac:dyDescent="0.3">
      <c r="A9" s="598" t="s">
        <v>37</v>
      </c>
      <c r="B9" s="598"/>
      <c r="C9" s="5">
        <v>42404</v>
      </c>
    </row>
    <row r="10" spans="1:7" ht="16.5" customHeight="1" x14ac:dyDescent="0.3">
      <c r="A10" s="6"/>
      <c r="B10" s="6"/>
      <c r="C10" s="7"/>
    </row>
    <row r="11" spans="1:7" ht="16.5" customHeight="1" x14ac:dyDescent="0.3">
      <c r="A11" s="599" t="s">
        <v>1</v>
      </c>
      <c r="B11" s="599"/>
      <c r="C11" s="8" t="s">
        <v>38</v>
      </c>
      <c r="D11" s="9"/>
    </row>
    <row r="12" spans="1:7" ht="15.75" customHeight="1" thickBot="1" x14ac:dyDescent="0.35">
      <c r="A12" s="600"/>
      <c r="B12" s="600"/>
      <c r="C12" s="10"/>
      <c r="D12" s="600"/>
      <c r="E12" s="600"/>
    </row>
    <row r="13" spans="1:7" ht="33.75" customHeight="1" thickBot="1" x14ac:dyDescent="0.35">
      <c r="C13" s="11" t="s">
        <v>39</v>
      </c>
      <c r="D13" s="12" t="s">
        <v>40</v>
      </c>
      <c r="E13" s="13"/>
    </row>
    <row r="14" spans="1:7" ht="15.75" customHeight="1" x14ac:dyDescent="0.3">
      <c r="C14" s="14">
        <v>369.42</v>
      </c>
      <c r="D14" s="15">
        <f t="shared" ref="D14:D33" si="0">(C14-$C$36)/$C$36</f>
        <v>1.9010945361461723E-2</v>
      </c>
      <c r="E14" s="16"/>
    </row>
    <row r="15" spans="1:7" ht="15.75" customHeight="1" x14ac:dyDescent="0.3">
      <c r="C15" s="14">
        <v>363.42</v>
      </c>
      <c r="D15" s="17">
        <f t="shared" si="0"/>
        <v>2.4604996027892904E-3</v>
      </c>
      <c r="E15" s="16"/>
    </row>
    <row r="16" spans="1:7" ht="15.75" customHeight="1" x14ac:dyDescent="0.3">
      <c r="C16" s="14">
        <v>359.83</v>
      </c>
      <c r="D16" s="17">
        <f t="shared" si="0"/>
        <v>-7.4421837761498031E-3</v>
      </c>
      <c r="E16" s="16"/>
    </row>
    <row r="17" spans="3:5" ht="15.75" customHeight="1" x14ac:dyDescent="0.3">
      <c r="C17" s="14">
        <v>363.43</v>
      </c>
      <c r="D17" s="17">
        <f t="shared" si="0"/>
        <v>2.4880836790537194E-3</v>
      </c>
      <c r="E17" s="16"/>
    </row>
    <row r="18" spans="3:5" ht="15.75" customHeight="1" x14ac:dyDescent="0.3">
      <c r="C18" s="14">
        <v>367.68</v>
      </c>
      <c r="D18" s="17">
        <f t="shared" si="0"/>
        <v>1.4211316091446692E-2</v>
      </c>
      <c r="E18" s="16"/>
    </row>
    <row r="19" spans="3:5" ht="15.75" customHeight="1" x14ac:dyDescent="0.3">
      <c r="C19" s="14">
        <v>370.86</v>
      </c>
      <c r="D19" s="17">
        <f t="shared" si="0"/>
        <v>2.2983052343543101E-2</v>
      </c>
      <c r="E19" s="16"/>
    </row>
    <row r="20" spans="3:5" ht="15.75" customHeight="1" x14ac:dyDescent="0.3">
      <c r="C20" s="14">
        <v>359.5</v>
      </c>
      <c r="D20" s="17">
        <f t="shared" si="0"/>
        <v>-8.3524582928767421E-3</v>
      </c>
      <c r="E20" s="16"/>
    </row>
    <row r="21" spans="3:5" ht="15.75" customHeight="1" x14ac:dyDescent="0.3">
      <c r="C21" s="14">
        <v>352.44</v>
      </c>
      <c r="D21" s="17">
        <f t="shared" si="0"/>
        <v>-2.7826816135581311E-2</v>
      </c>
      <c r="E21" s="16"/>
    </row>
    <row r="22" spans="3:5" ht="15.75" customHeight="1" x14ac:dyDescent="0.3">
      <c r="C22" s="14">
        <v>366.26</v>
      </c>
      <c r="D22" s="17">
        <f t="shared" si="0"/>
        <v>1.0294377261894173E-2</v>
      </c>
      <c r="E22" s="16"/>
    </row>
    <row r="23" spans="3:5" ht="15.75" customHeight="1" x14ac:dyDescent="0.3">
      <c r="C23" s="14">
        <v>360.49</v>
      </c>
      <c r="D23" s="17">
        <f t="shared" si="0"/>
        <v>-5.6216347426957664E-3</v>
      </c>
      <c r="E23" s="16"/>
    </row>
    <row r="24" spans="3:5" ht="15.75" customHeight="1" x14ac:dyDescent="0.3">
      <c r="C24" s="14">
        <v>354.08</v>
      </c>
      <c r="D24" s="17">
        <f t="shared" si="0"/>
        <v>-2.3303027628210883E-2</v>
      </c>
      <c r="E24" s="16"/>
    </row>
    <row r="25" spans="3:5" ht="15.75" customHeight="1" x14ac:dyDescent="0.3">
      <c r="C25" s="14">
        <v>360.39</v>
      </c>
      <c r="D25" s="17">
        <f t="shared" si="0"/>
        <v>-5.8974755053403695E-3</v>
      </c>
      <c r="E25" s="16"/>
    </row>
    <row r="26" spans="3:5" ht="15.75" customHeight="1" x14ac:dyDescent="0.3">
      <c r="C26" s="14">
        <v>381.7</v>
      </c>
      <c r="D26" s="17">
        <f t="shared" si="0"/>
        <v>5.2884191014211226E-2</v>
      </c>
      <c r="E26" s="16"/>
    </row>
    <row r="27" spans="3:5" ht="15.75" customHeight="1" x14ac:dyDescent="0.3">
      <c r="C27" s="14">
        <v>357.55</v>
      </c>
      <c r="D27" s="17">
        <f t="shared" si="0"/>
        <v>-1.3731353164445253E-2</v>
      </c>
      <c r="E27" s="16"/>
    </row>
    <row r="28" spans="3:5" ht="15.75" customHeight="1" x14ac:dyDescent="0.3">
      <c r="C28" s="14">
        <v>363.34</v>
      </c>
      <c r="D28" s="17">
        <f t="shared" si="0"/>
        <v>2.2398269926735452E-3</v>
      </c>
      <c r="E28" s="16"/>
    </row>
    <row r="29" spans="3:5" ht="15.75" customHeight="1" x14ac:dyDescent="0.3">
      <c r="C29" s="14">
        <v>358.47</v>
      </c>
      <c r="D29" s="17">
        <f t="shared" si="0"/>
        <v>-1.1193618148115436E-2</v>
      </c>
      <c r="E29" s="16"/>
    </row>
    <row r="30" spans="3:5" ht="15.75" customHeight="1" x14ac:dyDescent="0.3">
      <c r="C30" s="14">
        <v>372.52</v>
      </c>
      <c r="D30" s="17">
        <f t="shared" si="0"/>
        <v>2.7562009003442387E-2</v>
      </c>
      <c r="E30" s="16"/>
    </row>
    <row r="31" spans="3:5" ht="15.75" customHeight="1" x14ac:dyDescent="0.3">
      <c r="C31" s="14">
        <v>353.61</v>
      </c>
      <c r="D31" s="17">
        <f t="shared" si="0"/>
        <v>-2.4599479212640142E-2</v>
      </c>
      <c r="E31" s="16"/>
    </row>
    <row r="32" spans="3:5" ht="15.75" customHeight="1" x14ac:dyDescent="0.3">
      <c r="C32" s="14">
        <v>355.46</v>
      </c>
      <c r="D32" s="17">
        <f t="shared" si="0"/>
        <v>-1.9496425103716238E-2</v>
      </c>
      <c r="E32" s="16"/>
    </row>
    <row r="33" spans="1:7" ht="16.5" customHeight="1" thickBot="1" x14ac:dyDescent="0.35">
      <c r="C33" s="18">
        <v>360.11</v>
      </c>
      <c r="D33" s="19">
        <f t="shared" si="0"/>
        <v>-6.6698296407450078E-3</v>
      </c>
      <c r="E33" s="16"/>
    </row>
    <row r="34" spans="1:7" ht="16.5" customHeight="1" thickBot="1" x14ac:dyDescent="0.35">
      <c r="C34" s="20"/>
      <c r="D34" s="16"/>
      <c r="E34" s="21"/>
    </row>
    <row r="35" spans="1:7" ht="16.5" customHeight="1" thickBot="1" x14ac:dyDescent="0.35">
      <c r="B35" s="22" t="s">
        <v>41</v>
      </c>
      <c r="C35" s="23">
        <f>SUM(C14:C34)</f>
        <v>7250.56</v>
      </c>
      <c r="D35" s="24"/>
      <c r="E35" s="20"/>
    </row>
    <row r="36" spans="1:7" ht="17.25" customHeight="1" thickBot="1" x14ac:dyDescent="0.35">
      <c r="B36" s="22" t="s">
        <v>42</v>
      </c>
      <c r="C36" s="25">
        <f>AVERAGE(C14:C34)</f>
        <v>362.52800000000002</v>
      </c>
      <c r="E36" s="26"/>
    </row>
    <row r="37" spans="1:7" ht="17.25" customHeight="1" thickBot="1" x14ac:dyDescent="0.35">
      <c r="A37" s="4"/>
      <c r="B37" s="27"/>
      <c r="D37" s="28"/>
      <c r="E37" s="26"/>
    </row>
    <row r="38" spans="1:7" ht="33.75" customHeight="1" thickBot="1" x14ac:dyDescent="0.35">
      <c r="B38" s="29" t="s">
        <v>42</v>
      </c>
      <c r="C38" s="12" t="s">
        <v>43</v>
      </c>
      <c r="D38" s="30"/>
      <c r="G38" s="28"/>
    </row>
    <row r="39" spans="1:7" ht="17.25" customHeight="1" thickBot="1" x14ac:dyDescent="0.35">
      <c r="B39" s="601">
        <f>C36</f>
        <v>362.52800000000002</v>
      </c>
      <c r="C39" s="31">
        <f>-IF(C36&lt;=80,10%,IF(C36&lt;250,7.5%,5%))</f>
        <v>-0.05</v>
      </c>
      <c r="D39" s="32">
        <f>IF(C36&lt;=80,C36*0.9,IF(C36&lt;250,C36*0.925,C36*0.95))</f>
        <v>344.40160000000003</v>
      </c>
    </row>
    <row r="40" spans="1:7" ht="17.25" customHeight="1" thickBot="1" x14ac:dyDescent="0.35">
      <c r="B40" s="602"/>
      <c r="C40" s="33">
        <f>IF(C36&lt;=80, 10%, IF(C36&lt;250, 7.5%, 5%))</f>
        <v>0.05</v>
      </c>
      <c r="D40" s="32">
        <f>IF(C36&lt;=80, C36*1.1, IF(C36&lt;250, C36*1.075, C36*1.05))</f>
        <v>380.65440000000001</v>
      </c>
    </row>
    <row r="41" spans="1:7" ht="16.5" customHeight="1" thickBot="1" x14ac:dyDescent="0.35">
      <c r="A41" s="34"/>
      <c r="B41" s="35"/>
      <c r="C41" s="4"/>
      <c r="D41" s="36"/>
      <c r="E41" s="4"/>
      <c r="F41" s="9"/>
    </row>
    <row r="42" spans="1:7" ht="16.5" customHeight="1" x14ac:dyDescent="0.3">
      <c r="A42" s="4"/>
      <c r="B42" s="37" t="s">
        <v>25</v>
      </c>
      <c r="C42" s="37"/>
      <c r="D42" s="38" t="s">
        <v>26</v>
      </c>
      <c r="E42" s="39"/>
      <c r="F42" s="38" t="s">
        <v>27</v>
      </c>
    </row>
    <row r="43" spans="1:7" ht="34.5" customHeight="1" x14ac:dyDescent="0.3">
      <c r="A43" s="6" t="s">
        <v>28</v>
      </c>
      <c r="B43" s="40" t="s">
        <v>138</v>
      </c>
      <c r="C43" s="4"/>
      <c r="D43" s="40" t="s">
        <v>139</v>
      </c>
      <c r="E43" s="4"/>
      <c r="F43" s="40"/>
    </row>
    <row r="44" spans="1:7" ht="34.5" customHeight="1" x14ac:dyDescent="0.3">
      <c r="A44" s="6" t="s">
        <v>29</v>
      </c>
      <c r="B44" s="41"/>
      <c r="C44" s="42"/>
      <c r="D44" s="41"/>
      <c r="E44" s="4"/>
      <c r="F44" s="43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1:F1"/>
    <mergeCell ref="A2:F2"/>
    <mergeCell ref="A4:B4"/>
    <mergeCell ref="A5:B5"/>
    <mergeCell ref="A6:B6"/>
    <mergeCell ref="A7:B7"/>
    <mergeCell ref="A8:B8"/>
    <mergeCell ref="A9:B9"/>
    <mergeCell ref="A11:B11"/>
    <mergeCell ref="A12:B12"/>
    <mergeCell ref="D12:E12"/>
  </mergeCells>
  <conditionalFormatting sqref="D14">
    <cfRule type="cellIs" dxfId="28" priority="2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27" priority="20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26" priority="19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25" priority="18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24" priority="17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23" priority="1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22" priority="15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21" priority="14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20" priority="13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19" priority="12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18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17" priority="10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16" priority="9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15" priority="8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14" priority="7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13" priority="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12" priority="5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11" priority="4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10" priority="3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9" priority="2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8" priority="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6" zoomScaleSheetLayoutView="100" workbookViewId="0">
      <selection activeCell="C40" sqref="C40"/>
    </sheetView>
  </sheetViews>
  <sheetFormatPr defaultRowHeight="13.5" x14ac:dyDescent="0.25"/>
  <cols>
    <col min="1" max="1" width="27.5703125" style="45" customWidth="1"/>
    <col min="2" max="2" width="20.42578125" style="45" customWidth="1"/>
    <col min="3" max="3" width="31.85546875" style="45" customWidth="1"/>
    <col min="4" max="4" width="25.85546875" style="45" customWidth="1"/>
    <col min="5" max="5" width="25.7109375" style="45" customWidth="1"/>
    <col min="6" max="6" width="23.140625" style="45" customWidth="1"/>
    <col min="7" max="7" width="28.42578125" style="45" customWidth="1"/>
    <col min="8" max="8" width="21.5703125" style="45" customWidth="1"/>
    <col min="9" max="9" width="9.140625" style="45" customWidth="1"/>
    <col min="10" max="16384" width="9.140625" style="81"/>
  </cols>
  <sheetData>
    <row r="1" spans="1:5" ht="18.75" customHeight="1" x14ac:dyDescent="0.3">
      <c r="A1" s="606" t="s">
        <v>0</v>
      </c>
      <c r="B1" s="606"/>
      <c r="C1" s="606"/>
      <c r="D1" s="606"/>
      <c r="E1" s="606"/>
    </row>
    <row r="2" spans="1:5" ht="16.5" customHeight="1" x14ac:dyDescent="0.3">
      <c r="A2" s="46" t="s">
        <v>1</v>
      </c>
      <c r="B2" s="47" t="s">
        <v>2</v>
      </c>
    </row>
    <row r="3" spans="1:5" ht="16.5" customHeight="1" x14ac:dyDescent="0.3">
      <c r="A3" s="48" t="s">
        <v>3</v>
      </c>
      <c r="B3" s="48"/>
      <c r="D3" s="49"/>
      <c r="E3" s="50"/>
    </row>
    <row r="4" spans="1:5" ht="16.5" customHeight="1" x14ac:dyDescent="0.3">
      <c r="A4" s="51" t="s">
        <v>4</v>
      </c>
      <c r="B4" s="52" t="s">
        <v>140</v>
      </c>
      <c r="C4" s="50"/>
      <c r="D4" s="50"/>
      <c r="E4" s="50"/>
    </row>
    <row r="5" spans="1:5" ht="16.5" customHeight="1" x14ac:dyDescent="0.3">
      <c r="A5" s="51" t="s">
        <v>6</v>
      </c>
      <c r="B5" s="53">
        <v>99.4</v>
      </c>
      <c r="C5" s="50"/>
      <c r="D5" s="50"/>
      <c r="E5" s="50"/>
    </row>
    <row r="6" spans="1:5" ht="16.5" customHeight="1" x14ac:dyDescent="0.3">
      <c r="A6" s="48" t="s">
        <v>8</v>
      </c>
      <c r="B6" s="53">
        <v>13.07</v>
      </c>
      <c r="C6" s="50"/>
      <c r="D6" s="50"/>
      <c r="E6" s="50"/>
    </row>
    <row r="7" spans="1:5" ht="16.5" customHeight="1" x14ac:dyDescent="0.3">
      <c r="A7" s="48" t="s">
        <v>10</v>
      </c>
      <c r="B7" s="54">
        <v>0.25</v>
      </c>
      <c r="C7" s="50"/>
      <c r="D7" s="50"/>
      <c r="E7" s="50"/>
    </row>
    <row r="8" spans="1:5" ht="15.75" customHeight="1" x14ac:dyDescent="0.25">
      <c r="A8" s="50"/>
      <c r="B8" s="50" t="s">
        <v>141</v>
      </c>
      <c r="C8" s="50"/>
      <c r="D8" s="50"/>
      <c r="E8" s="50"/>
    </row>
    <row r="9" spans="1:5" ht="16.5" customHeight="1" x14ac:dyDescent="0.3">
      <c r="A9" s="55" t="s">
        <v>12</v>
      </c>
      <c r="B9" s="56" t="s">
        <v>13</v>
      </c>
      <c r="C9" s="55" t="s">
        <v>14</v>
      </c>
      <c r="D9" s="55" t="s">
        <v>15</v>
      </c>
      <c r="E9" s="55" t="s">
        <v>16</v>
      </c>
    </row>
    <row r="10" spans="1:5" ht="16.5" customHeight="1" x14ac:dyDescent="0.3">
      <c r="A10" s="57">
        <v>1</v>
      </c>
      <c r="B10" s="58">
        <v>81170310</v>
      </c>
      <c r="C10" s="58">
        <v>13178.5</v>
      </c>
      <c r="D10" s="59">
        <v>1</v>
      </c>
      <c r="E10" s="60">
        <v>12.7</v>
      </c>
    </row>
    <row r="11" spans="1:5" ht="16.5" customHeight="1" x14ac:dyDescent="0.3">
      <c r="A11" s="57">
        <v>2</v>
      </c>
      <c r="B11" s="58">
        <v>81377113</v>
      </c>
      <c r="C11" s="58">
        <v>13175.8</v>
      </c>
      <c r="D11" s="59">
        <v>1</v>
      </c>
      <c r="E11" s="59">
        <v>12.7</v>
      </c>
    </row>
    <row r="12" spans="1:5" ht="16.5" customHeight="1" x14ac:dyDescent="0.3">
      <c r="A12" s="57">
        <v>3</v>
      </c>
      <c r="B12" s="58">
        <v>81483530</v>
      </c>
      <c r="C12" s="58">
        <v>13147.7</v>
      </c>
      <c r="D12" s="59">
        <v>1.1000000000000001</v>
      </c>
      <c r="E12" s="59">
        <v>12.7</v>
      </c>
    </row>
    <row r="13" spans="1:5" ht="16.5" customHeight="1" x14ac:dyDescent="0.3">
      <c r="A13" s="57">
        <v>4</v>
      </c>
      <c r="B13" s="58">
        <v>81212733</v>
      </c>
      <c r="C13" s="58">
        <v>13122.4</v>
      </c>
      <c r="D13" s="59">
        <v>1</v>
      </c>
      <c r="E13" s="59">
        <v>12.7</v>
      </c>
    </row>
    <row r="14" spans="1:5" ht="16.5" customHeight="1" x14ac:dyDescent="0.3">
      <c r="A14" s="57">
        <v>5</v>
      </c>
      <c r="B14" s="58">
        <v>81332929</v>
      </c>
      <c r="C14" s="58">
        <v>13120</v>
      </c>
      <c r="D14" s="59">
        <v>1</v>
      </c>
      <c r="E14" s="59">
        <v>12.7</v>
      </c>
    </row>
    <row r="15" spans="1:5" ht="16.5" customHeight="1" x14ac:dyDescent="0.3">
      <c r="A15" s="57">
        <v>6</v>
      </c>
      <c r="B15" s="61">
        <v>81590698</v>
      </c>
      <c r="C15" s="61">
        <v>13113</v>
      </c>
      <c r="D15" s="62">
        <v>1</v>
      </c>
      <c r="E15" s="62">
        <v>12.7</v>
      </c>
    </row>
    <row r="16" spans="1:5" ht="16.5" customHeight="1" x14ac:dyDescent="0.3">
      <c r="A16" s="63" t="s">
        <v>17</v>
      </c>
      <c r="B16" s="64">
        <f>AVERAGE(B10:B15)</f>
        <v>81361218.833333328</v>
      </c>
      <c r="C16" s="65">
        <f>AVERAGE(C10:C15)</f>
        <v>13142.9</v>
      </c>
      <c r="D16" s="66">
        <f>AVERAGE(D10:D15)</f>
        <v>1.0166666666666666</v>
      </c>
      <c r="E16" s="66">
        <f>AVERAGE(E10:E15)</f>
        <v>12.700000000000001</v>
      </c>
    </row>
    <row r="17" spans="1:5" ht="16.5" customHeight="1" x14ac:dyDescent="0.3">
      <c r="A17" s="67" t="s">
        <v>18</v>
      </c>
      <c r="B17" s="68">
        <f>(STDEV(B10:B15)/B16)</f>
        <v>1.9601362357444477E-3</v>
      </c>
      <c r="C17" s="69"/>
      <c r="D17" s="69"/>
      <c r="E17" s="70"/>
    </row>
    <row r="18" spans="1:5" s="45" customFormat="1" ht="16.5" customHeight="1" x14ac:dyDescent="0.3">
      <c r="A18" s="71" t="s">
        <v>19</v>
      </c>
      <c r="B18" s="72">
        <f>COUNT(B10:B15)</f>
        <v>6</v>
      </c>
      <c r="C18" s="73"/>
      <c r="D18" s="74"/>
      <c r="E18" s="75"/>
    </row>
    <row r="19" spans="1:5" s="45" customFormat="1" ht="15.75" customHeight="1" x14ac:dyDescent="0.25">
      <c r="A19" s="50"/>
      <c r="B19" s="50"/>
      <c r="C19" s="50"/>
      <c r="D19" s="50"/>
      <c r="E19" s="50"/>
    </row>
    <row r="20" spans="1:5" s="45" customFormat="1" ht="16.5" customHeight="1" x14ac:dyDescent="0.3">
      <c r="A20" s="51" t="s">
        <v>20</v>
      </c>
      <c r="B20" s="76" t="s">
        <v>21</v>
      </c>
      <c r="C20" s="77"/>
      <c r="D20" s="77"/>
      <c r="E20" s="77"/>
    </row>
    <row r="21" spans="1:5" ht="16.5" customHeight="1" x14ac:dyDescent="0.3">
      <c r="A21" s="51"/>
      <c r="B21" s="76" t="s">
        <v>22</v>
      </c>
      <c r="C21" s="77"/>
      <c r="D21" s="77"/>
      <c r="E21" s="77"/>
    </row>
    <row r="22" spans="1:5" ht="16.5" customHeight="1" x14ac:dyDescent="0.3">
      <c r="A22" s="51"/>
      <c r="B22" s="76" t="s">
        <v>23</v>
      </c>
      <c r="C22" s="77"/>
      <c r="D22" s="77"/>
      <c r="E22" s="77"/>
    </row>
    <row r="23" spans="1:5" ht="15.75" customHeight="1" x14ac:dyDescent="0.25">
      <c r="A23" s="50"/>
      <c r="B23" s="50"/>
      <c r="C23" s="50"/>
      <c r="D23" s="50"/>
      <c r="E23" s="50"/>
    </row>
    <row r="24" spans="1:5" ht="16.5" customHeight="1" x14ac:dyDescent="0.3">
      <c r="A24" s="46" t="s">
        <v>1</v>
      </c>
      <c r="B24" s="47" t="s">
        <v>24</v>
      </c>
    </row>
    <row r="25" spans="1:5" ht="16.5" customHeight="1" x14ac:dyDescent="0.3">
      <c r="A25" s="51" t="s">
        <v>4</v>
      </c>
      <c r="B25" s="48" t="str">
        <f>B4</f>
        <v>Tadalafil</v>
      </c>
      <c r="C25" s="50"/>
      <c r="D25" s="50"/>
      <c r="E25" s="50"/>
    </row>
    <row r="26" spans="1:5" ht="16.5" customHeight="1" x14ac:dyDescent="0.3">
      <c r="A26" s="51" t="s">
        <v>6</v>
      </c>
      <c r="B26" s="53">
        <f>B5</f>
        <v>99.4</v>
      </c>
      <c r="C26" s="50"/>
      <c r="D26" s="50"/>
      <c r="E26" s="50"/>
    </row>
    <row r="27" spans="1:5" ht="16.5" customHeight="1" x14ac:dyDescent="0.3">
      <c r="A27" s="48" t="s">
        <v>8</v>
      </c>
      <c r="B27" s="53">
        <v>11.33</v>
      </c>
      <c r="C27" s="50"/>
      <c r="D27" s="50"/>
      <c r="E27" s="50"/>
    </row>
    <row r="28" spans="1:5" ht="16.5" customHeight="1" x14ac:dyDescent="0.3">
      <c r="A28" s="48" t="s">
        <v>10</v>
      </c>
      <c r="B28" s="54">
        <f>B27/50*2/20</f>
        <v>2.266E-2</v>
      </c>
      <c r="C28" s="50"/>
      <c r="D28" s="50"/>
      <c r="E28" s="50"/>
    </row>
    <row r="29" spans="1:5" ht="15.75" customHeight="1" x14ac:dyDescent="0.25">
      <c r="A29" s="50"/>
      <c r="B29" s="50"/>
      <c r="C29" s="50"/>
      <c r="D29" s="50"/>
      <c r="E29" s="50"/>
    </row>
    <row r="30" spans="1:5" ht="16.5" customHeight="1" x14ac:dyDescent="0.3">
      <c r="A30" s="55" t="s">
        <v>12</v>
      </c>
      <c r="B30" s="56" t="s">
        <v>13</v>
      </c>
      <c r="C30" s="55" t="s">
        <v>14</v>
      </c>
      <c r="D30" s="55" t="s">
        <v>15</v>
      </c>
      <c r="E30" s="55" t="s">
        <v>16</v>
      </c>
    </row>
    <row r="31" spans="1:5" ht="16.5" customHeight="1" x14ac:dyDescent="0.3">
      <c r="A31" s="57">
        <v>1</v>
      </c>
      <c r="B31" s="58">
        <v>7233914</v>
      </c>
      <c r="C31" s="58">
        <v>13422.9</v>
      </c>
      <c r="D31" s="59">
        <v>1.1000000000000001</v>
      </c>
      <c r="E31" s="60">
        <v>14.4</v>
      </c>
    </row>
    <row r="32" spans="1:5" ht="16.5" customHeight="1" x14ac:dyDescent="0.3">
      <c r="A32" s="57">
        <v>2</v>
      </c>
      <c r="B32" s="58">
        <v>7243227</v>
      </c>
      <c r="C32" s="58">
        <v>13419.6</v>
      </c>
      <c r="D32" s="59">
        <v>1.1000000000000001</v>
      </c>
      <c r="E32" s="59">
        <v>14.4</v>
      </c>
    </row>
    <row r="33" spans="1:7" ht="16.5" customHeight="1" x14ac:dyDescent="0.3">
      <c r="A33" s="57">
        <v>3</v>
      </c>
      <c r="B33" s="58">
        <v>7259614</v>
      </c>
      <c r="C33" s="58">
        <v>13386.9</v>
      </c>
      <c r="D33" s="59">
        <v>1.1000000000000001</v>
      </c>
      <c r="E33" s="59">
        <v>14.4</v>
      </c>
    </row>
    <row r="34" spans="1:7" ht="16.5" customHeight="1" x14ac:dyDescent="0.3">
      <c r="A34" s="57">
        <v>4</v>
      </c>
      <c r="B34" s="58">
        <v>7274581</v>
      </c>
      <c r="C34" s="58">
        <v>13366</v>
      </c>
      <c r="D34" s="59">
        <v>1.1000000000000001</v>
      </c>
      <c r="E34" s="59">
        <v>14.4</v>
      </c>
    </row>
    <row r="35" spans="1:7" ht="16.5" customHeight="1" x14ac:dyDescent="0.3">
      <c r="A35" s="57">
        <v>5</v>
      </c>
      <c r="B35" s="58">
        <v>7245872</v>
      </c>
      <c r="C35" s="58">
        <v>13339</v>
      </c>
      <c r="D35" s="59">
        <v>1.1000000000000001</v>
      </c>
      <c r="E35" s="59">
        <v>14.4</v>
      </c>
    </row>
    <row r="36" spans="1:7" ht="16.5" customHeight="1" x14ac:dyDescent="0.3">
      <c r="A36" s="57">
        <v>6</v>
      </c>
      <c r="B36" s="61">
        <v>7234413</v>
      </c>
      <c r="C36" s="61">
        <v>13291.2</v>
      </c>
      <c r="D36" s="62">
        <v>1.1000000000000001</v>
      </c>
      <c r="E36" s="62">
        <v>14.4</v>
      </c>
    </row>
    <row r="37" spans="1:7" ht="16.5" customHeight="1" x14ac:dyDescent="0.3">
      <c r="A37" s="63" t="s">
        <v>17</v>
      </c>
      <c r="B37" s="64">
        <f>AVERAGE(B31:B36)</f>
        <v>7248603.5</v>
      </c>
      <c r="C37" s="65">
        <f>AVERAGE(C31:C36)</f>
        <v>13370.933333333332</v>
      </c>
      <c r="D37" s="66">
        <f>AVERAGE(D31:D36)</f>
        <v>1.0999999999999999</v>
      </c>
      <c r="E37" s="66">
        <f>AVERAGE(E31:E36)</f>
        <v>14.4</v>
      </c>
    </row>
    <row r="38" spans="1:7" ht="16.5" customHeight="1" x14ac:dyDescent="0.3">
      <c r="A38" s="67" t="s">
        <v>18</v>
      </c>
      <c r="B38" s="68">
        <f>(STDEV(B31:B36)/B37)</f>
        <v>2.1809358329012312E-3</v>
      </c>
      <c r="C38" s="69"/>
      <c r="D38" s="69"/>
      <c r="E38" s="70"/>
    </row>
    <row r="39" spans="1:7" s="45" customFormat="1" ht="16.5" customHeight="1" x14ac:dyDescent="0.3">
      <c r="A39" s="71" t="s">
        <v>19</v>
      </c>
      <c r="B39" s="72">
        <f>COUNT(B31:B36)</f>
        <v>6</v>
      </c>
      <c r="C39" s="73"/>
      <c r="D39" s="74"/>
      <c r="E39" s="75"/>
    </row>
    <row r="40" spans="1:7" s="45" customFormat="1" ht="15.75" customHeight="1" x14ac:dyDescent="0.25">
      <c r="A40" s="50"/>
      <c r="B40" s="50"/>
      <c r="C40" s="50"/>
      <c r="D40" s="50"/>
      <c r="E40" s="50"/>
    </row>
    <row r="41" spans="1:7" s="45" customFormat="1" ht="16.5" customHeight="1" x14ac:dyDescent="0.3">
      <c r="A41" s="51" t="s">
        <v>20</v>
      </c>
      <c r="B41" s="76" t="s">
        <v>21</v>
      </c>
      <c r="C41" s="77"/>
      <c r="D41" s="77"/>
      <c r="E41" s="77"/>
    </row>
    <row r="42" spans="1:7" ht="16.5" customHeight="1" x14ac:dyDescent="0.3">
      <c r="A42" s="51"/>
      <c r="B42" s="76" t="s">
        <v>22</v>
      </c>
      <c r="C42" s="77"/>
      <c r="D42" s="77"/>
      <c r="E42" s="77"/>
    </row>
    <row r="43" spans="1:7" ht="16.5" customHeight="1" x14ac:dyDescent="0.3">
      <c r="A43" s="51"/>
      <c r="B43" s="76" t="s">
        <v>23</v>
      </c>
      <c r="C43" s="77"/>
      <c r="D43" s="77"/>
      <c r="E43" s="77"/>
    </row>
    <row r="44" spans="1:7" ht="14.25" customHeight="1" thickBot="1" x14ac:dyDescent="0.3">
      <c r="A44" s="78"/>
      <c r="B44" s="79"/>
      <c r="D44" s="80"/>
      <c r="F44" s="81"/>
      <c r="G44" s="81"/>
    </row>
    <row r="45" spans="1:7" ht="15" customHeight="1" x14ac:dyDescent="0.3">
      <c r="B45" s="607" t="s">
        <v>25</v>
      </c>
      <c r="C45" s="607"/>
      <c r="E45" s="82" t="s">
        <v>26</v>
      </c>
      <c r="F45" s="83"/>
      <c r="G45" s="82" t="s">
        <v>27</v>
      </c>
    </row>
    <row r="46" spans="1:7" ht="15" customHeight="1" x14ac:dyDescent="0.3">
      <c r="A46" s="84" t="s">
        <v>28</v>
      </c>
      <c r="B46" s="85"/>
      <c r="C46" s="86" t="s">
        <v>142</v>
      </c>
      <c r="E46" s="86" t="s">
        <v>157</v>
      </c>
      <c r="G46" s="85"/>
    </row>
    <row r="47" spans="1:7" ht="15" customHeight="1" x14ac:dyDescent="0.3">
      <c r="A47" s="84" t="s">
        <v>29</v>
      </c>
      <c r="B47" s="87"/>
      <c r="C47" s="87"/>
      <c r="E47" s="87"/>
      <c r="G47" s="8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27" sqref="B27"/>
    </sheetView>
  </sheetViews>
  <sheetFormatPr defaultRowHeight="13.5" x14ac:dyDescent="0.25"/>
  <cols>
    <col min="1" max="1" width="27.5703125" style="45" customWidth="1"/>
    <col min="2" max="2" width="20.42578125" style="45" customWidth="1"/>
    <col min="3" max="3" width="31.85546875" style="45" customWidth="1"/>
    <col min="4" max="4" width="25.85546875" style="45" customWidth="1"/>
    <col min="5" max="5" width="25.7109375" style="45" customWidth="1"/>
    <col min="6" max="6" width="23.140625" style="45" customWidth="1"/>
    <col min="7" max="7" width="28.42578125" style="45" customWidth="1"/>
    <col min="8" max="8" width="21.5703125" style="45" customWidth="1"/>
    <col min="9" max="9" width="9.140625" style="45" customWidth="1"/>
    <col min="10" max="16384" width="9.140625" style="81"/>
  </cols>
  <sheetData>
    <row r="1" spans="1:5" ht="18.75" customHeight="1" x14ac:dyDescent="0.3">
      <c r="A1" s="606" t="s">
        <v>0</v>
      </c>
      <c r="B1" s="606"/>
      <c r="C1" s="606"/>
      <c r="D1" s="606"/>
      <c r="E1" s="606"/>
    </row>
    <row r="2" spans="1:5" ht="16.5" customHeight="1" x14ac:dyDescent="0.3">
      <c r="A2" s="46" t="s">
        <v>1</v>
      </c>
      <c r="B2" s="47" t="s">
        <v>2</v>
      </c>
    </row>
    <row r="3" spans="1:5" ht="16.5" customHeight="1" x14ac:dyDescent="0.3">
      <c r="A3" s="48" t="s">
        <v>3</v>
      </c>
      <c r="B3" s="48"/>
      <c r="D3" s="49"/>
      <c r="E3" s="50"/>
    </row>
    <row r="4" spans="1:5" ht="16.5" customHeight="1" x14ac:dyDescent="0.3">
      <c r="A4" s="51" t="s">
        <v>4</v>
      </c>
      <c r="B4" s="52" t="s">
        <v>140</v>
      </c>
      <c r="C4" s="50"/>
      <c r="D4" s="50"/>
      <c r="E4" s="50"/>
    </row>
    <row r="5" spans="1:5" ht="16.5" customHeight="1" x14ac:dyDescent="0.3">
      <c r="A5" s="51" t="s">
        <v>6</v>
      </c>
      <c r="B5" s="53">
        <v>99.4</v>
      </c>
      <c r="C5" s="50"/>
      <c r="D5" s="50"/>
      <c r="E5" s="50"/>
    </row>
    <row r="6" spans="1:5" ht="16.5" customHeight="1" x14ac:dyDescent="0.3">
      <c r="A6" s="48" t="s">
        <v>8</v>
      </c>
      <c r="B6" s="53">
        <v>13.07</v>
      </c>
      <c r="C6" s="50"/>
      <c r="D6" s="50"/>
      <c r="E6" s="50"/>
    </row>
    <row r="7" spans="1:5" ht="16.5" customHeight="1" x14ac:dyDescent="0.3">
      <c r="A7" s="48" t="s">
        <v>10</v>
      </c>
      <c r="B7" s="54">
        <v>0.25</v>
      </c>
      <c r="C7" s="50"/>
      <c r="D7" s="50"/>
      <c r="E7" s="50"/>
    </row>
    <row r="8" spans="1:5" ht="15.75" customHeight="1" x14ac:dyDescent="0.25">
      <c r="A8" s="50"/>
      <c r="B8" s="50"/>
      <c r="C8" s="50"/>
      <c r="D8" s="50"/>
      <c r="E8" s="50"/>
    </row>
    <row r="9" spans="1:5" ht="16.5" customHeight="1" x14ac:dyDescent="0.3">
      <c r="A9" s="55" t="s">
        <v>12</v>
      </c>
      <c r="B9" s="56" t="s">
        <v>13</v>
      </c>
      <c r="C9" s="55" t="s">
        <v>14</v>
      </c>
      <c r="D9" s="55" t="s">
        <v>15</v>
      </c>
      <c r="E9" s="55" t="s">
        <v>16</v>
      </c>
    </row>
    <row r="10" spans="1:5" ht="16.5" customHeight="1" x14ac:dyDescent="0.3">
      <c r="A10" s="57">
        <v>1</v>
      </c>
      <c r="B10" s="58"/>
      <c r="C10" s="58"/>
      <c r="D10" s="59"/>
      <c r="E10" s="60"/>
    </row>
    <row r="11" spans="1:5" ht="16.5" customHeight="1" x14ac:dyDescent="0.3">
      <c r="A11" s="57">
        <v>2</v>
      </c>
      <c r="B11" s="58"/>
      <c r="C11" s="58"/>
      <c r="D11" s="59"/>
      <c r="E11" s="59"/>
    </row>
    <row r="12" spans="1:5" ht="16.5" customHeight="1" x14ac:dyDescent="0.3">
      <c r="A12" s="57">
        <v>3</v>
      </c>
      <c r="B12" s="58"/>
      <c r="C12" s="58"/>
      <c r="D12" s="59"/>
      <c r="E12" s="59"/>
    </row>
    <row r="13" spans="1:5" ht="16.5" customHeight="1" x14ac:dyDescent="0.3">
      <c r="A13" s="57">
        <v>4</v>
      </c>
      <c r="B13" s="58"/>
      <c r="C13" s="58"/>
      <c r="D13" s="59"/>
      <c r="E13" s="59"/>
    </row>
    <row r="14" spans="1:5" ht="16.5" customHeight="1" x14ac:dyDescent="0.3">
      <c r="A14" s="57">
        <v>5</v>
      </c>
      <c r="B14" s="58"/>
      <c r="C14" s="58"/>
      <c r="D14" s="59"/>
      <c r="E14" s="59"/>
    </row>
    <row r="15" spans="1:5" ht="16.5" customHeight="1" x14ac:dyDescent="0.3">
      <c r="A15" s="57">
        <v>6</v>
      </c>
      <c r="B15" s="61"/>
      <c r="C15" s="61"/>
      <c r="D15" s="62"/>
      <c r="E15" s="62"/>
    </row>
    <row r="16" spans="1:5" ht="16.5" customHeight="1" x14ac:dyDescent="0.3">
      <c r="A16" s="63" t="s">
        <v>17</v>
      </c>
      <c r="B16" s="64" t="e">
        <f>AVERAGE(B10:B15)</f>
        <v>#DIV/0!</v>
      </c>
      <c r="C16" s="65" t="e">
        <f>AVERAGE(C10:C15)</f>
        <v>#DIV/0!</v>
      </c>
      <c r="D16" s="66" t="e">
        <f>AVERAGE(D10:D15)</f>
        <v>#DIV/0!</v>
      </c>
      <c r="E16" s="66" t="e">
        <f>AVERAGE(E10:E15)</f>
        <v>#DIV/0!</v>
      </c>
    </row>
    <row r="17" spans="1:5" ht="16.5" customHeight="1" x14ac:dyDescent="0.3">
      <c r="A17" s="67" t="s">
        <v>18</v>
      </c>
      <c r="B17" s="68" t="e">
        <f>(STDEV(B10:B15)/B16)</f>
        <v>#DIV/0!</v>
      </c>
      <c r="C17" s="69"/>
      <c r="D17" s="69"/>
      <c r="E17" s="70"/>
    </row>
    <row r="18" spans="1:5" s="45" customFormat="1" ht="16.5" customHeight="1" x14ac:dyDescent="0.3">
      <c r="A18" s="71" t="s">
        <v>19</v>
      </c>
      <c r="B18" s="72">
        <f>COUNT(B10:B15)</f>
        <v>0</v>
      </c>
      <c r="C18" s="73"/>
      <c r="D18" s="74"/>
      <c r="E18" s="75"/>
    </row>
    <row r="19" spans="1:5" s="45" customFormat="1" ht="15.75" customHeight="1" x14ac:dyDescent="0.25">
      <c r="A19" s="50"/>
      <c r="B19" s="50"/>
      <c r="C19" s="50"/>
      <c r="D19" s="50"/>
      <c r="E19" s="50"/>
    </row>
    <row r="20" spans="1:5" s="45" customFormat="1" ht="16.5" customHeight="1" x14ac:dyDescent="0.3">
      <c r="A20" s="51" t="s">
        <v>20</v>
      </c>
      <c r="B20" s="76" t="s">
        <v>21</v>
      </c>
      <c r="C20" s="77"/>
      <c r="D20" s="77"/>
      <c r="E20" s="77"/>
    </row>
    <row r="21" spans="1:5" ht="16.5" customHeight="1" x14ac:dyDescent="0.3">
      <c r="A21" s="51"/>
      <c r="B21" s="76" t="s">
        <v>22</v>
      </c>
      <c r="C21" s="77"/>
      <c r="D21" s="77"/>
      <c r="E21" s="77"/>
    </row>
    <row r="22" spans="1:5" ht="16.5" customHeight="1" x14ac:dyDescent="0.3">
      <c r="A22" s="51"/>
      <c r="B22" s="76" t="s">
        <v>23</v>
      </c>
      <c r="C22" s="77"/>
      <c r="D22" s="77"/>
      <c r="E22" s="77"/>
    </row>
    <row r="23" spans="1:5" ht="15.75" customHeight="1" x14ac:dyDescent="0.25">
      <c r="A23" s="50"/>
      <c r="B23" s="50"/>
      <c r="C23" s="50"/>
      <c r="D23" s="50"/>
      <c r="E23" s="50"/>
    </row>
    <row r="24" spans="1:5" ht="16.5" customHeight="1" x14ac:dyDescent="0.3">
      <c r="A24" s="46" t="s">
        <v>1</v>
      </c>
      <c r="B24" s="47" t="s">
        <v>24</v>
      </c>
    </row>
    <row r="25" spans="1:5" ht="16.5" customHeight="1" x14ac:dyDescent="0.3">
      <c r="A25" s="51" t="s">
        <v>4</v>
      </c>
      <c r="B25" s="48" t="str">
        <f>B4</f>
        <v>Tadalafil</v>
      </c>
      <c r="C25" s="50"/>
      <c r="D25" s="50"/>
      <c r="E25" s="50"/>
    </row>
    <row r="26" spans="1:5" ht="16.5" customHeight="1" x14ac:dyDescent="0.3">
      <c r="A26" s="51" t="s">
        <v>6</v>
      </c>
      <c r="B26" s="53">
        <f>B5</f>
        <v>99.4</v>
      </c>
      <c r="C26" s="50"/>
      <c r="D26" s="50"/>
      <c r="E26" s="50"/>
    </row>
    <row r="27" spans="1:5" ht="16.5" customHeight="1" x14ac:dyDescent="0.3">
      <c r="A27" s="48" t="s">
        <v>8</v>
      </c>
      <c r="B27" s="53">
        <f>B6</f>
        <v>13.07</v>
      </c>
      <c r="C27" s="50"/>
      <c r="D27" s="50"/>
      <c r="E27" s="50"/>
    </row>
    <row r="28" spans="1:5" ht="16.5" customHeight="1" x14ac:dyDescent="0.3">
      <c r="A28" s="48" t="s">
        <v>10</v>
      </c>
      <c r="B28" s="54">
        <f>B7*2/20</f>
        <v>2.5000000000000001E-2</v>
      </c>
      <c r="C28" s="50"/>
      <c r="D28" s="50"/>
      <c r="E28" s="50"/>
    </row>
    <row r="29" spans="1:5" ht="15.75" customHeight="1" x14ac:dyDescent="0.25">
      <c r="A29" s="50"/>
      <c r="B29" s="50"/>
      <c r="C29" s="50"/>
      <c r="D29" s="50"/>
      <c r="E29" s="50"/>
    </row>
    <row r="30" spans="1:5" ht="16.5" customHeight="1" x14ac:dyDescent="0.3">
      <c r="A30" s="55" t="s">
        <v>12</v>
      </c>
      <c r="B30" s="56" t="s">
        <v>13</v>
      </c>
      <c r="C30" s="55" t="s">
        <v>14</v>
      </c>
      <c r="D30" s="55" t="s">
        <v>15</v>
      </c>
      <c r="E30" s="55" t="s">
        <v>16</v>
      </c>
    </row>
    <row r="31" spans="1:5" ht="16.5" customHeight="1" x14ac:dyDescent="0.3">
      <c r="A31" s="57">
        <v>1</v>
      </c>
      <c r="B31" s="58">
        <v>8688665</v>
      </c>
      <c r="C31" s="58">
        <v>13540.6</v>
      </c>
      <c r="D31" s="59">
        <v>1.1000000000000001</v>
      </c>
      <c r="E31" s="60">
        <v>12.7</v>
      </c>
    </row>
    <row r="32" spans="1:5" ht="16.5" customHeight="1" x14ac:dyDescent="0.3">
      <c r="A32" s="57">
        <v>2</v>
      </c>
      <c r="B32" s="58">
        <v>8733029</v>
      </c>
      <c r="C32" s="58">
        <v>13525.5</v>
      </c>
      <c r="D32" s="59">
        <v>1.1000000000000001</v>
      </c>
      <c r="E32" s="59">
        <v>12.7</v>
      </c>
    </row>
    <row r="33" spans="1:7" ht="16.5" customHeight="1" x14ac:dyDescent="0.3">
      <c r="A33" s="57">
        <v>3</v>
      </c>
      <c r="B33" s="58">
        <v>8713427</v>
      </c>
      <c r="C33" s="58">
        <v>13549.5</v>
      </c>
      <c r="D33" s="59">
        <v>1.1000000000000001</v>
      </c>
      <c r="E33" s="59">
        <v>12.7</v>
      </c>
    </row>
    <row r="34" spans="1:7" ht="16.5" customHeight="1" x14ac:dyDescent="0.3">
      <c r="A34" s="57">
        <v>4</v>
      </c>
      <c r="B34" s="58">
        <v>8734181</v>
      </c>
      <c r="C34" s="58">
        <v>13483.3</v>
      </c>
      <c r="D34" s="59">
        <v>1.1000000000000001</v>
      </c>
      <c r="E34" s="59">
        <v>12.7</v>
      </c>
    </row>
    <row r="35" spans="1:7" ht="16.5" customHeight="1" x14ac:dyDescent="0.3">
      <c r="A35" s="57">
        <v>5</v>
      </c>
      <c r="B35" s="61">
        <v>8712080</v>
      </c>
      <c r="C35" s="58">
        <v>13522.7</v>
      </c>
      <c r="D35" s="59">
        <v>1.1000000000000001</v>
      </c>
      <c r="E35" s="59">
        <v>12.7</v>
      </c>
    </row>
    <row r="36" spans="1:7" ht="16.5" customHeight="1" x14ac:dyDescent="0.3">
      <c r="A36" s="57">
        <v>6</v>
      </c>
      <c r="B36" s="61">
        <v>8727843</v>
      </c>
      <c r="C36" s="61">
        <v>13411</v>
      </c>
      <c r="D36" s="62">
        <v>1.1000000000000001</v>
      </c>
      <c r="E36" s="62">
        <v>12.7</v>
      </c>
    </row>
    <row r="37" spans="1:7" ht="16.5" customHeight="1" x14ac:dyDescent="0.3">
      <c r="A37" s="63" t="s">
        <v>17</v>
      </c>
      <c r="B37" s="64">
        <f>AVERAGE(B31:B36)</f>
        <v>8718204.166666666</v>
      </c>
      <c r="C37" s="65">
        <f>AVERAGE(C31:C36)</f>
        <v>13505.433333333332</v>
      </c>
      <c r="D37" s="66">
        <f>AVERAGE(D31:D36)</f>
        <v>1.0999999999999999</v>
      </c>
      <c r="E37" s="66">
        <f>AVERAGE(E31:E36)</f>
        <v>12.700000000000001</v>
      </c>
    </row>
    <row r="38" spans="1:7" ht="16.5" customHeight="1" x14ac:dyDescent="0.3">
      <c r="A38" s="67" t="s">
        <v>18</v>
      </c>
      <c r="B38" s="68">
        <f>(STDEV(B31:B36)/B37)</f>
        <v>1.9872562563239002E-3</v>
      </c>
      <c r="C38" s="69"/>
      <c r="D38" s="69"/>
      <c r="E38" s="70"/>
    </row>
    <row r="39" spans="1:7" s="45" customFormat="1" ht="16.5" customHeight="1" x14ac:dyDescent="0.3">
      <c r="A39" s="71" t="s">
        <v>19</v>
      </c>
      <c r="B39" s="72">
        <f>COUNT(B31:B36)</f>
        <v>6</v>
      </c>
      <c r="C39" s="73"/>
      <c r="D39" s="74"/>
      <c r="E39" s="75"/>
    </row>
    <row r="40" spans="1:7" s="45" customFormat="1" ht="15.75" customHeight="1" x14ac:dyDescent="0.25">
      <c r="A40" s="50"/>
      <c r="B40" s="50"/>
      <c r="C40" s="50"/>
      <c r="D40" s="50"/>
      <c r="E40" s="50"/>
    </row>
    <row r="41" spans="1:7" s="45" customFormat="1" ht="16.5" customHeight="1" x14ac:dyDescent="0.3">
      <c r="A41" s="51" t="s">
        <v>20</v>
      </c>
      <c r="B41" s="76" t="s">
        <v>21</v>
      </c>
      <c r="C41" s="77"/>
      <c r="D41" s="77"/>
      <c r="E41" s="77"/>
    </row>
    <row r="42" spans="1:7" ht="16.5" customHeight="1" x14ac:dyDescent="0.3">
      <c r="A42" s="51"/>
      <c r="B42" s="76" t="s">
        <v>22</v>
      </c>
      <c r="C42" s="77"/>
      <c r="D42" s="77"/>
      <c r="E42" s="77"/>
    </row>
    <row r="43" spans="1:7" ht="16.5" customHeight="1" x14ac:dyDescent="0.3">
      <c r="A43" s="51"/>
      <c r="B43" s="76" t="s">
        <v>23</v>
      </c>
      <c r="C43" s="77"/>
      <c r="D43" s="77"/>
      <c r="E43" s="77"/>
    </row>
    <row r="44" spans="1:7" ht="14.25" customHeight="1" thickBot="1" x14ac:dyDescent="0.3">
      <c r="A44" s="78"/>
      <c r="B44" s="79"/>
      <c r="D44" s="80"/>
      <c r="F44" s="81"/>
      <c r="G44" s="81"/>
    </row>
    <row r="45" spans="1:7" ht="15" customHeight="1" x14ac:dyDescent="0.3">
      <c r="B45" s="607" t="s">
        <v>25</v>
      </c>
      <c r="C45" s="607"/>
      <c r="E45" s="82" t="s">
        <v>26</v>
      </c>
      <c r="F45" s="83"/>
      <c r="G45" s="82" t="s">
        <v>27</v>
      </c>
    </row>
    <row r="46" spans="1:7" ht="15" customHeight="1" x14ac:dyDescent="0.3">
      <c r="A46" s="84" t="s">
        <v>28</v>
      </c>
      <c r="B46" s="85"/>
      <c r="C46" s="86" t="s">
        <v>142</v>
      </c>
      <c r="E46" s="86" t="s">
        <v>143</v>
      </c>
      <c r="G46" s="85"/>
    </row>
    <row r="47" spans="1:7" ht="15" customHeight="1" x14ac:dyDescent="0.3">
      <c r="A47" s="84" t="s">
        <v>29</v>
      </c>
      <c r="B47" s="87"/>
      <c r="C47" s="87"/>
      <c r="E47" s="87"/>
      <c r="G47" s="8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view="pageBreakPreview" topLeftCell="A46" zoomScale="60" zoomScaleNormal="70" workbookViewId="0">
      <selection activeCell="D41" sqref="D41"/>
    </sheetView>
  </sheetViews>
  <sheetFormatPr defaultRowHeight="12.75" x14ac:dyDescent="0.2"/>
  <cols>
    <col min="1" max="1" width="54.85546875" style="89" customWidth="1"/>
    <col min="2" max="2" width="39.42578125" style="89" customWidth="1"/>
    <col min="3" max="3" width="42.5703125" style="89" customWidth="1"/>
    <col min="4" max="4" width="21" style="89" customWidth="1"/>
    <col min="5" max="5" width="28.28515625" style="89" customWidth="1"/>
    <col min="6" max="6" width="23.85546875" style="89" customWidth="1"/>
    <col min="7" max="7" width="26" style="89" customWidth="1"/>
    <col min="8" max="16384" width="9.140625" style="89"/>
  </cols>
  <sheetData>
    <row r="1" spans="1:7" x14ac:dyDescent="0.2">
      <c r="A1" s="625" t="s">
        <v>44</v>
      </c>
      <c r="B1" s="625"/>
      <c r="C1" s="625"/>
      <c r="D1" s="625"/>
      <c r="E1" s="625"/>
      <c r="F1" s="625"/>
      <c r="G1" s="625"/>
    </row>
    <row r="2" spans="1:7" x14ac:dyDescent="0.2">
      <c r="A2" s="625"/>
      <c r="B2" s="625"/>
      <c r="C2" s="625"/>
      <c r="D2" s="625"/>
      <c r="E2" s="625"/>
      <c r="F2" s="625"/>
      <c r="G2" s="625"/>
    </row>
    <row r="3" spans="1:7" x14ac:dyDescent="0.2">
      <c r="A3" s="625"/>
      <c r="B3" s="625"/>
      <c r="C3" s="625"/>
      <c r="D3" s="625"/>
      <c r="E3" s="625"/>
      <c r="F3" s="625"/>
      <c r="G3" s="625"/>
    </row>
    <row r="4" spans="1:7" x14ac:dyDescent="0.2">
      <c r="A4" s="625"/>
      <c r="B4" s="625"/>
      <c r="C4" s="625"/>
      <c r="D4" s="625"/>
      <c r="E4" s="625"/>
      <c r="F4" s="625"/>
      <c r="G4" s="625"/>
    </row>
    <row r="5" spans="1:7" x14ac:dyDescent="0.2">
      <c r="A5" s="625"/>
      <c r="B5" s="625"/>
      <c r="C5" s="625"/>
      <c r="D5" s="625"/>
      <c r="E5" s="625"/>
      <c r="F5" s="625"/>
      <c r="G5" s="625"/>
    </row>
    <row r="6" spans="1:7" x14ac:dyDescent="0.2">
      <c r="A6" s="625"/>
      <c r="B6" s="625"/>
      <c r="C6" s="625"/>
      <c r="D6" s="625"/>
      <c r="E6" s="625"/>
      <c r="F6" s="625"/>
      <c r="G6" s="625"/>
    </row>
    <row r="7" spans="1:7" x14ac:dyDescent="0.2">
      <c r="A7" s="625"/>
      <c r="B7" s="625"/>
      <c r="C7" s="625"/>
      <c r="D7" s="625"/>
      <c r="E7" s="625"/>
      <c r="F7" s="625"/>
      <c r="G7" s="625"/>
    </row>
    <row r="8" spans="1:7" x14ac:dyDescent="0.2">
      <c r="A8" s="626" t="s">
        <v>45</v>
      </c>
      <c r="B8" s="626"/>
      <c r="C8" s="626"/>
      <c r="D8" s="626"/>
      <c r="E8" s="626"/>
      <c r="F8" s="626"/>
      <c r="G8" s="626"/>
    </row>
    <row r="9" spans="1:7" x14ac:dyDescent="0.2">
      <c r="A9" s="626"/>
      <c r="B9" s="626"/>
      <c r="C9" s="626"/>
      <c r="D9" s="626"/>
      <c r="E9" s="626"/>
      <c r="F9" s="626"/>
      <c r="G9" s="626"/>
    </row>
    <row r="10" spans="1:7" x14ac:dyDescent="0.2">
      <c r="A10" s="626"/>
      <c r="B10" s="626"/>
      <c r="C10" s="626"/>
      <c r="D10" s="626"/>
      <c r="E10" s="626"/>
      <c r="F10" s="626"/>
      <c r="G10" s="626"/>
    </row>
    <row r="11" spans="1:7" x14ac:dyDescent="0.2">
      <c r="A11" s="626"/>
      <c r="B11" s="626"/>
      <c r="C11" s="626"/>
      <c r="D11" s="626"/>
      <c r="E11" s="626"/>
      <c r="F11" s="626"/>
      <c r="G11" s="626"/>
    </row>
    <row r="12" spans="1:7" x14ac:dyDescent="0.2">
      <c r="A12" s="626"/>
      <c r="B12" s="626"/>
      <c r="C12" s="626"/>
      <c r="D12" s="626"/>
      <c r="E12" s="626"/>
      <c r="F12" s="626"/>
      <c r="G12" s="626"/>
    </row>
    <row r="13" spans="1:7" x14ac:dyDescent="0.2">
      <c r="A13" s="626"/>
      <c r="B13" s="626"/>
      <c r="C13" s="626"/>
      <c r="D13" s="626"/>
      <c r="E13" s="626"/>
      <c r="F13" s="626"/>
      <c r="G13" s="626"/>
    </row>
    <row r="14" spans="1:7" x14ac:dyDescent="0.2">
      <c r="A14" s="626"/>
      <c r="B14" s="626"/>
      <c r="C14" s="626"/>
      <c r="D14" s="626"/>
      <c r="E14" s="626"/>
      <c r="F14" s="626"/>
      <c r="G14" s="626"/>
    </row>
    <row r="15" spans="1:7" ht="19.5" customHeight="1" thickBot="1" x14ac:dyDescent="0.35">
      <c r="A15" s="90"/>
      <c r="B15" s="90"/>
      <c r="C15" s="90"/>
      <c r="D15" s="90"/>
      <c r="E15" s="90"/>
      <c r="F15" s="90"/>
      <c r="G15" s="90"/>
    </row>
    <row r="16" spans="1:7" ht="19.5" customHeight="1" thickBot="1" x14ac:dyDescent="0.35">
      <c r="A16" s="627" t="s">
        <v>30</v>
      </c>
      <c r="B16" s="628"/>
      <c r="C16" s="628"/>
      <c r="D16" s="628"/>
      <c r="E16" s="628"/>
      <c r="F16" s="628"/>
      <c r="G16" s="628"/>
    </row>
    <row r="17" spans="1:7" ht="18.75" customHeight="1" x14ac:dyDescent="0.3">
      <c r="A17" s="91" t="s">
        <v>46</v>
      </c>
      <c r="B17" s="91"/>
      <c r="C17" s="90"/>
      <c r="D17" s="90"/>
      <c r="E17" s="90"/>
      <c r="F17" s="90"/>
      <c r="G17" s="90"/>
    </row>
    <row r="18" spans="1:7" ht="26.25" customHeight="1" x14ac:dyDescent="0.4">
      <c r="A18" s="92" t="s">
        <v>32</v>
      </c>
      <c r="B18" s="629" t="s">
        <v>158</v>
      </c>
      <c r="C18" s="629"/>
      <c r="D18" s="93"/>
      <c r="E18" s="93"/>
      <c r="F18" s="90"/>
      <c r="G18" s="90"/>
    </row>
    <row r="19" spans="1:7" ht="26.25" customHeight="1" x14ac:dyDescent="0.4">
      <c r="A19" s="92" t="s">
        <v>33</v>
      </c>
      <c r="B19" s="94" t="s">
        <v>7</v>
      </c>
      <c r="C19" s="90">
        <v>12</v>
      </c>
      <c r="E19" s="90"/>
      <c r="F19" s="90"/>
      <c r="G19" s="90"/>
    </row>
    <row r="20" spans="1:7" ht="26.25" customHeight="1" x14ac:dyDescent="0.4">
      <c r="A20" s="92" t="s">
        <v>34</v>
      </c>
      <c r="B20" s="618" t="s">
        <v>159</v>
      </c>
      <c r="C20" s="618"/>
      <c r="D20" s="90"/>
      <c r="E20" s="90"/>
      <c r="F20" s="90"/>
      <c r="G20" s="90"/>
    </row>
    <row r="21" spans="1:7" ht="26.25" customHeight="1" x14ac:dyDescent="0.4">
      <c r="A21" s="92" t="s">
        <v>35</v>
      </c>
      <c r="B21" s="95" t="s">
        <v>144</v>
      </c>
      <c r="C21" s="95"/>
      <c r="D21" s="96"/>
      <c r="E21" s="96"/>
      <c r="F21" s="96"/>
      <c r="G21" s="96"/>
    </row>
    <row r="22" spans="1:7" ht="26.25" customHeight="1" x14ac:dyDescent="0.4">
      <c r="A22" s="92" t="s">
        <v>36</v>
      </c>
      <c r="B22" s="97">
        <v>42405</v>
      </c>
      <c r="C22" s="98"/>
      <c r="D22" s="90"/>
      <c r="E22" s="90"/>
      <c r="F22" s="90"/>
      <c r="G22" s="90"/>
    </row>
    <row r="23" spans="1:7" ht="26.25" customHeight="1" x14ac:dyDescent="0.4">
      <c r="A23" s="92" t="s">
        <v>37</v>
      </c>
      <c r="B23" s="97">
        <v>42408</v>
      </c>
      <c r="C23" s="98"/>
      <c r="D23" s="90"/>
      <c r="E23" s="90"/>
      <c r="F23" s="90"/>
      <c r="G23" s="90"/>
    </row>
    <row r="24" spans="1:7" ht="18.75" customHeight="1" x14ac:dyDescent="0.3">
      <c r="A24" s="92"/>
      <c r="B24" s="99"/>
      <c r="C24" s="90"/>
      <c r="D24" s="90"/>
      <c r="E24" s="90"/>
      <c r="F24" s="90"/>
      <c r="G24" s="90"/>
    </row>
    <row r="25" spans="1:7" ht="18.75" customHeight="1" x14ac:dyDescent="0.3">
      <c r="A25" s="100" t="s">
        <v>1</v>
      </c>
      <c r="B25" s="99"/>
      <c r="C25" s="90"/>
      <c r="D25" s="90"/>
      <c r="E25" s="90"/>
      <c r="F25" s="90"/>
      <c r="G25" s="90"/>
    </row>
    <row r="26" spans="1:7" ht="26.25" customHeight="1" x14ac:dyDescent="0.4">
      <c r="A26" s="101" t="s">
        <v>4</v>
      </c>
      <c r="B26" s="629" t="s">
        <v>140</v>
      </c>
      <c r="C26" s="629"/>
      <c r="D26" s="90"/>
      <c r="E26" s="90"/>
      <c r="F26" s="90"/>
      <c r="G26" s="90"/>
    </row>
    <row r="27" spans="1:7" ht="26.25" customHeight="1" x14ac:dyDescent="0.4">
      <c r="A27" s="102" t="s">
        <v>47</v>
      </c>
      <c r="B27" s="618" t="s">
        <v>153</v>
      </c>
      <c r="C27" s="618"/>
      <c r="D27" s="90"/>
      <c r="E27" s="90"/>
      <c r="F27" s="90"/>
      <c r="G27" s="90"/>
    </row>
    <row r="28" spans="1:7" ht="27" customHeight="1" thickBot="1" x14ac:dyDescent="0.45">
      <c r="A28" s="102" t="s">
        <v>6</v>
      </c>
      <c r="B28" s="103">
        <v>99.4</v>
      </c>
      <c r="C28" s="90"/>
      <c r="D28" s="90"/>
      <c r="E28" s="90"/>
      <c r="F28" s="90"/>
      <c r="G28" s="90"/>
    </row>
    <row r="29" spans="1:7" ht="27" customHeight="1" thickBot="1" x14ac:dyDescent="0.45">
      <c r="A29" s="102" t="s">
        <v>48</v>
      </c>
      <c r="B29" s="104">
        <v>0</v>
      </c>
      <c r="C29" s="619" t="s">
        <v>115</v>
      </c>
      <c r="D29" s="620"/>
      <c r="E29" s="620"/>
      <c r="F29" s="620"/>
      <c r="G29" s="621"/>
    </row>
    <row r="30" spans="1:7" ht="19.5" customHeight="1" thickBot="1" x14ac:dyDescent="0.35">
      <c r="A30" s="102" t="s">
        <v>50</v>
      </c>
      <c r="B30" s="105">
        <f>B28-B29</f>
        <v>99.4</v>
      </c>
      <c r="C30" s="106"/>
      <c r="D30" s="106"/>
      <c r="E30" s="106"/>
      <c r="F30" s="106"/>
      <c r="G30" s="106"/>
    </row>
    <row r="31" spans="1:7" ht="27" customHeight="1" thickBot="1" x14ac:dyDescent="0.45">
      <c r="A31" s="102" t="s">
        <v>51</v>
      </c>
      <c r="B31" s="107">
        <v>1</v>
      </c>
      <c r="C31" s="619" t="s">
        <v>52</v>
      </c>
      <c r="D31" s="620"/>
      <c r="E31" s="620"/>
      <c r="F31" s="620"/>
      <c r="G31" s="621"/>
    </row>
    <row r="32" spans="1:7" ht="27" customHeight="1" thickBot="1" x14ac:dyDescent="0.45">
      <c r="A32" s="102" t="s">
        <v>53</v>
      </c>
      <c r="B32" s="107">
        <v>1</v>
      </c>
      <c r="C32" s="619" t="s">
        <v>54</v>
      </c>
      <c r="D32" s="620"/>
      <c r="E32" s="620"/>
      <c r="F32" s="620"/>
      <c r="G32" s="621"/>
    </row>
    <row r="33" spans="1:7" ht="18.75" customHeight="1" x14ac:dyDescent="0.3">
      <c r="A33" s="102"/>
      <c r="B33" s="108"/>
      <c r="C33" s="109"/>
      <c r="D33" s="109"/>
      <c r="E33" s="109"/>
      <c r="F33" s="109"/>
      <c r="G33" s="109"/>
    </row>
    <row r="34" spans="1:7" ht="18.75" customHeight="1" x14ac:dyDescent="0.3">
      <c r="A34" s="102" t="s">
        <v>55</v>
      </c>
      <c r="B34" s="110">
        <f>B31/B32</f>
        <v>1</v>
      </c>
      <c r="C34" s="90" t="s">
        <v>56</v>
      </c>
      <c r="D34" s="90"/>
      <c r="E34" s="90"/>
      <c r="F34" s="90"/>
      <c r="G34" s="90"/>
    </row>
    <row r="35" spans="1:7" ht="19.5" customHeight="1" thickBot="1" x14ac:dyDescent="0.35">
      <c r="A35" s="102"/>
      <c r="B35" s="105"/>
      <c r="C35" s="111"/>
      <c r="D35" s="111"/>
      <c r="E35" s="111"/>
      <c r="F35" s="111"/>
      <c r="G35" s="90"/>
    </row>
    <row r="36" spans="1:7" ht="27" customHeight="1" thickBot="1" x14ac:dyDescent="0.45">
      <c r="A36" s="112" t="s">
        <v>116</v>
      </c>
      <c r="B36" s="113">
        <v>100</v>
      </c>
      <c r="C36" s="90"/>
      <c r="D36" s="622" t="s">
        <v>57</v>
      </c>
      <c r="E36" s="623"/>
      <c r="F36" s="622" t="s">
        <v>58</v>
      </c>
      <c r="G36" s="624"/>
    </row>
    <row r="37" spans="1:7" ht="26.25" customHeight="1" x14ac:dyDescent="0.4">
      <c r="A37" s="114" t="s">
        <v>59</v>
      </c>
      <c r="B37" s="115">
        <v>3</v>
      </c>
      <c r="C37" s="116" t="s">
        <v>60</v>
      </c>
      <c r="D37" s="117" t="s">
        <v>61</v>
      </c>
      <c r="E37" s="118" t="s">
        <v>62</v>
      </c>
      <c r="F37" s="117" t="s">
        <v>61</v>
      </c>
      <c r="G37" s="119" t="s">
        <v>62</v>
      </c>
    </row>
    <row r="38" spans="1:7" ht="26.25" customHeight="1" x14ac:dyDescent="0.4">
      <c r="A38" s="114" t="s">
        <v>63</v>
      </c>
      <c r="B38" s="115">
        <v>50</v>
      </c>
      <c r="C38" s="120">
        <v>1</v>
      </c>
      <c r="D38" s="595">
        <v>0.51129999999999998</v>
      </c>
      <c r="E38" s="121">
        <f>IF(ISBLANK(D38),"-",$D$48/$D$45*D38)</f>
        <v>0.38545246752150214</v>
      </c>
      <c r="F38" s="595">
        <v>0.49530000000000002</v>
      </c>
      <c r="G38" s="122">
        <f>IF(ISBLANK(F38),"-",$D$48/$F$45*F38)</f>
        <v>0.39847240178375326</v>
      </c>
    </row>
    <row r="39" spans="1:7" ht="26.25" customHeight="1" x14ac:dyDescent="0.4">
      <c r="A39" s="114" t="s">
        <v>64</v>
      </c>
      <c r="B39" s="115">
        <v>1</v>
      </c>
      <c r="C39" s="123">
        <v>2</v>
      </c>
      <c r="D39" s="596">
        <v>0.52400000000000002</v>
      </c>
      <c r="E39" s="124">
        <f>IF(ISBLANK(D39),"-",$D$48/$D$45*D39)</f>
        <v>0.39502658513840633</v>
      </c>
      <c r="F39" s="596">
        <v>0.49709999999999999</v>
      </c>
      <c r="G39" s="125">
        <f>IF(ISBLANK(F39),"-",$D$48/$F$45*F39)</f>
        <v>0.39992051469150763</v>
      </c>
    </row>
    <row r="40" spans="1:7" ht="26.25" customHeight="1" x14ac:dyDescent="0.4">
      <c r="A40" s="114" t="s">
        <v>65</v>
      </c>
      <c r="B40" s="115">
        <v>1</v>
      </c>
      <c r="C40" s="123">
        <v>3</v>
      </c>
      <c r="D40" s="596">
        <v>0.52559999999999996</v>
      </c>
      <c r="E40" s="124">
        <f>IF(ISBLANK(D40),"-",$D$48/$D$45*D40)</f>
        <v>0.3962327731846304</v>
      </c>
      <c r="F40" s="596">
        <v>0.49380000000000002</v>
      </c>
      <c r="G40" s="125">
        <f>IF(ISBLANK(F40),"-",$D$48/$F$45*F40)</f>
        <v>0.39726564102729128</v>
      </c>
    </row>
    <row r="41" spans="1:7" ht="26.25" customHeight="1" x14ac:dyDescent="0.4">
      <c r="A41" s="114" t="s">
        <v>66</v>
      </c>
      <c r="B41" s="115">
        <v>1</v>
      </c>
      <c r="C41" s="126">
        <v>4</v>
      </c>
      <c r="D41" s="597">
        <v>0.5232</v>
      </c>
      <c r="E41" s="127">
        <f>IF(ISBLANK(D41),"-",$D$48/$D$45*D41)</f>
        <v>0.39442349111529423</v>
      </c>
      <c r="F41" s="597">
        <v>0.499</v>
      </c>
      <c r="G41" s="128">
        <f>IF(ISBLANK(F41),"-",$D$48/$F$45*F41)</f>
        <v>0.40144907831635951</v>
      </c>
    </row>
    <row r="42" spans="1:7" ht="27" customHeight="1" thickBot="1" x14ac:dyDescent="0.45">
      <c r="A42" s="114" t="s">
        <v>67</v>
      </c>
      <c r="B42" s="115">
        <v>1</v>
      </c>
      <c r="C42" s="129" t="s">
        <v>68</v>
      </c>
      <c r="D42" s="130">
        <f>AVERAGE(D38:D41)</f>
        <v>0.52102499999999996</v>
      </c>
      <c r="E42" s="131">
        <f>AVERAGE(E38:E41)</f>
        <v>0.39278382923995825</v>
      </c>
      <c r="F42" s="130">
        <f>AVERAGE(F38:F41)</f>
        <v>0.49629999999999996</v>
      </c>
      <c r="G42" s="132">
        <f>AVERAGE(G38:G41)</f>
        <v>0.39927690895472795</v>
      </c>
    </row>
    <row r="43" spans="1:7" ht="26.25" customHeight="1" x14ac:dyDescent="0.4">
      <c r="A43" s="114" t="s">
        <v>69</v>
      </c>
      <c r="B43" s="115">
        <v>1</v>
      </c>
      <c r="C43" s="133" t="s">
        <v>104</v>
      </c>
      <c r="D43" s="134">
        <v>26.69</v>
      </c>
      <c r="E43" s="90"/>
      <c r="F43" s="134">
        <v>25.01</v>
      </c>
      <c r="G43" s="90"/>
    </row>
    <row r="44" spans="1:7" ht="26.25" customHeight="1" x14ac:dyDescent="0.4">
      <c r="A44" s="114" t="s">
        <v>71</v>
      </c>
      <c r="B44" s="115">
        <v>1</v>
      </c>
      <c r="C44" s="135" t="s">
        <v>105</v>
      </c>
      <c r="D44" s="136">
        <f>D43*$B$34</f>
        <v>26.69</v>
      </c>
      <c r="E44" s="137"/>
      <c r="F44" s="136">
        <f>F43*$B$34</f>
        <v>25.01</v>
      </c>
      <c r="G44" s="90"/>
    </row>
    <row r="45" spans="1:7" ht="19.5" customHeight="1" thickBot="1" x14ac:dyDescent="0.35">
      <c r="A45" s="114" t="s">
        <v>73</v>
      </c>
      <c r="B45" s="138">
        <f>(B44/B43)*(B42/B41)*(B40/B39)*(B38/B37)*B36</f>
        <v>1666.6666666666667</v>
      </c>
      <c r="C45" s="135" t="s">
        <v>74</v>
      </c>
      <c r="D45" s="139">
        <f>D44*$B$30/100</f>
        <v>26.529860000000003</v>
      </c>
      <c r="E45" s="140"/>
      <c r="F45" s="139">
        <f>F44*$B$30/100</f>
        <v>24.859940000000002</v>
      </c>
      <c r="G45" s="90"/>
    </row>
    <row r="46" spans="1:7" ht="19.5" customHeight="1" thickBot="1" x14ac:dyDescent="0.35">
      <c r="A46" s="608" t="s">
        <v>75</v>
      </c>
      <c r="B46" s="609"/>
      <c r="C46" s="135" t="s">
        <v>76</v>
      </c>
      <c r="D46" s="136">
        <f>D45/$B$45</f>
        <v>1.5917916000000001E-2</v>
      </c>
      <c r="E46" s="140"/>
      <c r="F46" s="141">
        <f>F45/$B$45</f>
        <v>1.4915964E-2</v>
      </c>
      <c r="G46" s="90"/>
    </row>
    <row r="47" spans="1:7" ht="27" customHeight="1" thickBot="1" x14ac:dyDescent="0.45">
      <c r="A47" s="610"/>
      <c r="B47" s="611"/>
      <c r="C47" s="142" t="s">
        <v>117</v>
      </c>
      <c r="D47" s="143">
        <v>1.2E-2</v>
      </c>
      <c r="E47" s="90"/>
      <c r="F47" s="144"/>
      <c r="G47" s="90"/>
    </row>
    <row r="48" spans="1:7" ht="18.75" customHeight="1" x14ac:dyDescent="0.3">
      <c r="A48" s="90"/>
      <c r="B48" s="90"/>
      <c r="C48" s="145" t="s">
        <v>77</v>
      </c>
      <c r="D48" s="139">
        <f>D47*$B$45</f>
        <v>20</v>
      </c>
      <c r="E48" s="90"/>
      <c r="F48" s="144"/>
      <c r="G48" s="90"/>
    </row>
    <row r="49" spans="1:7" ht="19.5" customHeight="1" thickBot="1" x14ac:dyDescent="0.35">
      <c r="A49" s="90"/>
      <c r="B49" s="90"/>
      <c r="C49" s="102" t="s">
        <v>78</v>
      </c>
      <c r="D49" s="146">
        <f>D48/B34</f>
        <v>20</v>
      </c>
      <c r="E49" s="90"/>
      <c r="F49" s="144"/>
      <c r="G49" s="90"/>
    </row>
    <row r="50" spans="1:7" ht="18.75" customHeight="1" x14ac:dyDescent="0.3">
      <c r="A50" s="90"/>
      <c r="B50" s="90"/>
      <c r="C50" s="112" t="s">
        <v>79</v>
      </c>
      <c r="D50" s="147">
        <f>AVERAGE(E38:E41,G38:G41)</f>
        <v>0.39603036909734307</v>
      </c>
      <c r="E50" s="90"/>
      <c r="F50" s="148"/>
      <c r="G50" s="90"/>
    </row>
    <row r="51" spans="1:7" ht="18.75" customHeight="1" x14ac:dyDescent="0.3">
      <c r="A51" s="90"/>
      <c r="B51" s="90"/>
      <c r="C51" s="114" t="s">
        <v>80</v>
      </c>
      <c r="D51" s="149">
        <f>STDEV(E38:E41,G38:G41)/D50</f>
        <v>1.2352072713451593E-2</v>
      </c>
      <c r="E51" s="90"/>
      <c r="F51" s="148"/>
      <c r="G51" s="90"/>
    </row>
    <row r="52" spans="1:7" ht="19.5" customHeight="1" thickBot="1" x14ac:dyDescent="0.35">
      <c r="A52" s="90"/>
      <c r="B52" s="90"/>
      <c r="C52" s="150" t="s">
        <v>19</v>
      </c>
      <c r="D52" s="151">
        <f>COUNT(E38:E41,G38:G41)</f>
        <v>8</v>
      </c>
      <c r="E52" s="90"/>
      <c r="F52" s="148"/>
      <c r="G52" s="90"/>
    </row>
    <row r="53" spans="1:7" ht="18.75" customHeight="1" x14ac:dyDescent="0.3">
      <c r="A53" s="90"/>
      <c r="B53" s="90"/>
      <c r="C53" s="90"/>
      <c r="D53" s="90"/>
      <c r="E53" s="90"/>
      <c r="F53" s="90"/>
      <c r="G53" s="90"/>
    </row>
    <row r="54" spans="1:7" ht="18.75" customHeight="1" x14ac:dyDescent="0.3">
      <c r="A54" s="91" t="s">
        <v>1</v>
      </c>
      <c r="B54" s="152" t="s">
        <v>81</v>
      </c>
      <c r="C54" s="90"/>
      <c r="D54" s="90"/>
      <c r="E54" s="90"/>
      <c r="F54" s="90"/>
      <c r="G54" s="90"/>
    </row>
    <row r="55" spans="1:7" ht="18.75" customHeight="1" x14ac:dyDescent="0.3">
      <c r="A55" s="90" t="s">
        <v>82</v>
      </c>
      <c r="B55" s="153" t="str">
        <f>B21</f>
        <v>Each Tablet contains 20 mg Tadalafil</v>
      </c>
      <c r="C55" s="90"/>
      <c r="D55" s="90"/>
      <c r="E55" s="90"/>
      <c r="F55" s="90"/>
      <c r="G55" s="90"/>
    </row>
    <row r="56" spans="1:7" ht="26.25" customHeight="1" x14ac:dyDescent="0.4">
      <c r="A56" s="153" t="s">
        <v>83</v>
      </c>
      <c r="B56" s="103">
        <v>20</v>
      </c>
      <c r="C56" s="90" t="str">
        <f>B20</f>
        <v>Tadalafil 20 mg</v>
      </c>
      <c r="D56" s="90"/>
      <c r="E56" s="90"/>
      <c r="F56" s="90"/>
      <c r="G56" s="90"/>
    </row>
    <row r="57" spans="1:7" ht="17.25" customHeight="1" thickBot="1" x14ac:dyDescent="0.35">
      <c r="A57" s="154" t="s">
        <v>84</v>
      </c>
      <c r="B57" s="154">
        <f>Uniformity!B39</f>
        <v>362.52800000000002</v>
      </c>
      <c r="C57" s="154"/>
      <c r="D57" s="155"/>
      <c r="E57" s="155"/>
      <c r="F57" s="155"/>
      <c r="G57" s="155"/>
    </row>
    <row r="58" spans="1:7" ht="57.75" customHeight="1" x14ac:dyDescent="0.4">
      <c r="A58" s="112" t="s">
        <v>118</v>
      </c>
      <c r="B58" s="113">
        <v>100</v>
      </c>
      <c r="C58" s="156" t="s">
        <v>119</v>
      </c>
      <c r="D58" s="157" t="s">
        <v>120</v>
      </c>
      <c r="E58" s="158" t="s">
        <v>121</v>
      </c>
      <c r="F58" s="159" t="s">
        <v>122</v>
      </c>
      <c r="G58" s="160" t="s">
        <v>123</v>
      </c>
    </row>
    <row r="59" spans="1:7" ht="26.25" customHeight="1" x14ac:dyDescent="0.4">
      <c r="A59" s="114" t="s">
        <v>59</v>
      </c>
      <c r="B59" s="115">
        <v>3</v>
      </c>
      <c r="C59" s="161">
        <v>1</v>
      </c>
      <c r="D59" s="162">
        <v>0.39750000000000002</v>
      </c>
      <c r="E59" s="163">
        <f t="shared" ref="E59:E68" si="0">IF(ISBLANK(D59),"-",D59/$D$50*$D$47*$B$67)</f>
        <v>20.074218091203797</v>
      </c>
      <c r="F59" s="164">
        <f t="shared" ref="F59:F68" si="1">IF(ISBLANK(D59),"-",E59/$E$70*100)</f>
        <v>97.335814682403637</v>
      </c>
      <c r="G59" s="165">
        <f t="shared" ref="G59:G68" si="2">IF(ISBLANK(D59),"-",E59/$B$56*100)</f>
        <v>100.37109045601898</v>
      </c>
    </row>
    <row r="60" spans="1:7" ht="26.25" customHeight="1" x14ac:dyDescent="0.4">
      <c r="A60" s="114" t="s">
        <v>63</v>
      </c>
      <c r="B60" s="115">
        <v>50</v>
      </c>
      <c r="C60" s="166">
        <v>2</v>
      </c>
      <c r="D60" s="167">
        <v>0.4199</v>
      </c>
      <c r="E60" s="168">
        <f t="shared" si="0"/>
        <v>21.205444469173518</v>
      </c>
      <c r="F60" s="169">
        <f t="shared" si="1"/>
        <v>102.82090210098436</v>
      </c>
      <c r="G60" s="170">
        <f t="shared" si="2"/>
        <v>106.02722234586759</v>
      </c>
    </row>
    <row r="61" spans="1:7" ht="26.25" customHeight="1" x14ac:dyDescent="0.4">
      <c r="A61" s="114" t="s">
        <v>64</v>
      </c>
      <c r="B61" s="115">
        <v>1</v>
      </c>
      <c r="C61" s="166">
        <v>3</v>
      </c>
      <c r="D61" s="167">
        <v>0.42070000000000002</v>
      </c>
      <c r="E61" s="168">
        <f t="shared" si="0"/>
        <v>21.245845411243867</v>
      </c>
      <c r="F61" s="169">
        <f t="shared" si="1"/>
        <v>103.0167980802194</v>
      </c>
      <c r="G61" s="170">
        <f t="shared" si="2"/>
        <v>106.22922705621933</v>
      </c>
    </row>
    <row r="62" spans="1:7" ht="26.25" customHeight="1" x14ac:dyDescent="0.4">
      <c r="A62" s="114" t="s">
        <v>65</v>
      </c>
      <c r="B62" s="115">
        <v>1</v>
      </c>
      <c r="C62" s="166">
        <v>4</v>
      </c>
      <c r="D62" s="167">
        <v>0.40820000000000001</v>
      </c>
      <c r="E62" s="168">
        <f t="shared" si="0"/>
        <v>20.614580691394689</v>
      </c>
      <c r="F62" s="169">
        <f t="shared" si="1"/>
        <v>99.955923404672106</v>
      </c>
      <c r="G62" s="170">
        <f t="shared" si="2"/>
        <v>103.07290345697344</v>
      </c>
    </row>
    <row r="63" spans="1:7" ht="26.25" customHeight="1" x14ac:dyDescent="0.4">
      <c r="A63" s="114" t="s">
        <v>66</v>
      </c>
      <c r="B63" s="115">
        <v>1</v>
      </c>
      <c r="C63" s="166">
        <v>5</v>
      </c>
      <c r="D63" s="167">
        <v>0.40310000000000001</v>
      </c>
      <c r="E63" s="168">
        <f t="shared" si="0"/>
        <v>20.357024685696224</v>
      </c>
      <c r="F63" s="169">
        <f t="shared" si="1"/>
        <v>98.707086537048809</v>
      </c>
      <c r="G63" s="170">
        <f t="shared" si="2"/>
        <v>101.78512342848111</v>
      </c>
    </row>
    <row r="64" spans="1:7" ht="26.25" customHeight="1" x14ac:dyDescent="0.4">
      <c r="A64" s="114" t="s">
        <v>67</v>
      </c>
      <c r="B64" s="115">
        <v>1</v>
      </c>
      <c r="C64" s="166">
        <v>6</v>
      </c>
      <c r="D64" s="167">
        <v>0.39850000000000002</v>
      </c>
      <c r="E64" s="168">
        <f t="shared" si="0"/>
        <v>20.124719268791729</v>
      </c>
      <c r="F64" s="169">
        <f t="shared" si="1"/>
        <v>97.580684656447417</v>
      </c>
      <c r="G64" s="170">
        <f t="shared" si="2"/>
        <v>100.62359634395865</v>
      </c>
    </row>
    <row r="65" spans="1:7" ht="26.25" customHeight="1" x14ac:dyDescent="0.4">
      <c r="A65" s="114" t="s">
        <v>69</v>
      </c>
      <c r="B65" s="115">
        <v>1</v>
      </c>
      <c r="C65" s="166">
        <v>7</v>
      </c>
      <c r="D65" s="167">
        <v>0.39910000000000001</v>
      </c>
      <c r="E65" s="168">
        <f t="shared" si="0"/>
        <v>20.155019975344491</v>
      </c>
      <c r="F65" s="169">
        <f t="shared" si="1"/>
        <v>97.727606640873702</v>
      </c>
      <c r="G65" s="170">
        <f t="shared" si="2"/>
        <v>100.77509987672246</v>
      </c>
    </row>
    <row r="66" spans="1:7" ht="26.25" customHeight="1" x14ac:dyDescent="0.4">
      <c r="A66" s="114" t="s">
        <v>71</v>
      </c>
      <c r="B66" s="115">
        <v>1</v>
      </c>
      <c r="C66" s="166">
        <v>8</v>
      </c>
      <c r="D66" s="167">
        <v>0.40339999999999998</v>
      </c>
      <c r="E66" s="168">
        <f t="shared" si="0"/>
        <v>20.372175038972607</v>
      </c>
      <c r="F66" s="169">
        <f t="shared" si="1"/>
        <v>98.780547529261952</v>
      </c>
      <c r="G66" s="170">
        <f t="shared" si="2"/>
        <v>101.86087519486304</v>
      </c>
    </row>
    <row r="67" spans="1:7" ht="27" customHeight="1" thickBot="1" x14ac:dyDescent="0.45">
      <c r="A67" s="114" t="s">
        <v>73</v>
      </c>
      <c r="B67" s="138">
        <f>(B66/B65)*(B64/B63)*(B62/B61)*(B60/B59)*B58</f>
        <v>1666.6666666666667</v>
      </c>
      <c r="C67" s="166">
        <v>9</v>
      </c>
      <c r="D67" s="167">
        <v>0.42699999999999999</v>
      </c>
      <c r="E67" s="168">
        <f t="shared" si="0"/>
        <v>21.564002830047848</v>
      </c>
      <c r="F67" s="169">
        <f t="shared" si="1"/>
        <v>104.55947891669521</v>
      </c>
      <c r="G67" s="170">
        <f t="shared" si="2"/>
        <v>107.82001415023923</v>
      </c>
    </row>
    <row r="68" spans="1:7" ht="27" customHeight="1" thickBot="1" x14ac:dyDescent="0.45">
      <c r="A68" s="608" t="s">
        <v>75</v>
      </c>
      <c r="B68" s="612"/>
      <c r="C68" s="171">
        <v>10</v>
      </c>
      <c r="D68" s="172">
        <v>0.40639999999999998</v>
      </c>
      <c r="E68" s="173">
        <f t="shared" si="0"/>
        <v>20.523678571736408</v>
      </c>
      <c r="F68" s="174">
        <f t="shared" si="1"/>
        <v>99.515157451393293</v>
      </c>
      <c r="G68" s="175">
        <f t="shared" si="2"/>
        <v>102.61839285868204</v>
      </c>
    </row>
    <row r="69" spans="1:7" ht="19.5" customHeight="1" thickBot="1" x14ac:dyDescent="0.35">
      <c r="A69" s="610"/>
      <c r="B69" s="613"/>
      <c r="C69" s="166"/>
      <c r="D69" s="140"/>
      <c r="E69" s="90"/>
      <c r="F69" s="155"/>
      <c r="G69" s="176"/>
    </row>
    <row r="70" spans="1:7" ht="26.25" customHeight="1" x14ac:dyDescent="0.4">
      <c r="A70" s="155"/>
      <c r="B70" s="155"/>
      <c r="C70" s="166" t="s">
        <v>124</v>
      </c>
      <c r="D70" s="177"/>
      <c r="E70" s="178">
        <f>AVERAGE(E59:E68)</f>
        <v>20.623670903360519</v>
      </c>
      <c r="F70" s="178">
        <f>AVERAGE(F59:F68)</f>
        <v>99.999999999999972</v>
      </c>
      <c r="G70" s="179">
        <f>AVERAGE(G59:G68)</f>
        <v>103.11835451680258</v>
      </c>
    </row>
    <row r="71" spans="1:7" ht="26.25" customHeight="1" x14ac:dyDescent="0.4">
      <c r="A71" s="155"/>
      <c r="B71" s="155"/>
      <c r="C71" s="166"/>
      <c r="D71" s="177"/>
      <c r="E71" s="180">
        <f>STDEV(E59:E68)/E70</f>
        <v>2.5681349398358817E-2</v>
      </c>
      <c r="F71" s="180">
        <f>STDEV(F59:F68)/F70</f>
        <v>2.568134939835881E-2</v>
      </c>
      <c r="G71" s="181">
        <f>STDEV(G59:G68)/G70</f>
        <v>2.5681349398358779E-2</v>
      </c>
    </row>
    <row r="72" spans="1:7" ht="27" customHeight="1" thickBot="1" x14ac:dyDescent="0.45">
      <c r="A72" s="155"/>
      <c r="B72" s="155"/>
      <c r="C72" s="171"/>
      <c r="D72" s="182"/>
      <c r="E72" s="183">
        <f>COUNT(E59:E68)</f>
        <v>10</v>
      </c>
      <c r="F72" s="183">
        <f>COUNT(F59:F68)</f>
        <v>10</v>
      </c>
      <c r="G72" s="184">
        <f>COUNT(G59:G68)</f>
        <v>10</v>
      </c>
    </row>
    <row r="73" spans="1:7" ht="18.75" customHeight="1" x14ac:dyDescent="0.3">
      <c r="A73" s="155"/>
      <c r="B73" s="90"/>
      <c r="C73" s="90"/>
      <c r="D73" s="137"/>
      <c r="E73" s="177"/>
      <c r="F73" s="90"/>
      <c r="G73" s="185"/>
    </row>
    <row r="74" spans="1:7" ht="18.75" customHeight="1" x14ac:dyDescent="0.3">
      <c r="A74" s="101" t="s">
        <v>125</v>
      </c>
      <c r="B74" s="102" t="s">
        <v>100</v>
      </c>
      <c r="C74" s="614" t="str">
        <f>B20</f>
        <v>Tadalafil 20 mg</v>
      </c>
      <c r="D74" s="614"/>
      <c r="E74" s="90" t="s">
        <v>101</v>
      </c>
      <c r="F74" s="90"/>
      <c r="G74" s="186">
        <f>G70</f>
        <v>103.11835451680258</v>
      </c>
    </row>
    <row r="75" spans="1:7" ht="18.75" customHeight="1" x14ac:dyDescent="0.3">
      <c r="A75" s="101"/>
      <c r="B75" s="102"/>
      <c r="C75" s="105"/>
      <c r="D75" s="105"/>
      <c r="E75" s="90"/>
      <c r="F75" s="90"/>
      <c r="G75" s="187"/>
    </row>
    <row r="76" spans="1:7" ht="18.75" customHeight="1" x14ac:dyDescent="0.3">
      <c r="A76" s="91" t="s">
        <v>1</v>
      </c>
      <c r="B76" s="100" t="s">
        <v>126</v>
      </c>
      <c r="C76" s="90"/>
      <c r="D76" s="90"/>
      <c r="E76" s="90"/>
      <c r="F76" s="90"/>
      <c r="G76" s="155"/>
    </row>
    <row r="77" spans="1:7" ht="18.75" customHeight="1" x14ac:dyDescent="0.3">
      <c r="A77" s="91"/>
      <c r="B77" s="152"/>
      <c r="C77" s="90"/>
      <c r="D77" s="90"/>
      <c r="E77" s="90"/>
      <c r="F77" s="90"/>
      <c r="G77" s="155"/>
    </row>
    <row r="78" spans="1:7" ht="18.75" customHeight="1" x14ac:dyDescent="0.3">
      <c r="A78" s="155"/>
      <c r="B78" s="615" t="s">
        <v>127</v>
      </c>
      <c r="C78" s="616"/>
      <c r="D78" s="90"/>
      <c r="E78" s="155"/>
      <c r="F78" s="155"/>
      <c r="G78" s="155"/>
    </row>
    <row r="79" spans="1:7" ht="18.75" customHeight="1" x14ac:dyDescent="0.3">
      <c r="A79" s="155"/>
      <c r="B79" s="188" t="s">
        <v>42</v>
      </c>
      <c r="C79" s="189">
        <f>G70</f>
        <v>103.11835451680258</v>
      </c>
      <c r="D79" s="90"/>
      <c r="E79" s="155"/>
      <c r="F79" s="155"/>
      <c r="G79" s="155"/>
    </row>
    <row r="80" spans="1:7" ht="26.25" customHeight="1" x14ac:dyDescent="0.4">
      <c r="A80" s="155"/>
      <c r="B80" s="188" t="s">
        <v>128</v>
      </c>
      <c r="C80" s="190">
        <v>2.4</v>
      </c>
      <c r="D80" s="90"/>
      <c r="E80" s="155"/>
      <c r="F80" s="155"/>
      <c r="G80" s="155"/>
    </row>
    <row r="81" spans="1:7" ht="18.75" customHeight="1" x14ac:dyDescent="0.3">
      <c r="A81" s="155"/>
      <c r="B81" s="188" t="s">
        <v>129</v>
      </c>
      <c r="C81" s="189">
        <f>STDEV(G59:G68)</f>
        <v>2.6482184917298355</v>
      </c>
      <c r="D81" s="90"/>
      <c r="E81" s="155"/>
      <c r="F81" s="155"/>
      <c r="G81" s="155"/>
    </row>
    <row r="82" spans="1:7" ht="18.75" customHeight="1" x14ac:dyDescent="0.3">
      <c r="A82" s="155"/>
      <c r="B82" s="188" t="s">
        <v>130</v>
      </c>
      <c r="C82" s="189">
        <f>IF(OR(G70&lt;98.5,G70&gt;101.5),(IF(98.5&gt;G70,98.5,101.5)),C79)</f>
        <v>101.5</v>
      </c>
      <c r="D82" s="90"/>
      <c r="E82" s="155"/>
      <c r="F82" s="155"/>
      <c r="G82" s="155"/>
    </row>
    <row r="83" spans="1:7" ht="18.75" customHeight="1" x14ac:dyDescent="0.3">
      <c r="A83" s="155"/>
      <c r="B83" s="188" t="s">
        <v>131</v>
      </c>
      <c r="C83" s="191">
        <f>ABS(C82-C79)+(C80*C81)</f>
        <v>7.9740788969541878</v>
      </c>
      <c r="D83" s="90"/>
      <c r="E83" s="155"/>
      <c r="F83" s="155"/>
      <c r="G83" s="155"/>
    </row>
    <row r="84" spans="1:7" ht="18.75" customHeight="1" x14ac:dyDescent="0.3">
      <c r="A84" s="153"/>
      <c r="B84" s="192"/>
      <c r="C84" s="90"/>
      <c r="D84" s="90"/>
      <c r="E84" s="90"/>
      <c r="F84" s="90"/>
      <c r="G84" s="90"/>
    </row>
    <row r="85" spans="1:7" ht="19.5" customHeight="1" thickBot="1" x14ac:dyDescent="0.35">
      <c r="A85" s="193"/>
      <c r="B85" s="193"/>
      <c r="C85" s="194"/>
      <c r="D85" s="194"/>
      <c r="E85" s="194"/>
      <c r="F85" s="194"/>
      <c r="G85" s="194"/>
    </row>
    <row r="86" spans="1:7" ht="18.75" customHeight="1" x14ac:dyDescent="0.3">
      <c r="A86" s="90"/>
      <c r="B86" s="617" t="s">
        <v>25</v>
      </c>
      <c r="C86" s="617"/>
      <c r="D86" s="90"/>
      <c r="E86" s="195" t="s">
        <v>26</v>
      </c>
      <c r="F86" s="196"/>
      <c r="G86" s="195" t="s">
        <v>27</v>
      </c>
    </row>
    <row r="87" spans="1:7" ht="60" customHeight="1" x14ac:dyDescent="0.3">
      <c r="A87" s="101" t="s">
        <v>28</v>
      </c>
      <c r="B87" s="197"/>
      <c r="C87" s="197" t="s">
        <v>142</v>
      </c>
      <c r="D87" s="90"/>
      <c r="E87" s="197" t="s">
        <v>143</v>
      </c>
      <c r="F87" s="90"/>
      <c r="G87" s="197"/>
    </row>
    <row r="88" spans="1:7" ht="60" customHeight="1" x14ac:dyDescent="0.3">
      <c r="A88" s="101" t="s">
        <v>29</v>
      </c>
      <c r="B88" s="198"/>
      <c r="C88" s="198"/>
      <c r="D88" s="90"/>
      <c r="E88" s="198"/>
      <c r="F88" s="90"/>
      <c r="G88" s="199"/>
    </row>
    <row r="205" spans="1:1" x14ac:dyDescent="0.2">
      <c r="A205" s="8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6:C86"/>
  </mergeCells>
  <conditionalFormatting sqref="D51">
    <cfRule type="cellIs" dxfId="7" priority="2" operator="greaterThan">
      <formula>0.02</formula>
    </cfRule>
  </conditionalFormatting>
  <conditionalFormatting sqref="C83">
    <cfRule type="cellIs" dxfId="6" priority="1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52" zoomScale="60" zoomScaleNormal="60" zoomScalePageLayoutView="55" workbookViewId="0">
      <selection activeCell="F131" sqref="F131"/>
    </sheetView>
  </sheetViews>
  <sheetFormatPr defaultRowHeight="13.5" x14ac:dyDescent="0.25"/>
  <cols>
    <col min="1" max="1" width="55.42578125" style="432" customWidth="1"/>
    <col min="2" max="2" width="33.7109375" style="432" customWidth="1"/>
    <col min="3" max="3" width="42.28515625" style="432" customWidth="1"/>
    <col min="4" max="4" width="30.5703125" style="432" customWidth="1"/>
    <col min="5" max="5" width="39.85546875" style="432" customWidth="1"/>
    <col min="6" max="6" width="30.7109375" style="432" customWidth="1"/>
    <col min="7" max="7" width="39.85546875" style="432" customWidth="1"/>
    <col min="8" max="8" width="41.140625" style="432" customWidth="1"/>
    <col min="9" max="9" width="30.42578125" style="432" customWidth="1"/>
    <col min="10" max="10" width="21.28515625" style="432" customWidth="1"/>
    <col min="11" max="11" width="9.140625" style="432" customWidth="1"/>
    <col min="12" max="16384" width="9.140625" style="434"/>
  </cols>
  <sheetData>
    <row r="1" spans="1:8" x14ac:dyDescent="0.25">
      <c r="A1" s="659" t="s">
        <v>44</v>
      </c>
      <c r="B1" s="659"/>
      <c r="C1" s="659"/>
      <c r="D1" s="659"/>
      <c r="E1" s="659"/>
      <c r="F1" s="659"/>
      <c r="G1" s="659"/>
      <c r="H1" s="659"/>
    </row>
    <row r="2" spans="1:8" x14ac:dyDescent="0.25">
      <c r="A2" s="659"/>
      <c r="B2" s="659"/>
      <c r="C2" s="659"/>
      <c r="D2" s="659"/>
      <c r="E2" s="659"/>
      <c r="F2" s="659"/>
      <c r="G2" s="659"/>
      <c r="H2" s="659"/>
    </row>
    <row r="3" spans="1:8" x14ac:dyDescent="0.25">
      <c r="A3" s="659"/>
      <c r="B3" s="659"/>
      <c r="C3" s="659"/>
      <c r="D3" s="659"/>
      <c r="E3" s="659"/>
      <c r="F3" s="659"/>
      <c r="G3" s="659"/>
      <c r="H3" s="659"/>
    </row>
    <row r="4" spans="1:8" x14ac:dyDescent="0.25">
      <c r="A4" s="659"/>
      <c r="B4" s="659"/>
      <c r="C4" s="659"/>
      <c r="D4" s="659"/>
      <c r="E4" s="659"/>
      <c r="F4" s="659"/>
      <c r="G4" s="659"/>
      <c r="H4" s="659"/>
    </row>
    <row r="5" spans="1:8" x14ac:dyDescent="0.25">
      <c r="A5" s="659"/>
      <c r="B5" s="659"/>
      <c r="C5" s="659"/>
      <c r="D5" s="659"/>
      <c r="E5" s="659"/>
      <c r="F5" s="659"/>
      <c r="G5" s="659"/>
      <c r="H5" s="659"/>
    </row>
    <row r="6" spans="1:8" x14ac:dyDescent="0.25">
      <c r="A6" s="659"/>
      <c r="B6" s="659"/>
      <c r="C6" s="659"/>
      <c r="D6" s="659"/>
      <c r="E6" s="659"/>
      <c r="F6" s="659"/>
      <c r="G6" s="659"/>
      <c r="H6" s="659"/>
    </row>
    <row r="7" spans="1:8" x14ac:dyDescent="0.25">
      <c r="A7" s="659"/>
      <c r="B7" s="659"/>
      <c r="C7" s="659"/>
      <c r="D7" s="659"/>
      <c r="E7" s="659"/>
      <c r="F7" s="659"/>
      <c r="G7" s="659"/>
      <c r="H7" s="659"/>
    </row>
    <row r="8" spans="1:8" x14ac:dyDescent="0.25">
      <c r="A8" s="660" t="s">
        <v>45</v>
      </c>
      <c r="B8" s="660"/>
      <c r="C8" s="660"/>
      <c r="D8" s="660"/>
      <c r="E8" s="660"/>
      <c r="F8" s="660"/>
      <c r="G8" s="660"/>
      <c r="H8" s="660"/>
    </row>
    <row r="9" spans="1:8" x14ac:dyDescent="0.25">
      <c r="A9" s="660"/>
      <c r="B9" s="660"/>
      <c r="C9" s="660"/>
      <c r="D9" s="660"/>
      <c r="E9" s="660"/>
      <c r="F9" s="660"/>
      <c r="G9" s="660"/>
      <c r="H9" s="660"/>
    </row>
    <row r="10" spans="1:8" x14ac:dyDescent="0.25">
      <c r="A10" s="660"/>
      <c r="B10" s="660"/>
      <c r="C10" s="660"/>
      <c r="D10" s="660"/>
      <c r="E10" s="660"/>
      <c r="F10" s="660"/>
      <c r="G10" s="660"/>
      <c r="H10" s="660"/>
    </row>
    <row r="11" spans="1:8" x14ac:dyDescent="0.25">
      <c r="A11" s="660"/>
      <c r="B11" s="660"/>
      <c r="C11" s="660"/>
      <c r="D11" s="660"/>
      <c r="E11" s="660"/>
      <c r="F11" s="660"/>
      <c r="G11" s="660"/>
      <c r="H11" s="660"/>
    </row>
    <row r="12" spans="1:8" x14ac:dyDescent="0.25">
      <c r="A12" s="660"/>
      <c r="B12" s="660"/>
      <c r="C12" s="660"/>
      <c r="D12" s="660"/>
      <c r="E12" s="660"/>
      <c r="F12" s="660"/>
      <c r="G12" s="660"/>
      <c r="H12" s="660"/>
    </row>
    <row r="13" spans="1:8" x14ac:dyDescent="0.25">
      <c r="A13" s="660"/>
      <c r="B13" s="660"/>
      <c r="C13" s="660"/>
      <c r="D13" s="660"/>
      <c r="E13" s="660"/>
      <c r="F13" s="660"/>
      <c r="G13" s="660"/>
      <c r="H13" s="660"/>
    </row>
    <row r="14" spans="1:8" x14ac:dyDescent="0.25">
      <c r="A14" s="660"/>
      <c r="B14" s="660"/>
      <c r="C14" s="660"/>
      <c r="D14" s="660"/>
      <c r="E14" s="660"/>
      <c r="F14" s="660"/>
      <c r="G14" s="660"/>
      <c r="H14" s="660"/>
    </row>
    <row r="15" spans="1:8" ht="19.5" customHeight="1" thickBot="1" x14ac:dyDescent="0.3"/>
    <row r="16" spans="1:8" ht="19.5" customHeight="1" thickBot="1" x14ac:dyDescent="0.3">
      <c r="A16" s="661" t="s">
        <v>30</v>
      </c>
      <c r="B16" s="662"/>
      <c r="C16" s="662"/>
      <c r="D16" s="662"/>
      <c r="E16" s="662"/>
      <c r="F16" s="662"/>
      <c r="G16" s="662"/>
      <c r="H16" s="663"/>
    </row>
    <row r="17" spans="1:13" ht="18.75" x14ac:dyDescent="0.3">
      <c r="A17" s="433" t="s">
        <v>46</v>
      </c>
      <c r="B17" s="433"/>
    </row>
    <row r="18" spans="1:13" ht="18.75" x14ac:dyDescent="0.3">
      <c r="A18" s="435" t="s">
        <v>32</v>
      </c>
      <c r="B18" s="664" t="s">
        <v>149</v>
      </c>
      <c r="C18" s="664"/>
      <c r="D18" s="436"/>
      <c r="E18" s="436"/>
    </row>
    <row r="19" spans="1:13" ht="18.75" x14ac:dyDescent="0.3">
      <c r="A19" s="435" t="s">
        <v>33</v>
      </c>
      <c r="B19" s="437" t="s">
        <v>7</v>
      </c>
      <c r="C19" s="438">
        <v>35</v>
      </c>
    </row>
    <row r="20" spans="1:13" ht="18.75" x14ac:dyDescent="0.3">
      <c r="A20" s="435" t="s">
        <v>34</v>
      </c>
      <c r="B20" s="437" t="s">
        <v>150</v>
      </c>
    </row>
    <row r="21" spans="1:13" ht="18.75" x14ac:dyDescent="0.3">
      <c r="A21" s="435" t="s">
        <v>35</v>
      </c>
      <c r="B21" s="439" t="s">
        <v>151</v>
      </c>
      <c r="C21" s="439"/>
      <c r="D21" s="439"/>
      <c r="E21" s="439"/>
      <c r="F21" s="439"/>
      <c r="G21" s="439"/>
      <c r="H21" s="439"/>
    </row>
    <row r="22" spans="1:13" ht="18.75" x14ac:dyDescent="0.3">
      <c r="A22" s="435" t="s">
        <v>36</v>
      </c>
      <c r="B22" s="440">
        <v>42403</v>
      </c>
    </row>
    <row r="23" spans="1:13" ht="18.75" x14ac:dyDescent="0.3">
      <c r="A23" s="435" t="s">
        <v>37</v>
      </c>
      <c r="B23" s="440">
        <v>42408</v>
      </c>
    </row>
    <row r="24" spans="1:13" ht="18.75" x14ac:dyDescent="0.3">
      <c r="A24" s="435"/>
      <c r="B24" s="441"/>
    </row>
    <row r="25" spans="1:13" ht="18.75" x14ac:dyDescent="0.3">
      <c r="A25" s="442" t="s">
        <v>1</v>
      </c>
      <c r="B25" s="441"/>
    </row>
    <row r="26" spans="1:13" ht="26.25" customHeight="1" x14ac:dyDescent="0.4">
      <c r="A26" s="443" t="s">
        <v>4</v>
      </c>
      <c r="B26" s="636" t="s">
        <v>152</v>
      </c>
      <c r="C26" s="636"/>
    </row>
    <row r="27" spans="1:13" ht="26.25" customHeight="1" x14ac:dyDescent="0.4">
      <c r="A27" s="444" t="s">
        <v>47</v>
      </c>
      <c r="B27" s="445" t="s">
        <v>153</v>
      </c>
    </row>
    <row r="28" spans="1:13" ht="27" customHeight="1" thickBot="1" x14ac:dyDescent="0.45">
      <c r="A28" s="444" t="s">
        <v>6</v>
      </c>
      <c r="B28" s="445">
        <v>99.4</v>
      </c>
    </row>
    <row r="29" spans="1:13" s="446" customFormat="1" ht="27" customHeight="1" thickBot="1" x14ac:dyDescent="0.45">
      <c r="A29" s="444" t="s">
        <v>48</v>
      </c>
      <c r="B29" s="445">
        <v>0</v>
      </c>
      <c r="C29" s="637" t="s">
        <v>49</v>
      </c>
      <c r="D29" s="638"/>
      <c r="E29" s="638"/>
      <c r="F29" s="638"/>
      <c r="G29" s="639"/>
      <c r="I29" s="447"/>
      <c r="J29" s="447"/>
      <c r="K29" s="447"/>
    </row>
    <row r="30" spans="1:13" s="446" customFormat="1" ht="19.5" customHeight="1" thickBot="1" x14ac:dyDescent="0.35">
      <c r="A30" s="444" t="s">
        <v>50</v>
      </c>
      <c r="B30" s="448">
        <f>B28-B29</f>
        <v>99.4</v>
      </c>
      <c r="C30" s="449"/>
      <c r="D30" s="449"/>
      <c r="E30" s="449"/>
      <c r="F30" s="449"/>
      <c r="G30" s="450"/>
      <c r="I30" s="447"/>
      <c r="J30" s="447"/>
      <c r="K30" s="447"/>
    </row>
    <row r="31" spans="1:13" s="446" customFormat="1" ht="27" customHeight="1" thickBot="1" x14ac:dyDescent="0.45">
      <c r="A31" s="444" t="s">
        <v>51</v>
      </c>
      <c r="B31" s="451">
        <v>1</v>
      </c>
      <c r="C31" s="640" t="s">
        <v>52</v>
      </c>
      <c r="D31" s="641"/>
      <c r="E31" s="641"/>
      <c r="F31" s="641"/>
      <c r="G31" s="641"/>
      <c r="H31" s="642"/>
      <c r="I31" s="447"/>
      <c r="J31" s="447"/>
      <c r="K31" s="447"/>
    </row>
    <row r="32" spans="1:13" s="446" customFormat="1" ht="27" customHeight="1" thickBot="1" x14ac:dyDescent="0.45">
      <c r="A32" s="444" t="s">
        <v>53</v>
      </c>
      <c r="B32" s="451">
        <v>1</v>
      </c>
      <c r="C32" s="640" t="s">
        <v>54</v>
      </c>
      <c r="D32" s="641"/>
      <c r="E32" s="641"/>
      <c r="F32" s="641"/>
      <c r="G32" s="641"/>
      <c r="H32" s="642"/>
      <c r="I32" s="447"/>
      <c r="J32" s="447"/>
      <c r="K32" s="452"/>
      <c r="L32" s="452"/>
      <c r="M32" s="453"/>
    </row>
    <row r="33" spans="1:13" s="446" customFormat="1" ht="17.25" customHeight="1" x14ac:dyDescent="0.3">
      <c r="A33" s="444"/>
      <c r="B33" s="454"/>
      <c r="C33" s="455"/>
      <c r="D33" s="455"/>
      <c r="E33" s="455"/>
      <c r="F33" s="455"/>
      <c r="G33" s="455"/>
      <c r="H33" s="455"/>
      <c r="I33" s="447"/>
      <c r="J33" s="447"/>
      <c r="K33" s="452"/>
      <c r="L33" s="452"/>
      <c r="M33" s="453"/>
    </row>
    <row r="34" spans="1:13" s="446" customFormat="1" ht="18.75" x14ac:dyDescent="0.3">
      <c r="A34" s="444" t="s">
        <v>55</v>
      </c>
      <c r="B34" s="456">
        <f>B31/B32</f>
        <v>1</v>
      </c>
      <c r="C34" s="457" t="s">
        <v>56</v>
      </c>
      <c r="D34" s="457"/>
      <c r="E34" s="457"/>
      <c r="F34" s="457"/>
      <c r="G34" s="457"/>
      <c r="I34" s="447"/>
      <c r="J34" s="447"/>
      <c r="K34" s="452"/>
      <c r="L34" s="452"/>
      <c r="M34" s="453"/>
    </row>
    <row r="35" spans="1:13" s="446" customFormat="1" ht="19.5" customHeight="1" thickBot="1" x14ac:dyDescent="0.35">
      <c r="A35" s="444"/>
      <c r="B35" s="448"/>
      <c r="G35" s="457"/>
      <c r="I35" s="447"/>
      <c r="J35" s="447"/>
      <c r="K35" s="452"/>
      <c r="L35" s="452"/>
      <c r="M35" s="453"/>
    </row>
    <row r="36" spans="1:13" s="446" customFormat="1" ht="27" customHeight="1" thickBot="1" x14ac:dyDescent="0.45">
      <c r="A36" s="458" t="s">
        <v>133</v>
      </c>
      <c r="B36" s="459">
        <v>50</v>
      </c>
      <c r="C36" s="457"/>
      <c r="D36" s="643" t="s">
        <v>57</v>
      </c>
      <c r="E36" s="658"/>
      <c r="F36" s="643" t="s">
        <v>58</v>
      </c>
      <c r="G36" s="644"/>
      <c r="I36" s="447"/>
      <c r="J36" s="447"/>
      <c r="K36" s="452"/>
      <c r="L36" s="452"/>
      <c r="M36" s="453"/>
    </row>
    <row r="37" spans="1:13" s="446" customFormat="1" ht="26.25" customHeight="1" x14ac:dyDescent="0.4">
      <c r="A37" s="460" t="s">
        <v>59</v>
      </c>
      <c r="B37" s="461">
        <v>1</v>
      </c>
      <c r="C37" s="462" t="s">
        <v>134</v>
      </c>
      <c r="D37" s="463" t="s">
        <v>61</v>
      </c>
      <c r="E37" s="464" t="s">
        <v>62</v>
      </c>
      <c r="F37" s="463" t="s">
        <v>61</v>
      </c>
      <c r="G37" s="465" t="s">
        <v>62</v>
      </c>
      <c r="I37" s="447"/>
      <c r="J37" s="447"/>
      <c r="K37" s="452"/>
      <c r="L37" s="452"/>
      <c r="M37" s="453"/>
    </row>
    <row r="38" spans="1:13" s="446" customFormat="1" ht="26.25" customHeight="1" x14ac:dyDescent="0.4">
      <c r="A38" s="460" t="s">
        <v>63</v>
      </c>
      <c r="B38" s="461">
        <v>1</v>
      </c>
      <c r="C38" s="466">
        <v>1</v>
      </c>
      <c r="D38" s="467">
        <v>83109278</v>
      </c>
      <c r="E38" s="468">
        <f>IF(ISBLANK(D38),"-",$D$48/$D$45*D38)</f>
        <v>79964559.737922549</v>
      </c>
      <c r="F38" s="467">
        <v>84399188</v>
      </c>
      <c r="G38" s="469">
        <f>IF(ISBLANK(F38),"-",$D$48/$F$45*F38)</f>
        <v>79383545.100069374</v>
      </c>
      <c r="I38" s="447"/>
      <c r="J38" s="447"/>
      <c r="K38" s="452"/>
      <c r="L38" s="452"/>
      <c r="M38" s="453"/>
    </row>
    <row r="39" spans="1:13" s="446" customFormat="1" ht="26.25" customHeight="1" x14ac:dyDescent="0.4">
      <c r="A39" s="460" t="s">
        <v>64</v>
      </c>
      <c r="B39" s="461">
        <v>1</v>
      </c>
      <c r="C39" s="470">
        <v>2</v>
      </c>
      <c r="D39" s="471">
        <v>83128486</v>
      </c>
      <c r="E39" s="472">
        <f>IF(ISBLANK(D39),"-",$D$48/$D$45*D39)</f>
        <v>79983040.938823447</v>
      </c>
      <c r="F39" s="471">
        <v>84409844</v>
      </c>
      <c r="G39" s="473">
        <f>IF(ISBLANK(F39),"-",$D$48/$F$45*F39)</f>
        <v>79393567.839347228</v>
      </c>
      <c r="I39" s="447"/>
      <c r="J39" s="447"/>
      <c r="K39" s="452"/>
      <c r="L39" s="452"/>
      <c r="M39" s="453"/>
    </row>
    <row r="40" spans="1:13" ht="26.25" customHeight="1" x14ac:dyDescent="0.4">
      <c r="A40" s="460" t="s">
        <v>65</v>
      </c>
      <c r="B40" s="461">
        <v>1</v>
      </c>
      <c r="C40" s="470">
        <v>3</v>
      </c>
      <c r="D40" s="471">
        <v>83202372</v>
      </c>
      <c r="E40" s="472">
        <f>IF(ISBLANK(D40),"-",$D$48/$D$45*D40)</f>
        <v>80054131.214217201</v>
      </c>
      <c r="F40" s="471">
        <v>84504938</v>
      </c>
      <c r="G40" s="473">
        <f>IF(ISBLANK(F40),"-",$D$48/$F$45*F40)</f>
        <v>79483010.629220337</v>
      </c>
      <c r="K40" s="452"/>
      <c r="L40" s="452"/>
      <c r="M40" s="457"/>
    </row>
    <row r="41" spans="1:13" ht="26.25" customHeight="1" x14ac:dyDescent="0.4">
      <c r="A41" s="460" t="s">
        <v>66</v>
      </c>
      <c r="B41" s="461">
        <v>1</v>
      </c>
      <c r="C41" s="474">
        <v>4</v>
      </c>
      <c r="D41" s="475"/>
      <c r="E41" s="476" t="str">
        <f>IF(ISBLANK(D41),"-",$D$48/$D$45*D41)</f>
        <v>-</v>
      </c>
      <c r="F41" s="475"/>
      <c r="G41" s="477" t="str">
        <f>IF(ISBLANK(F41),"-",$D$48/$F$45*F41)</f>
        <v>-</v>
      </c>
      <c r="K41" s="452"/>
      <c r="L41" s="452"/>
      <c r="M41" s="457"/>
    </row>
    <row r="42" spans="1:13" ht="27" customHeight="1" thickBot="1" x14ac:dyDescent="0.45">
      <c r="A42" s="460" t="s">
        <v>67</v>
      </c>
      <c r="B42" s="461">
        <v>1</v>
      </c>
      <c r="C42" s="478" t="s">
        <v>68</v>
      </c>
      <c r="D42" s="479">
        <f>AVERAGE(D38:D41)</f>
        <v>83146712</v>
      </c>
      <c r="E42" s="480">
        <f>AVERAGE(E38:E41)</f>
        <v>80000577.296987727</v>
      </c>
      <c r="F42" s="481">
        <f>AVERAGE(F38:F41)</f>
        <v>84437990</v>
      </c>
      <c r="G42" s="482">
        <f>AVERAGE(G38:G41)</f>
        <v>79420041.189545646</v>
      </c>
      <c r="H42" s="483"/>
    </row>
    <row r="43" spans="1:13" ht="26.25" customHeight="1" x14ac:dyDescent="0.4">
      <c r="A43" s="460" t="s">
        <v>69</v>
      </c>
      <c r="B43" s="445">
        <v>1</v>
      </c>
      <c r="C43" s="484" t="s">
        <v>104</v>
      </c>
      <c r="D43" s="485">
        <v>13.07</v>
      </c>
      <c r="E43" s="457"/>
      <c r="F43" s="486">
        <v>13.37</v>
      </c>
      <c r="H43" s="483"/>
    </row>
    <row r="44" spans="1:13" ht="26.25" customHeight="1" x14ac:dyDescent="0.4">
      <c r="A44" s="460" t="s">
        <v>71</v>
      </c>
      <c r="B44" s="445">
        <v>1</v>
      </c>
      <c r="C44" s="487" t="s">
        <v>105</v>
      </c>
      <c r="D44" s="488">
        <f>D43*$B$34</f>
        <v>13.07</v>
      </c>
      <c r="E44" s="489"/>
      <c r="F44" s="490">
        <f>F43*$B$34</f>
        <v>13.37</v>
      </c>
      <c r="H44" s="483"/>
    </row>
    <row r="45" spans="1:13" ht="19.5" customHeight="1" thickBot="1" x14ac:dyDescent="0.35">
      <c r="A45" s="460" t="s">
        <v>73</v>
      </c>
      <c r="B45" s="448">
        <f>(B44/B43)*(B42/B41)*(B40/B39)*(B38/B37)*B36</f>
        <v>50</v>
      </c>
      <c r="C45" s="487" t="s">
        <v>74</v>
      </c>
      <c r="D45" s="491">
        <f>D44*$B$30/100</f>
        <v>12.991580000000001</v>
      </c>
      <c r="E45" s="492"/>
      <c r="F45" s="493">
        <f>F44*$B$30/100</f>
        <v>13.28978</v>
      </c>
      <c r="H45" s="483"/>
    </row>
    <row r="46" spans="1:13" ht="19.5" customHeight="1" thickBot="1" x14ac:dyDescent="0.35">
      <c r="A46" s="630" t="s">
        <v>75</v>
      </c>
      <c r="B46" s="645"/>
      <c r="C46" s="487" t="s">
        <v>76</v>
      </c>
      <c r="D46" s="488">
        <f>D45/$B$45</f>
        <v>0.2598316</v>
      </c>
      <c r="E46" s="492"/>
      <c r="F46" s="494">
        <f>F45/$B$45</f>
        <v>0.26579560000000002</v>
      </c>
      <c r="H46" s="483"/>
    </row>
    <row r="47" spans="1:13" ht="27" customHeight="1" thickBot="1" x14ac:dyDescent="0.45">
      <c r="A47" s="632"/>
      <c r="B47" s="646"/>
      <c r="C47" s="487" t="s">
        <v>117</v>
      </c>
      <c r="D47" s="495">
        <v>0.25</v>
      </c>
      <c r="F47" s="496"/>
      <c r="H47" s="483"/>
    </row>
    <row r="48" spans="1:13" ht="18.75" x14ac:dyDescent="0.3">
      <c r="C48" s="487" t="s">
        <v>77</v>
      </c>
      <c r="D48" s="488">
        <f>D47*$B$45</f>
        <v>12.5</v>
      </c>
      <c r="F48" s="496"/>
      <c r="H48" s="483"/>
    </row>
    <row r="49" spans="1:11" ht="19.5" customHeight="1" thickBot="1" x14ac:dyDescent="0.35">
      <c r="C49" s="497" t="s">
        <v>78</v>
      </c>
      <c r="D49" s="498">
        <f>D48/B34</f>
        <v>12.5</v>
      </c>
      <c r="F49" s="499"/>
      <c r="H49" s="483"/>
    </row>
    <row r="50" spans="1:11" ht="18.75" x14ac:dyDescent="0.3">
      <c r="C50" s="500" t="s">
        <v>79</v>
      </c>
      <c r="D50" s="501">
        <f>AVERAGE(E38:E41,G38:G41)</f>
        <v>79710309.243266702</v>
      </c>
      <c r="F50" s="499"/>
      <c r="H50" s="483"/>
    </row>
    <row r="51" spans="1:11" ht="18.75" x14ac:dyDescent="0.3">
      <c r="C51" s="502" t="s">
        <v>80</v>
      </c>
      <c r="D51" s="503">
        <f>STDEV(E38:E41,G38:G41)/D50</f>
        <v>4.0302041608885342E-3</v>
      </c>
      <c r="F51" s="499"/>
    </row>
    <row r="52" spans="1:11" ht="19.5" customHeight="1" thickBot="1" x14ac:dyDescent="0.35">
      <c r="C52" s="504" t="s">
        <v>19</v>
      </c>
      <c r="D52" s="505">
        <f>COUNT(E38:E41,G38:G41)</f>
        <v>6</v>
      </c>
      <c r="F52" s="499"/>
    </row>
    <row r="54" spans="1:11" ht="18.75" x14ac:dyDescent="0.3">
      <c r="A54" s="433" t="s">
        <v>1</v>
      </c>
      <c r="B54" s="506" t="s">
        <v>81</v>
      </c>
    </row>
    <row r="55" spans="1:11" ht="18.75" x14ac:dyDescent="0.3">
      <c r="A55" s="457" t="s">
        <v>82</v>
      </c>
      <c r="B55" s="507" t="str">
        <f>B21</f>
        <v>Each film coated tablet contains 20 mg Tadalfil</v>
      </c>
    </row>
    <row r="56" spans="1:11" ht="26.25" customHeight="1" x14ac:dyDescent="0.4">
      <c r="A56" s="507" t="s">
        <v>83</v>
      </c>
      <c r="B56" s="445">
        <v>20</v>
      </c>
      <c r="C56" s="457" t="str">
        <f>B20</f>
        <v>Tadalfil 20 mg</v>
      </c>
      <c r="H56" s="489"/>
    </row>
    <row r="57" spans="1:11" ht="18.75" x14ac:dyDescent="0.3">
      <c r="A57" s="507" t="s">
        <v>84</v>
      </c>
      <c r="B57" s="508">
        <f>[1]Uniformity!C36</f>
        <v>362.52800000000002</v>
      </c>
      <c r="H57" s="489"/>
    </row>
    <row r="58" spans="1:11" ht="19.5" customHeight="1" thickBot="1" x14ac:dyDescent="0.35">
      <c r="H58" s="489"/>
    </row>
    <row r="59" spans="1:11" s="446" customFormat="1" ht="27" customHeight="1" thickBot="1" x14ac:dyDescent="0.45">
      <c r="A59" s="458" t="s">
        <v>135</v>
      </c>
      <c r="B59" s="459">
        <v>100</v>
      </c>
      <c r="C59" s="457"/>
      <c r="D59" s="509" t="s">
        <v>85</v>
      </c>
      <c r="E59" s="510" t="s">
        <v>60</v>
      </c>
      <c r="F59" s="510" t="s">
        <v>61</v>
      </c>
      <c r="G59" s="510" t="s">
        <v>86</v>
      </c>
      <c r="H59" s="462" t="s">
        <v>87</v>
      </c>
      <c r="K59" s="447"/>
    </row>
    <row r="60" spans="1:11" s="446" customFormat="1" ht="22.5" customHeight="1" x14ac:dyDescent="0.4">
      <c r="A60" s="460" t="s">
        <v>112</v>
      </c>
      <c r="B60" s="461">
        <v>1</v>
      </c>
      <c r="C60" s="647" t="s">
        <v>88</v>
      </c>
      <c r="D60" s="650">
        <v>420.45</v>
      </c>
      <c r="E60" s="511">
        <v>1</v>
      </c>
      <c r="F60" s="512">
        <v>70939757</v>
      </c>
      <c r="G60" s="513">
        <f>IF(ISBLANK(F60),"-",(F60/$D$50*$D$47*$B$68)*($B$57/$D$60))</f>
        <v>19.184143283302166</v>
      </c>
      <c r="H60" s="514">
        <f t="shared" ref="H60:H71" si="0">IF(ISBLANK(F60),"-",G60/$B$56)</f>
        <v>0.95920716416510832</v>
      </c>
      <c r="K60" s="447"/>
    </row>
    <row r="61" spans="1:11" s="446" customFormat="1" ht="26.25" customHeight="1" x14ac:dyDescent="0.4">
      <c r="A61" s="460" t="s">
        <v>89</v>
      </c>
      <c r="B61" s="461">
        <v>1</v>
      </c>
      <c r="C61" s="648"/>
      <c r="D61" s="651"/>
      <c r="E61" s="515">
        <v>2</v>
      </c>
      <c r="F61" s="516">
        <v>71677213</v>
      </c>
      <c r="G61" s="517">
        <f>IF(ISBLANK(F61),"-",(F61/$D$50*$D$47*$B$68)*($B$57/$D$60))</f>
        <v>19.383572519705258</v>
      </c>
      <c r="H61" s="518">
        <f t="shared" si="0"/>
        <v>0.96917862598526283</v>
      </c>
      <c r="K61" s="447"/>
    </row>
    <row r="62" spans="1:11" s="446" customFormat="1" ht="26.25" customHeight="1" x14ac:dyDescent="0.4">
      <c r="A62" s="460" t="s">
        <v>90</v>
      </c>
      <c r="B62" s="461">
        <v>1</v>
      </c>
      <c r="C62" s="648"/>
      <c r="D62" s="651"/>
      <c r="E62" s="515">
        <v>3</v>
      </c>
      <c r="F62" s="516">
        <v>72126584</v>
      </c>
      <c r="G62" s="517">
        <f>IF(ISBLANK(F62),"-",(F62/$D$50*$D$47*$B$68)*($B$57/$D$60))</f>
        <v>19.505095316172696</v>
      </c>
      <c r="H62" s="518">
        <f t="shared" si="0"/>
        <v>0.97525476580863479</v>
      </c>
      <c r="K62" s="447"/>
    </row>
    <row r="63" spans="1:11" ht="21" customHeight="1" thickBot="1" x14ac:dyDescent="0.45">
      <c r="A63" s="460" t="s">
        <v>91</v>
      </c>
      <c r="B63" s="461">
        <v>1</v>
      </c>
      <c r="C63" s="649"/>
      <c r="D63" s="652"/>
      <c r="E63" s="519">
        <v>4</v>
      </c>
      <c r="F63" s="520"/>
      <c r="G63" s="517" t="str">
        <f>IF(ISBLANK(F63),"-",(F63/$D$50*$D$47*$B$68)*($B$57/$D$60))</f>
        <v>-</v>
      </c>
      <c r="H63" s="518" t="str">
        <f t="shared" si="0"/>
        <v>-</v>
      </c>
    </row>
    <row r="64" spans="1:11" ht="26.25" customHeight="1" x14ac:dyDescent="0.4">
      <c r="A64" s="460" t="s">
        <v>92</v>
      </c>
      <c r="B64" s="461">
        <v>1</v>
      </c>
      <c r="C64" s="647" t="s">
        <v>93</v>
      </c>
      <c r="D64" s="650">
        <v>436.01</v>
      </c>
      <c r="E64" s="511">
        <v>1</v>
      </c>
      <c r="F64" s="512">
        <v>74143451</v>
      </c>
      <c r="G64" s="521">
        <f>IF(ISBLANK(F64),"-",(F64/$D$50*$D$47*$B$68)*($B$57/$D$64))</f>
        <v>19.334966150436401</v>
      </c>
      <c r="H64" s="522">
        <f t="shared" si="0"/>
        <v>0.96674830752182006</v>
      </c>
    </row>
    <row r="65" spans="1:8" ht="26.25" customHeight="1" x14ac:dyDescent="0.4">
      <c r="A65" s="460" t="s">
        <v>94</v>
      </c>
      <c r="B65" s="461">
        <v>1</v>
      </c>
      <c r="C65" s="648"/>
      <c r="D65" s="651"/>
      <c r="E65" s="515">
        <v>2</v>
      </c>
      <c r="F65" s="516">
        <v>74094164</v>
      </c>
      <c r="G65" s="523">
        <f>IF(ISBLANK(F65),"-",(F65/$D$50*$D$47*$B$68)*($B$57/$D$64))</f>
        <v>19.322113194931855</v>
      </c>
      <c r="H65" s="524">
        <f t="shared" si="0"/>
        <v>0.96610565974659279</v>
      </c>
    </row>
    <row r="66" spans="1:8" ht="26.25" customHeight="1" x14ac:dyDescent="0.4">
      <c r="A66" s="460" t="s">
        <v>95</v>
      </c>
      <c r="B66" s="461">
        <v>1</v>
      </c>
      <c r="C66" s="648"/>
      <c r="D66" s="651"/>
      <c r="E66" s="515">
        <v>3</v>
      </c>
      <c r="F66" s="516">
        <v>73763753</v>
      </c>
      <c r="G66" s="523">
        <f>IF(ISBLANK(F66),"-",(F66/$D$50*$D$47*$B$68)*($B$57/$D$64))</f>
        <v>19.23594934074692</v>
      </c>
      <c r="H66" s="524">
        <f t="shared" si="0"/>
        <v>0.96179746703734603</v>
      </c>
    </row>
    <row r="67" spans="1:8" ht="21" customHeight="1" thickBot="1" x14ac:dyDescent="0.45">
      <c r="A67" s="460" t="s">
        <v>96</v>
      </c>
      <c r="B67" s="461">
        <v>1</v>
      </c>
      <c r="C67" s="649"/>
      <c r="D67" s="652"/>
      <c r="E67" s="519">
        <v>4</v>
      </c>
      <c r="F67" s="520"/>
      <c r="G67" s="525" t="str">
        <f>IF(ISBLANK(F67),"-",(F67/$D$50*$D$47*$B$68)*($B$57/$D$64))</f>
        <v>-</v>
      </c>
      <c r="H67" s="526" t="str">
        <f t="shared" si="0"/>
        <v>-</v>
      </c>
    </row>
    <row r="68" spans="1:8" ht="21.75" customHeight="1" x14ac:dyDescent="0.4">
      <c r="A68" s="460" t="s">
        <v>97</v>
      </c>
      <c r="B68" s="527">
        <f>(B67/B66)*(B65/B64)*(B63/B62)*(B61/B60)*B59</f>
        <v>100</v>
      </c>
      <c r="C68" s="647" t="s">
        <v>98</v>
      </c>
      <c r="D68" s="650">
        <v>439.32</v>
      </c>
      <c r="E68" s="511">
        <v>1</v>
      </c>
      <c r="F68" s="512">
        <v>74733753</v>
      </c>
      <c r="G68" s="521">
        <f>IF(ISBLANK(F68),"-",(F68/$D$50*$D$47*$B$68)*($B$57/$D$68))</f>
        <v>19.342067170698858</v>
      </c>
      <c r="H68" s="518">
        <f t="shared" si="0"/>
        <v>0.96710335853494289</v>
      </c>
    </row>
    <row r="69" spans="1:8" ht="21.75" customHeight="1" thickBot="1" x14ac:dyDescent="0.45">
      <c r="A69" s="528" t="s">
        <v>99</v>
      </c>
      <c r="B69" s="529">
        <f>D47*B68/B56*B57</f>
        <v>453.16</v>
      </c>
      <c r="C69" s="648"/>
      <c r="D69" s="651"/>
      <c r="E69" s="515">
        <v>2</v>
      </c>
      <c r="F69" s="516">
        <v>74240078</v>
      </c>
      <c r="G69" s="523">
        <f>IF(ISBLANK(F69),"-",(F69/$D$50*$D$47*$B$68)*($B$57/$D$68))</f>
        <v>19.214297660575436</v>
      </c>
      <c r="H69" s="518">
        <f t="shared" si="0"/>
        <v>0.96071488302877184</v>
      </c>
    </row>
    <row r="70" spans="1:8" ht="22.5" customHeight="1" x14ac:dyDescent="0.4">
      <c r="A70" s="654" t="s">
        <v>75</v>
      </c>
      <c r="B70" s="655"/>
      <c r="C70" s="648"/>
      <c r="D70" s="651"/>
      <c r="E70" s="515">
        <v>3</v>
      </c>
      <c r="F70" s="516">
        <v>74834317</v>
      </c>
      <c r="G70" s="523">
        <f>IF(ISBLANK(F70),"-",(F70/$D$50*$D$47*$B$68)*($B$57/$D$68))</f>
        <v>19.368094441709243</v>
      </c>
      <c r="H70" s="518">
        <f t="shared" si="0"/>
        <v>0.96840472208546213</v>
      </c>
    </row>
    <row r="71" spans="1:8" ht="21.75" customHeight="1" thickBot="1" x14ac:dyDescent="0.45">
      <c r="A71" s="656"/>
      <c r="B71" s="657"/>
      <c r="C71" s="653"/>
      <c r="D71" s="652"/>
      <c r="E71" s="519">
        <v>4</v>
      </c>
      <c r="F71" s="520"/>
      <c r="G71" s="525" t="str">
        <f>IF(ISBLANK(F71),"-",(F71/$D$50*$D$47*$B$68)*($B$57/$D$68))</f>
        <v>-</v>
      </c>
      <c r="H71" s="530" t="str">
        <f t="shared" si="0"/>
        <v>-</v>
      </c>
    </row>
    <row r="72" spans="1:8" ht="26.25" customHeight="1" x14ac:dyDescent="0.4">
      <c r="A72" s="489"/>
      <c r="B72" s="489"/>
      <c r="C72" s="489"/>
      <c r="D72" s="489"/>
      <c r="E72" s="489"/>
      <c r="F72" s="489"/>
      <c r="G72" s="531" t="s">
        <v>68</v>
      </c>
      <c r="H72" s="532">
        <f>AVERAGE(H60:H71)</f>
        <v>0.96605721710154902</v>
      </c>
    </row>
    <row r="73" spans="1:8" ht="26.25" customHeight="1" x14ac:dyDescent="0.4">
      <c r="C73" s="489"/>
      <c r="D73" s="489"/>
      <c r="E73" s="489"/>
      <c r="F73" s="489"/>
      <c r="G73" s="502" t="s">
        <v>80</v>
      </c>
      <c r="H73" s="533">
        <f>STDEV(H60:H71)/H72</f>
        <v>5.1109968885461321E-3</v>
      </c>
    </row>
    <row r="74" spans="1:8" ht="27" customHeight="1" thickBot="1" x14ac:dyDescent="0.45">
      <c r="A74" s="489"/>
      <c r="B74" s="489"/>
      <c r="C74" s="489"/>
      <c r="D74" s="489"/>
      <c r="E74" s="492"/>
      <c r="F74" s="489"/>
      <c r="G74" s="504" t="s">
        <v>19</v>
      </c>
      <c r="H74" s="534">
        <f>COUNT(H60:H71)</f>
        <v>9</v>
      </c>
    </row>
    <row r="75" spans="1:8" ht="18.75" x14ac:dyDescent="0.3">
      <c r="A75" s="489"/>
      <c r="B75" s="489"/>
      <c r="C75" s="489"/>
      <c r="D75" s="489"/>
      <c r="E75" s="492"/>
      <c r="F75" s="489"/>
      <c r="G75" s="444"/>
      <c r="H75" s="448"/>
    </row>
    <row r="76" spans="1:8" ht="18.75" x14ac:dyDescent="0.3">
      <c r="A76" s="443" t="s">
        <v>125</v>
      </c>
      <c r="B76" s="444" t="s">
        <v>113</v>
      </c>
      <c r="C76" s="634" t="str">
        <f>B20</f>
        <v>Tadalfil 20 mg</v>
      </c>
      <c r="D76" s="634"/>
      <c r="E76" s="457" t="s">
        <v>101</v>
      </c>
      <c r="F76" s="457"/>
      <c r="G76" s="535">
        <f>H72</f>
        <v>0.96605721710154902</v>
      </c>
      <c r="H76" s="448"/>
    </row>
    <row r="77" spans="1:8" ht="18.75" x14ac:dyDescent="0.3">
      <c r="A77" s="489"/>
      <c r="B77" s="489"/>
      <c r="C77" s="489"/>
      <c r="D77" s="489"/>
      <c r="E77" s="492"/>
      <c r="F77" s="489"/>
      <c r="G77" s="444"/>
      <c r="H77" s="448"/>
    </row>
    <row r="78" spans="1:8" ht="26.25" customHeight="1" x14ac:dyDescent="0.4">
      <c r="A78" s="442" t="s">
        <v>136</v>
      </c>
      <c r="B78" s="442" t="s">
        <v>137</v>
      </c>
      <c r="D78" s="536" t="s">
        <v>154</v>
      </c>
    </row>
    <row r="79" spans="1:8" ht="18.75" x14ac:dyDescent="0.3">
      <c r="A79" s="442"/>
      <c r="B79" s="442"/>
    </row>
    <row r="80" spans="1:8" ht="26.25" customHeight="1" x14ac:dyDescent="0.4">
      <c r="A80" s="443" t="s">
        <v>4</v>
      </c>
      <c r="B80" s="636" t="str">
        <f>B26</f>
        <v xml:space="preserve">Tadalfil </v>
      </c>
      <c r="C80" s="636"/>
    </row>
    <row r="81" spans="1:11" ht="26.25" customHeight="1" x14ac:dyDescent="0.4">
      <c r="A81" s="444" t="s">
        <v>47</v>
      </c>
      <c r="B81" s="445" t="str">
        <f>B27</f>
        <v>T1-2</v>
      </c>
    </row>
    <row r="82" spans="1:11" ht="27" customHeight="1" thickBot="1" x14ac:dyDescent="0.45">
      <c r="A82" s="444" t="s">
        <v>6</v>
      </c>
      <c r="B82" s="445">
        <f>B28</f>
        <v>99.4</v>
      </c>
    </row>
    <row r="83" spans="1:11" s="446" customFormat="1" ht="27" customHeight="1" thickBot="1" x14ac:dyDescent="0.45">
      <c r="A83" s="444" t="s">
        <v>48</v>
      </c>
      <c r="B83" s="445">
        <f>B29</f>
        <v>0</v>
      </c>
      <c r="C83" s="637" t="s">
        <v>49</v>
      </c>
      <c r="D83" s="638"/>
      <c r="E83" s="638"/>
      <c r="F83" s="638"/>
      <c r="G83" s="639"/>
      <c r="I83" s="447"/>
      <c r="J83" s="447"/>
      <c r="K83" s="447"/>
    </row>
    <row r="84" spans="1:11" s="446" customFormat="1" ht="19.5" customHeight="1" thickBot="1" x14ac:dyDescent="0.35">
      <c r="A84" s="444" t="s">
        <v>50</v>
      </c>
      <c r="B84" s="448">
        <f>B82-B83</f>
        <v>99.4</v>
      </c>
      <c r="C84" s="449"/>
      <c r="D84" s="449"/>
      <c r="E84" s="449"/>
      <c r="F84" s="449"/>
      <c r="G84" s="450"/>
      <c r="I84" s="447"/>
      <c r="J84" s="447"/>
      <c r="K84" s="447"/>
    </row>
    <row r="85" spans="1:11" s="446" customFormat="1" ht="27" customHeight="1" thickBot="1" x14ac:dyDescent="0.45">
      <c r="A85" s="444" t="s">
        <v>51</v>
      </c>
      <c r="B85" s="451">
        <v>1</v>
      </c>
      <c r="C85" s="640" t="s">
        <v>52</v>
      </c>
      <c r="D85" s="641"/>
      <c r="E85" s="641"/>
      <c r="F85" s="641"/>
      <c r="G85" s="641"/>
      <c r="H85" s="642"/>
      <c r="I85" s="447"/>
      <c r="J85" s="447"/>
      <c r="K85" s="447"/>
    </row>
    <row r="86" spans="1:11" s="446" customFormat="1" ht="27" customHeight="1" thickBot="1" x14ac:dyDescent="0.45">
      <c r="A86" s="444" t="s">
        <v>53</v>
      </c>
      <c r="B86" s="451">
        <v>1</v>
      </c>
      <c r="C86" s="640" t="s">
        <v>54</v>
      </c>
      <c r="D86" s="641"/>
      <c r="E86" s="641"/>
      <c r="F86" s="641"/>
      <c r="G86" s="641"/>
      <c r="H86" s="642"/>
      <c r="I86" s="447"/>
      <c r="J86" s="447"/>
      <c r="K86" s="447"/>
    </row>
    <row r="87" spans="1:11" s="446" customFormat="1" ht="18.75" x14ac:dyDescent="0.3">
      <c r="A87" s="444"/>
      <c r="B87" s="448"/>
      <c r="C87" s="449"/>
      <c r="D87" s="449"/>
      <c r="E87" s="449"/>
      <c r="F87" s="449"/>
      <c r="G87" s="450"/>
      <c r="I87" s="447"/>
      <c r="J87" s="447"/>
      <c r="K87" s="447"/>
    </row>
    <row r="88" spans="1:11" s="446" customFormat="1" ht="18.75" x14ac:dyDescent="0.3">
      <c r="A88" s="444" t="s">
        <v>55</v>
      </c>
      <c r="B88" s="456">
        <f>B85/B86</f>
        <v>1</v>
      </c>
      <c r="C88" s="457" t="s">
        <v>56</v>
      </c>
      <c r="D88" s="449"/>
      <c r="E88" s="449"/>
      <c r="F88" s="449"/>
      <c r="G88" s="450"/>
      <c r="I88" s="447"/>
      <c r="J88" s="447"/>
      <c r="K88" s="447"/>
    </row>
    <row r="89" spans="1:11" ht="19.5" customHeight="1" thickBot="1" x14ac:dyDescent="0.35">
      <c r="A89" s="442"/>
      <c r="B89" s="442"/>
    </row>
    <row r="90" spans="1:11" ht="27" customHeight="1" thickBot="1" x14ac:dyDescent="0.45">
      <c r="A90" s="458" t="s">
        <v>133</v>
      </c>
      <c r="B90" s="459">
        <v>50</v>
      </c>
      <c r="D90" s="537" t="s">
        <v>57</v>
      </c>
      <c r="E90" s="538"/>
      <c r="F90" s="643" t="s">
        <v>58</v>
      </c>
      <c r="G90" s="644"/>
    </row>
    <row r="91" spans="1:11" ht="26.25" customHeight="1" x14ac:dyDescent="0.4">
      <c r="A91" s="460" t="s">
        <v>59</v>
      </c>
      <c r="B91" s="461">
        <v>2</v>
      </c>
      <c r="C91" s="539" t="s">
        <v>134</v>
      </c>
      <c r="D91" s="463" t="s">
        <v>61</v>
      </c>
      <c r="E91" s="464" t="s">
        <v>62</v>
      </c>
      <c r="F91" s="463" t="s">
        <v>61</v>
      </c>
      <c r="G91" s="465" t="s">
        <v>62</v>
      </c>
    </row>
    <row r="92" spans="1:11" ht="26.25" customHeight="1" x14ac:dyDescent="0.4">
      <c r="A92" s="460" t="s">
        <v>63</v>
      </c>
      <c r="B92" s="461">
        <v>20</v>
      </c>
      <c r="C92" s="540">
        <v>1</v>
      </c>
      <c r="D92" s="467">
        <v>8442844</v>
      </c>
      <c r="E92" s="468">
        <f>IF(ISBLANK(D92),"-",$D$102/$D$99*D92)</f>
        <v>6498704.5455595087</v>
      </c>
      <c r="F92" s="467">
        <v>8667763</v>
      </c>
      <c r="G92" s="469">
        <f>IF(ISBLANK(F92),"-",$D$102/$F$99*F92)</f>
        <v>6522126.7771174544</v>
      </c>
    </row>
    <row r="93" spans="1:11" ht="26.25" customHeight="1" x14ac:dyDescent="0.4">
      <c r="A93" s="460" t="s">
        <v>64</v>
      </c>
      <c r="B93" s="461">
        <v>1</v>
      </c>
      <c r="C93" s="489">
        <v>2</v>
      </c>
      <c r="D93" s="471">
        <v>8389368</v>
      </c>
      <c r="E93" s="472">
        <f>IF(ISBLANK(D93),"-",$D$102/$D$99*D93)</f>
        <v>6457542.5006042374</v>
      </c>
      <c r="F93" s="471">
        <v>8648708</v>
      </c>
      <c r="G93" s="473">
        <f>IF(ISBLANK(F93),"-",$D$102/$F$99*F93)</f>
        <v>6507788.6917616399</v>
      </c>
    </row>
    <row r="94" spans="1:11" ht="26.25" customHeight="1" x14ac:dyDescent="0.4">
      <c r="A94" s="460" t="s">
        <v>65</v>
      </c>
      <c r="B94" s="461">
        <v>1</v>
      </c>
      <c r="C94" s="489">
        <v>3</v>
      </c>
      <c r="D94" s="471">
        <v>8412460</v>
      </c>
      <c r="E94" s="472">
        <f>IF(ISBLANK(D94),"-",$D$102/$D$99*D94)</f>
        <v>6475317.089992133</v>
      </c>
      <c r="F94" s="471">
        <v>8743225</v>
      </c>
      <c r="G94" s="473">
        <f>IF(ISBLANK(F94),"-",$D$102/$F$99*F94)</f>
        <v>6578908.7554496769</v>
      </c>
    </row>
    <row r="95" spans="1:11" ht="26.25" customHeight="1" x14ac:dyDescent="0.4">
      <c r="A95" s="460" t="s">
        <v>66</v>
      </c>
      <c r="B95" s="461">
        <v>1</v>
      </c>
      <c r="C95" s="541">
        <v>4</v>
      </c>
      <c r="D95" s="475"/>
      <c r="E95" s="476" t="str">
        <f>IF(ISBLANK(D95),"-",$D$102/$D$99*D95)</f>
        <v>-</v>
      </c>
      <c r="F95" s="542"/>
      <c r="G95" s="477" t="str">
        <f>IF(ISBLANK(F95),"-",$D$102/$F$99*F95)</f>
        <v>-</v>
      </c>
    </row>
    <row r="96" spans="1:11" ht="27" customHeight="1" thickBot="1" x14ac:dyDescent="0.45">
      <c r="A96" s="460" t="s">
        <v>67</v>
      </c>
      <c r="B96" s="461">
        <v>1</v>
      </c>
      <c r="C96" s="444" t="s">
        <v>68</v>
      </c>
      <c r="D96" s="543">
        <f>AVERAGE(D92:D95)</f>
        <v>8414890.666666666</v>
      </c>
      <c r="E96" s="480">
        <f>AVERAGE(E92:E95)</f>
        <v>6477188.0453852927</v>
      </c>
      <c r="F96" s="544">
        <f>AVERAGE(F92:F95)</f>
        <v>8686565.333333334</v>
      </c>
      <c r="G96" s="545">
        <f>AVERAGE(G92:G95)</f>
        <v>6536274.7414429234</v>
      </c>
    </row>
    <row r="97" spans="1:9" ht="26.25" customHeight="1" x14ac:dyDescent="0.4">
      <c r="A97" s="460" t="s">
        <v>69</v>
      </c>
      <c r="B97" s="445">
        <v>1</v>
      </c>
      <c r="C97" s="484" t="s">
        <v>104</v>
      </c>
      <c r="D97" s="485">
        <v>13.07</v>
      </c>
      <c r="E97" s="457"/>
      <c r="F97" s="486">
        <v>13.37</v>
      </c>
    </row>
    <row r="98" spans="1:9" ht="26.25" customHeight="1" x14ac:dyDescent="0.4">
      <c r="A98" s="460" t="s">
        <v>71</v>
      </c>
      <c r="B98" s="445">
        <v>1</v>
      </c>
      <c r="C98" s="487" t="s">
        <v>105</v>
      </c>
      <c r="D98" s="488">
        <f>D97*B88</f>
        <v>13.07</v>
      </c>
      <c r="E98" s="489"/>
      <c r="F98" s="490">
        <f>F97*B88</f>
        <v>13.37</v>
      </c>
    </row>
    <row r="99" spans="1:9" ht="19.5" customHeight="1" thickBot="1" x14ac:dyDescent="0.35">
      <c r="A99" s="460" t="s">
        <v>73</v>
      </c>
      <c r="B99" s="448">
        <f>(B98/B97)*(B96/B95)*(B94/B93)*(B92/B91)*B90</f>
        <v>500</v>
      </c>
      <c r="C99" s="487" t="s">
        <v>74</v>
      </c>
      <c r="D99" s="491">
        <f>D98*$B$84/100</f>
        <v>12.991580000000001</v>
      </c>
      <c r="E99" s="492"/>
      <c r="F99" s="493">
        <f>F98*$B$84/100</f>
        <v>13.28978</v>
      </c>
    </row>
    <row r="100" spans="1:9" ht="19.5" customHeight="1" thickBot="1" x14ac:dyDescent="0.35">
      <c r="A100" s="630" t="s">
        <v>75</v>
      </c>
      <c r="B100" s="645"/>
      <c r="C100" s="487" t="s">
        <v>76</v>
      </c>
      <c r="D100" s="488">
        <f>D99/$B$99</f>
        <v>2.5983160000000002E-2</v>
      </c>
      <c r="E100" s="492"/>
      <c r="F100" s="494">
        <f>F99/$B$99</f>
        <v>2.6579560000000002E-2</v>
      </c>
      <c r="H100" s="483"/>
    </row>
    <row r="101" spans="1:9" ht="19.5" customHeight="1" thickBot="1" x14ac:dyDescent="0.35">
      <c r="A101" s="632"/>
      <c r="B101" s="646"/>
      <c r="C101" s="487" t="s">
        <v>117</v>
      </c>
      <c r="D101" s="491">
        <f>$B$56/$B$117</f>
        <v>0.02</v>
      </c>
      <c r="F101" s="496"/>
      <c r="G101" s="546"/>
      <c r="H101" s="483"/>
    </row>
    <row r="102" spans="1:9" ht="18.75" x14ac:dyDescent="0.3">
      <c r="C102" s="487" t="s">
        <v>77</v>
      </c>
      <c r="D102" s="488">
        <f>D101*$B$99</f>
        <v>10</v>
      </c>
      <c r="F102" s="496"/>
      <c r="H102" s="483"/>
    </row>
    <row r="103" spans="1:9" ht="19.5" customHeight="1" thickBot="1" x14ac:dyDescent="0.35">
      <c r="C103" s="497" t="s">
        <v>78</v>
      </c>
      <c r="D103" s="498">
        <f>D102/B34</f>
        <v>10</v>
      </c>
      <c r="F103" s="499"/>
      <c r="H103" s="483"/>
      <c r="I103" s="547"/>
    </row>
    <row r="104" spans="1:9" ht="18.75" x14ac:dyDescent="0.3">
      <c r="C104" s="500" t="s">
        <v>108</v>
      </c>
      <c r="D104" s="501">
        <f>AVERAGE(E92:E95,G92:G95)</f>
        <v>6506731.3934141072</v>
      </c>
      <c r="F104" s="499"/>
      <c r="G104" s="546"/>
      <c r="H104" s="483"/>
      <c r="I104" s="548"/>
    </row>
    <row r="105" spans="1:9" ht="18.75" x14ac:dyDescent="0.3">
      <c r="C105" s="502" t="s">
        <v>80</v>
      </c>
      <c r="D105" s="549">
        <f>STDEV(E92:E95,G92:G95)/D104</f>
        <v>6.4908127398973781E-3</v>
      </c>
      <c r="F105" s="499"/>
      <c r="H105" s="483"/>
      <c r="I105" s="548"/>
    </row>
    <row r="106" spans="1:9" ht="19.5" customHeight="1" thickBot="1" x14ac:dyDescent="0.35">
      <c r="C106" s="504" t="s">
        <v>19</v>
      </c>
      <c r="D106" s="550">
        <f>COUNT(E92:E95,G92:G95)</f>
        <v>6</v>
      </c>
      <c r="F106" s="499"/>
      <c r="H106" s="483"/>
      <c r="I106" s="548"/>
    </row>
    <row r="107" spans="1:9" ht="19.5" customHeight="1" thickBot="1" x14ac:dyDescent="0.35">
      <c r="A107" s="433"/>
      <c r="B107" s="433"/>
      <c r="C107" s="433"/>
      <c r="D107" s="433"/>
      <c r="E107" s="433"/>
    </row>
    <row r="108" spans="1:9" ht="26.25" customHeight="1" x14ac:dyDescent="0.4">
      <c r="A108" s="458" t="s">
        <v>109</v>
      </c>
      <c r="B108" s="459">
        <v>1000</v>
      </c>
      <c r="C108" s="537" t="s">
        <v>132</v>
      </c>
      <c r="D108" s="551" t="s">
        <v>61</v>
      </c>
      <c r="E108" s="552" t="s">
        <v>110</v>
      </c>
      <c r="F108" s="553" t="s">
        <v>111</v>
      </c>
    </row>
    <row r="109" spans="1:9" ht="26.25" customHeight="1" x14ac:dyDescent="0.4">
      <c r="A109" s="460" t="s">
        <v>112</v>
      </c>
      <c r="B109" s="461">
        <v>1</v>
      </c>
      <c r="C109" s="554">
        <v>1</v>
      </c>
      <c r="D109" s="555">
        <v>3110346</v>
      </c>
      <c r="E109" s="556">
        <f t="shared" ref="E109:E114" si="1">IF(ISBLANK(D109),"-",D109/$D$104*$D$101*$B$117)</f>
        <v>9.5603946496029835</v>
      </c>
      <c r="F109" s="557">
        <f t="shared" ref="F109:F114" si="2">IF(ISBLANK(D109), "-", E109/$B$56)</f>
        <v>0.47801973248014917</v>
      </c>
    </row>
    <row r="110" spans="1:9" ht="26.25" customHeight="1" x14ac:dyDescent="0.4">
      <c r="A110" s="460" t="s">
        <v>89</v>
      </c>
      <c r="B110" s="461">
        <v>1</v>
      </c>
      <c r="C110" s="554">
        <v>2</v>
      </c>
      <c r="D110" s="555">
        <v>3811124</v>
      </c>
      <c r="E110" s="558">
        <f t="shared" si="1"/>
        <v>11.714403959743876</v>
      </c>
      <c r="F110" s="559">
        <f t="shared" si="2"/>
        <v>0.58572019798719377</v>
      </c>
    </row>
    <row r="111" spans="1:9" ht="26.25" customHeight="1" x14ac:dyDescent="0.4">
      <c r="A111" s="460" t="s">
        <v>90</v>
      </c>
      <c r="B111" s="461">
        <v>1</v>
      </c>
      <c r="C111" s="554">
        <v>3</v>
      </c>
      <c r="D111" s="555">
        <v>3767767</v>
      </c>
      <c r="E111" s="558">
        <f t="shared" si="1"/>
        <v>11.581135818250024</v>
      </c>
      <c r="F111" s="559">
        <f t="shared" si="2"/>
        <v>0.57905679091250117</v>
      </c>
    </row>
    <row r="112" spans="1:9" ht="26.25" customHeight="1" x14ac:dyDescent="0.4">
      <c r="A112" s="460" t="s">
        <v>91</v>
      </c>
      <c r="B112" s="461">
        <v>1</v>
      </c>
      <c r="C112" s="554">
        <v>4</v>
      </c>
      <c r="D112" s="555">
        <v>4155721</v>
      </c>
      <c r="E112" s="558">
        <f t="shared" si="1"/>
        <v>12.77360551322675</v>
      </c>
      <c r="F112" s="559">
        <f t="shared" si="2"/>
        <v>0.63868027566133745</v>
      </c>
    </row>
    <row r="113" spans="1:9" ht="26.25" customHeight="1" x14ac:dyDescent="0.4">
      <c r="A113" s="460" t="s">
        <v>92</v>
      </c>
      <c r="B113" s="461">
        <v>1</v>
      </c>
      <c r="C113" s="554">
        <v>5</v>
      </c>
      <c r="D113" s="555">
        <v>3802653</v>
      </c>
      <c r="E113" s="558">
        <f t="shared" si="1"/>
        <v>11.688366308924067</v>
      </c>
      <c r="F113" s="559">
        <f t="shared" si="2"/>
        <v>0.58441831544620337</v>
      </c>
    </row>
    <row r="114" spans="1:9" ht="26.25" customHeight="1" x14ac:dyDescent="0.4">
      <c r="A114" s="460" t="s">
        <v>94</v>
      </c>
      <c r="B114" s="461">
        <v>1</v>
      </c>
      <c r="C114" s="560">
        <v>6</v>
      </c>
      <c r="D114" s="561">
        <v>3211240</v>
      </c>
      <c r="E114" s="562">
        <f t="shared" si="1"/>
        <v>9.8705165645851256</v>
      </c>
      <c r="F114" s="563">
        <f t="shared" si="2"/>
        <v>0.49352582822925628</v>
      </c>
    </row>
    <row r="115" spans="1:9" ht="26.25" customHeight="1" x14ac:dyDescent="0.4">
      <c r="A115" s="460" t="s">
        <v>95</v>
      </c>
      <c r="B115" s="461">
        <v>1</v>
      </c>
      <c r="C115" s="554"/>
      <c r="D115" s="489"/>
      <c r="E115" s="457"/>
      <c r="F115" s="564"/>
    </row>
    <row r="116" spans="1:9" ht="26.25" customHeight="1" x14ac:dyDescent="0.4">
      <c r="A116" s="460" t="s">
        <v>96</v>
      </c>
      <c r="B116" s="461">
        <v>1</v>
      </c>
      <c r="C116" s="554"/>
      <c r="D116" s="565"/>
      <c r="E116" s="566" t="s">
        <v>68</v>
      </c>
      <c r="F116" s="567">
        <f>AVERAGE(F109:F114)</f>
        <v>0.5599035234527735</v>
      </c>
    </row>
    <row r="117" spans="1:9" ht="27" customHeight="1" thickBot="1" x14ac:dyDescent="0.45">
      <c r="A117" s="460" t="s">
        <v>97</v>
      </c>
      <c r="B117" s="527">
        <f>(B116/B115)*(B114/B113)*(B112/B111)*(B110/B109)*B108</f>
        <v>1000</v>
      </c>
      <c r="C117" s="568"/>
      <c r="D117" s="569"/>
      <c r="E117" s="444" t="s">
        <v>80</v>
      </c>
      <c r="F117" s="570">
        <f>STDEV(F109:F114)/F116</f>
        <v>0.10995588501527299</v>
      </c>
    </row>
    <row r="118" spans="1:9" ht="27" customHeight="1" thickBot="1" x14ac:dyDescent="0.45">
      <c r="A118" s="630" t="s">
        <v>75</v>
      </c>
      <c r="B118" s="631"/>
      <c r="C118" s="571"/>
      <c r="D118" s="572"/>
      <c r="E118" s="573" t="s">
        <v>19</v>
      </c>
      <c r="F118" s="574">
        <f>COUNT(F109:F114)</f>
        <v>6</v>
      </c>
      <c r="I118" s="548"/>
    </row>
    <row r="119" spans="1:9" ht="19.5" customHeight="1" thickBot="1" x14ac:dyDescent="0.35">
      <c r="A119" s="632"/>
      <c r="B119" s="633"/>
      <c r="C119" s="457"/>
      <c r="D119" s="457"/>
      <c r="E119" s="457"/>
      <c r="F119" s="489"/>
      <c r="G119" s="457"/>
      <c r="H119" s="457"/>
    </row>
    <row r="120" spans="1:9" ht="18.75" x14ac:dyDescent="0.3">
      <c r="A120" s="455"/>
      <c r="B120" s="455"/>
      <c r="C120" s="457"/>
      <c r="D120" s="457"/>
      <c r="E120" s="457"/>
      <c r="F120" s="489"/>
      <c r="G120" s="457"/>
      <c r="H120" s="457"/>
    </row>
    <row r="121" spans="1:9" ht="26.25" customHeight="1" x14ac:dyDescent="0.4">
      <c r="A121" s="443" t="s">
        <v>125</v>
      </c>
      <c r="B121" s="444" t="s">
        <v>113</v>
      </c>
      <c r="C121" s="634" t="str">
        <f>B20</f>
        <v>Tadalfil 20 mg</v>
      </c>
      <c r="D121" s="634"/>
      <c r="E121" s="457" t="s">
        <v>114</v>
      </c>
      <c r="F121" s="457"/>
      <c r="G121" s="575">
        <f>F116</f>
        <v>0.5599035234527735</v>
      </c>
      <c r="H121" s="457"/>
    </row>
    <row r="122" spans="1:9" ht="18.75" x14ac:dyDescent="0.3">
      <c r="A122" s="455"/>
      <c r="B122" s="455"/>
      <c r="C122" s="457"/>
      <c r="D122" s="457"/>
      <c r="E122" s="457"/>
      <c r="F122" s="489"/>
      <c r="G122" s="457"/>
      <c r="H122" s="457"/>
    </row>
    <row r="123" spans="1:9" ht="26.25" customHeight="1" x14ac:dyDescent="0.4">
      <c r="A123" s="442" t="s">
        <v>136</v>
      </c>
      <c r="B123" s="442" t="s">
        <v>137</v>
      </c>
      <c r="D123" s="536" t="s">
        <v>155</v>
      </c>
    </row>
    <row r="124" spans="1:9" ht="19.5" customHeight="1" thickBot="1" x14ac:dyDescent="0.35">
      <c r="A124" s="433"/>
      <c r="B124" s="433"/>
      <c r="C124" s="433"/>
      <c r="D124" s="433"/>
      <c r="E124" s="433"/>
    </row>
    <row r="125" spans="1:9" ht="26.25" customHeight="1" x14ac:dyDescent="0.4">
      <c r="A125" s="458" t="s">
        <v>109</v>
      </c>
      <c r="B125" s="576">
        <v>1000</v>
      </c>
      <c r="C125" s="537" t="s">
        <v>132</v>
      </c>
      <c r="D125" s="551" t="s">
        <v>61</v>
      </c>
      <c r="E125" s="552" t="s">
        <v>110</v>
      </c>
      <c r="F125" s="553" t="s">
        <v>111</v>
      </c>
    </row>
    <row r="126" spans="1:9" ht="26.25" customHeight="1" x14ac:dyDescent="0.4">
      <c r="A126" s="460" t="s">
        <v>112</v>
      </c>
      <c r="B126" s="577">
        <v>1</v>
      </c>
      <c r="C126" s="554">
        <v>1</v>
      </c>
      <c r="D126" s="578">
        <v>4875226</v>
      </c>
      <c r="E126" s="579">
        <f t="shared" ref="E126:E131" si="3">IF(ISBLANK(D126),"-",D126/$D$104*$D$101*$B$134)</f>
        <v>14.9851767507555</v>
      </c>
      <c r="F126" s="580">
        <f t="shared" ref="F126:F131" si="4">IF(ISBLANK(D126), "-", E126/$B$56)</f>
        <v>0.749258837537775</v>
      </c>
    </row>
    <row r="127" spans="1:9" ht="26.25" customHeight="1" x14ac:dyDescent="0.4">
      <c r="A127" s="460" t="s">
        <v>89</v>
      </c>
      <c r="B127" s="577">
        <v>1</v>
      </c>
      <c r="C127" s="554">
        <v>2</v>
      </c>
      <c r="D127" s="578">
        <v>4456290</v>
      </c>
      <c r="E127" s="581">
        <f t="shared" si="3"/>
        <v>13.697476445732818</v>
      </c>
      <c r="F127" s="582">
        <f t="shared" si="4"/>
        <v>0.68487382228664084</v>
      </c>
    </row>
    <row r="128" spans="1:9" ht="26.25" customHeight="1" x14ac:dyDescent="0.4">
      <c r="A128" s="460" t="s">
        <v>90</v>
      </c>
      <c r="B128" s="577">
        <v>1</v>
      </c>
      <c r="C128" s="554">
        <v>3</v>
      </c>
      <c r="D128" s="578">
        <v>4240719</v>
      </c>
      <c r="E128" s="581">
        <f t="shared" si="3"/>
        <v>13.034867258520345</v>
      </c>
      <c r="F128" s="582">
        <f t="shared" si="4"/>
        <v>0.6517433629260172</v>
      </c>
    </row>
    <row r="129" spans="1:9" ht="26.25" customHeight="1" x14ac:dyDescent="0.4">
      <c r="A129" s="460" t="s">
        <v>91</v>
      </c>
      <c r="B129" s="577">
        <v>1</v>
      </c>
      <c r="C129" s="554">
        <v>4</v>
      </c>
      <c r="D129" s="578">
        <v>4957214</v>
      </c>
      <c r="E129" s="581">
        <f t="shared" si="3"/>
        <v>15.237186538904998</v>
      </c>
      <c r="F129" s="582">
        <f t="shared" si="4"/>
        <v>0.76185932694524994</v>
      </c>
    </row>
    <row r="130" spans="1:9" ht="26.25" customHeight="1" x14ac:dyDescent="0.4">
      <c r="A130" s="460" t="s">
        <v>92</v>
      </c>
      <c r="B130" s="577">
        <v>1</v>
      </c>
      <c r="C130" s="554">
        <v>5</v>
      </c>
      <c r="D130" s="578">
        <v>4249703</v>
      </c>
      <c r="E130" s="581">
        <f t="shared" si="3"/>
        <v>13.062481737916539</v>
      </c>
      <c r="F130" s="582">
        <f t="shared" si="4"/>
        <v>0.65312408689582691</v>
      </c>
    </row>
    <row r="131" spans="1:9" ht="26.25" customHeight="1" x14ac:dyDescent="0.4">
      <c r="A131" s="460" t="s">
        <v>94</v>
      </c>
      <c r="B131" s="577">
        <v>1</v>
      </c>
      <c r="C131" s="560">
        <v>6</v>
      </c>
      <c r="D131" s="583">
        <v>4477450</v>
      </c>
      <c r="E131" s="584">
        <f t="shared" si="3"/>
        <v>13.762516782333826</v>
      </c>
      <c r="F131" s="585">
        <f t="shared" si="4"/>
        <v>0.68812583911669134</v>
      </c>
    </row>
    <row r="132" spans="1:9" ht="26.25" customHeight="1" x14ac:dyDescent="0.4">
      <c r="A132" s="460" t="s">
        <v>95</v>
      </c>
      <c r="B132" s="577">
        <v>1</v>
      </c>
      <c r="C132" s="554"/>
      <c r="D132" s="489"/>
      <c r="E132" s="457"/>
      <c r="F132" s="564"/>
    </row>
    <row r="133" spans="1:9" ht="26.25" customHeight="1" x14ac:dyDescent="0.4">
      <c r="A133" s="460" t="s">
        <v>96</v>
      </c>
      <c r="B133" s="577">
        <v>1</v>
      </c>
      <c r="C133" s="554"/>
      <c r="D133" s="565"/>
      <c r="E133" s="566" t="s">
        <v>68</v>
      </c>
      <c r="F133" s="567">
        <f>AVERAGE(F126:F131)</f>
        <v>0.69816421261803363</v>
      </c>
    </row>
    <row r="134" spans="1:9" ht="27" customHeight="1" thickBot="1" x14ac:dyDescent="0.45">
      <c r="A134" s="460" t="s">
        <v>97</v>
      </c>
      <c r="B134" s="586">
        <f>(B133/B132)*(B131/B130)*(B129/B128)*(B127/B126)*B125</f>
        <v>1000</v>
      </c>
      <c r="C134" s="568"/>
      <c r="D134" s="569"/>
      <c r="E134" s="444" t="s">
        <v>80</v>
      </c>
      <c r="F134" s="570">
        <f>STDEV(F126:F131)/F133</f>
        <v>6.7573818276976533E-2</v>
      </c>
    </row>
    <row r="135" spans="1:9" ht="27" customHeight="1" thickBot="1" x14ac:dyDescent="0.45">
      <c r="A135" s="630" t="s">
        <v>75</v>
      </c>
      <c r="B135" s="631"/>
      <c r="C135" s="571"/>
      <c r="D135" s="572"/>
      <c r="E135" s="573" t="s">
        <v>19</v>
      </c>
      <c r="F135" s="574">
        <f>COUNT(F126:F131)</f>
        <v>6</v>
      </c>
      <c r="I135" s="548"/>
    </row>
    <row r="136" spans="1:9" ht="19.5" customHeight="1" thickBot="1" x14ac:dyDescent="0.35">
      <c r="A136" s="632"/>
      <c r="B136" s="633"/>
      <c r="C136" s="457"/>
      <c r="D136" s="457"/>
      <c r="E136" s="457"/>
      <c r="F136" s="489"/>
      <c r="G136" s="457"/>
      <c r="H136" s="457"/>
    </row>
    <row r="137" spans="1:9" ht="18.75" x14ac:dyDescent="0.3">
      <c r="A137" s="455"/>
      <c r="B137" s="455"/>
      <c r="C137" s="457"/>
      <c r="D137" s="457"/>
      <c r="E137" s="457"/>
      <c r="F137" s="489"/>
      <c r="G137" s="457"/>
      <c r="H137" s="457"/>
    </row>
    <row r="138" spans="1:9" ht="26.25" customHeight="1" x14ac:dyDescent="0.4">
      <c r="A138" s="443" t="s">
        <v>125</v>
      </c>
      <c r="B138" s="444" t="s">
        <v>113</v>
      </c>
      <c r="C138" s="634" t="str">
        <f>B20</f>
        <v>Tadalfil 20 mg</v>
      </c>
      <c r="D138" s="634"/>
      <c r="E138" s="457" t="s">
        <v>114</v>
      </c>
      <c r="F138" s="457"/>
      <c r="G138" s="575">
        <f>F133</f>
        <v>0.69816421261803363</v>
      </c>
      <c r="H138" s="457"/>
    </row>
    <row r="139" spans="1:9" ht="19.5" customHeight="1" thickBot="1" x14ac:dyDescent="0.35">
      <c r="A139" s="587"/>
      <c r="B139" s="587"/>
      <c r="C139" s="588"/>
      <c r="D139" s="588"/>
      <c r="E139" s="588"/>
      <c r="F139" s="588"/>
      <c r="G139" s="588"/>
      <c r="H139" s="588"/>
    </row>
    <row r="140" spans="1:9" ht="18.75" x14ac:dyDescent="0.3">
      <c r="B140" s="635" t="s">
        <v>25</v>
      </c>
      <c r="C140" s="635"/>
      <c r="E140" s="539" t="s">
        <v>26</v>
      </c>
      <c r="F140" s="589"/>
      <c r="G140" s="635" t="s">
        <v>27</v>
      </c>
      <c r="H140" s="635"/>
    </row>
    <row r="141" spans="1:9" ht="83.1" customHeight="1" x14ac:dyDescent="0.3">
      <c r="A141" s="443" t="s">
        <v>28</v>
      </c>
      <c r="B141" s="590"/>
      <c r="C141" s="590" t="s">
        <v>142</v>
      </c>
      <c r="E141" s="591" t="s">
        <v>143</v>
      </c>
      <c r="F141" s="457"/>
      <c r="G141" s="591"/>
      <c r="H141" s="591"/>
    </row>
    <row r="142" spans="1:9" ht="83.1" customHeight="1" x14ac:dyDescent="0.3">
      <c r="A142" s="443" t="s">
        <v>29</v>
      </c>
      <c r="B142" s="592"/>
      <c r="C142" s="592"/>
      <c r="E142" s="593"/>
      <c r="F142" s="457"/>
      <c r="G142" s="594"/>
      <c r="H142" s="594"/>
    </row>
    <row r="143" spans="1:9" ht="18.75" x14ac:dyDescent="0.3">
      <c r="A143" s="489"/>
      <c r="B143" s="489"/>
      <c r="C143" s="489"/>
      <c r="D143" s="489"/>
      <c r="E143" s="489"/>
      <c r="F143" s="492"/>
      <c r="G143" s="489"/>
      <c r="H143" s="489"/>
    </row>
    <row r="144" spans="1:9" ht="18.75" x14ac:dyDescent="0.3">
      <c r="A144" s="489"/>
      <c r="B144" s="489"/>
      <c r="C144" s="489"/>
      <c r="D144" s="489"/>
      <c r="E144" s="489"/>
      <c r="F144" s="492"/>
      <c r="G144" s="489"/>
      <c r="H144" s="489"/>
    </row>
    <row r="145" spans="1:8" ht="18.75" x14ac:dyDescent="0.3">
      <c r="A145" s="489"/>
      <c r="B145" s="489"/>
      <c r="C145" s="489"/>
      <c r="D145" s="489"/>
      <c r="E145" s="489"/>
      <c r="F145" s="492"/>
      <c r="G145" s="489"/>
      <c r="H145" s="489"/>
    </row>
    <row r="146" spans="1:8" ht="18.75" x14ac:dyDescent="0.3">
      <c r="A146" s="489"/>
      <c r="B146" s="489"/>
      <c r="C146" s="489"/>
      <c r="D146" s="489"/>
      <c r="E146" s="489"/>
      <c r="F146" s="492"/>
      <c r="G146" s="489"/>
      <c r="H146" s="489"/>
    </row>
    <row r="147" spans="1:8" ht="18.75" x14ac:dyDescent="0.3">
      <c r="A147" s="489"/>
      <c r="B147" s="489"/>
      <c r="C147" s="489"/>
      <c r="D147" s="489"/>
      <c r="E147" s="489"/>
      <c r="F147" s="492"/>
      <c r="G147" s="489"/>
      <c r="H147" s="489"/>
    </row>
    <row r="148" spans="1:8" ht="18.75" x14ac:dyDescent="0.3">
      <c r="A148" s="489"/>
      <c r="B148" s="489"/>
      <c r="C148" s="489"/>
      <c r="D148" s="489"/>
      <c r="E148" s="489"/>
      <c r="F148" s="492"/>
      <c r="G148" s="489"/>
      <c r="H148" s="489"/>
    </row>
    <row r="149" spans="1:8" ht="18.75" x14ac:dyDescent="0.3">
      <c r="A149" s="489"/>
      <c r="B149" s="489"/>
      <c r="C149" s="489"/>
      <c r="D149" s="489"/>
      <c r="E149" s="489"/>
      <c r="F149" s="492"/>
      <c r="G149" s="489"/>
      <c r="H149" s="489"/>
    </row>
    <row r="150" spans="1:8" ht="18.75" x14ac:dyDescent="0.3">
      <c r="A150" s="489"/>
      <c r="B150" s="489"/>
      <c r="C150" s="489"/>
      <c r="D150" s="489"/>
      <c r="E150" s="489"/>
      <c r="F150" s="492"/>
      <c r="G150" s="489"/>
      <c r="H150" s="489"/>
    </row>
    <row r="151" spans="1:8" ht="18.75" x14ac:dyDescent="0.3">
      <c r="A151" s="489"/>
      <c r="B151" s="489"/>
      <c r="C151" s="489"/>
      <c r="D151" s="489"/>
      <c r="E151" s="489"/>
      <c r="F151" s="492"/>
      <c r="G151" s="489"/>
      <c r="H151" s="489"/>
    </row>
    <row r="250" spans="1:1" x14ac:dyDescent="0.25">
      <c r="A250" s="43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</mergeCells>
  <printOptions horizontalCentered="1" verticalCentered="1"/>
  <pageMargins left="0.7" right="0.7" top="0.75" bottom="0.75" header="0.3" footer="0.3"/>
  <pageSetup paperSize="9" scale="23" fitToHeight="2" orientation="portrait" r:id="rId1"/>
  <headerFooter alignWithMargins="0"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36" zoomScale="55" zoomScaleNormal="75" workbookViewId="0">
      <selection activeCell="G157" sqref="G157:H160"/>
    </sheetView>
  </sheetViews>
  <sheetFormatPr defaultRowHeight="16.5" x14ac:dyDescent="0.3"/>
  <cols>
    <col min="1" max="1" width="55.42578125" style="202" customWidth="1"/>
    <col min="2" max="2" width="33.7109375" style="202" customWidth="1"/>
    <col min="3" max="3" width="42.28515625" style="202" customWidth="1"/>
    <col min="4" max="4" width="30.5703125" style="202" customWidth="1"/>
    <col min="5" max="5" width="39.85546875" style="202" customWidth="1"/>
    <col min="6" max="6" width="30.7109375" style="202" customWidth="1"/>
    <col min="7" max="7" width="36.42578125" style="202" customWidth="1"/>
    <col min="8" max="8" width="41.140625" style="202" customWidth="1"/>
    <col min="9" max="9" width="30.42578125" style="200" customWidth="1"/>
    <col min="10" max="10" width="21.28515625" style="200" customWidth="1"/>
    <col min="11" max="11" width="9.140625" style="200" customWidth="1"/>
    <col min="12" max="16384" width="9.140625" style="201"/>
  </cols>
  <sheetData>
    <row r="1" spans="1:8" ht="15" x14ac:dyDescent="0.3">
      <c r="A1" s="688" t="s">
        <v>44</v>
      </c>
      <c r="B1" s="688"/>
      <c r="C1" s="688"/>
      <c r="D1" s="688"/>
      <c r="E1" s="688"/>
      <c r="F1" s="688"/>
      <c r="G1" s="688"/>
      <c r="H1" s="688"/>
    </row>
    <row r="2" spans="1:8" ht="15" x14ac:dyDescent="0.3">
      <c r="A2" s="688"/>
      <c r="B2" s="688"/>
      <c r="C2" s="688"/>
      <c r="D2" s="688"/>
      <c r="E2" s="688"/>
      <c r="F2" s="688"/>
      <c r="G2" s="688"/>
      <c r="H2" s="688"/>
    </row>
    <row r="3" spans="1:8" ht="15" x14ac:dyDescent="0.3">
      <c r="A3" s="688"/>
      <c r="B3" s="688"/>
      <c r="C3" s="688"/>
      <c r="D3" s="688"/>
      <c r="E3" s="688"/>
      <c r="F3" s="688"/>
      <c r="G3" s="688"/>
      <c r="H3" s="688"/>
    </row>
    <row r="4" spans="1:8" ht="15" x14ac:dyDescent="0.3">
      <c r="A4" s="688"/>
      <c r="B4" s="688"/>
      <c r="C4" s="688"/>
      <c r="D4" s="688"/>
      <c r="E4" s="688"/>
      <c r="F4" s="688"/>
      <c r="G4" s="688"/>
      <c r="H4" s="688"/>
    </row>
    <row r="5" spans="1:8" ht="15" x14ac:dyDescent="0.3">
      <c r="A5" s="688"/>
      <c r="B5" s="688"/>
      <c r="C5" s="688"/>
      <c r="D5" s="688"/>
      <c r="E5" s="688"/>
      <c r="F5" s="688"/>
      <c r="G5" s="688"/>
      <c r="H5" s="688"/>
    </row>
    <row r="6" spans="1:8" ht="15" x14ac:dyDescent="0.3">
      <c r="A6" s="688"/>
      <c r="B6" s="688"/>
      <c r="C6" s="688"/>
      <c r="D6" s="688"/>
      <c r="E6" s="688"/>
      <c r="F6" s="688"/>
      <c r="G6" s="688"/>
      <c r="H6" s="688"/>
    </row>
    <row r="7" spans="1:8" ht="15" x14ac:dyDescent="0.3">
      <c r="A7" s="688"/>
      <c r="B7" s="688"/>
      <c r="C7" s="688"/>
      <c r="D7" s="688"/>
      <c r="E7" s="688"/>
      <c r="F7" s="688"/>
      <c r="G7" s="688"/>
      <c r="H7" s="688"/>
    </row>
    <row r="8" spans="1:8" ht="15" x14ac:dyDescent="0.3">
      <c r="A8" s="689" t="s">
        <v>45</v>
      </c>
      <c r="B8" s="689"/>
      <c r="C8" s="689"/>
      <c r="D8" s="689"/>
      <c r="E8" s="689"/>
      <c r="F8" s="689"/>
      <c r="G8" s="689"/>
      <c r="H8" s="689"/>
    </row>
    <row r="9" spans="1:8" ht="15" x14ac:dyDescent="0.3">
      <c r="A9" s="689"/>
      <c r="B9" s="689"/>
      <c r="C9" s="689"/>
      <c r="D9" s="689"/>
      <c r="E9" s="689"/>
      <c r="F9" s="689"/>
      <c r="G9" s="689"/>
      <c r="H9" s="689"/>
    </row>
    <row r="10" spans="1:8" ht="15" x14ac:dyDescent="0.3">
      <c r="A10" s="689"/>
      <c r="B10" s="689"/>
      <c r="C10" s="689"/>
      <c r="D10" s="689"/>
      <c r="E10" s="689"/>
      <c r="F10" s="689"/>
      <c r="G10" s="689"/>
      <c r="H10" s="689"/>
    </row>
    <row r="11" spans="1:8" ht="15" x14ac:dyDescent="0.3">
      <c r="A11" s="689"/>
      <c r="B11" s="689"/>
      <c r="C11" s="689"/>
      <c r="D11" s="689"/>
      <c r="E11" s="689"/>
      <c r="F11" s="689"/>
      <c r="G11" s="689"/>
      <c r="H11" s="689"/>
    </row>
    <row r="12" spans="1:8" ht="15" x14ac:dyDescent="0.3">
      <c r="A12" s="689"/>
      <c r="B12" s="689"/>
      <c r="C12" s="689"/>
      <c r="D12" s="689"/>
      <c r="E12" s="689"/>
      <c r="F12" s="689"/>
      <c r="G12" s="689"/>
      <c r="H12" s="689"/>
    </row>
    <row r="13" spans="1:8" ht="15" x14ac:dyDescent="0.3">
      <c r="A13" s="689"/>
      <c r="B13" s="689"/>
      <c r="C13" s="689"/>
      <c r="D13" s="689"/>
      <c r="E13" s="689"/>
      <c r="F13" s="689"/>
      <c r="G13" s="689"/>
      <c r="H13" s="689"/>
    </row>
    <row r="14" spans="1:8" ht="15" x14ac:dyDescent="0.3">
      <c r="A14" s="689"/>
      <c r="B14" s="689"/>
      <c r="C14" s="689"/>
      <c r="D14" s="689"/>
      <c r="E14" s="689"/>
      <c r="F14" s="689"/>
      <c r="G14" s="689"/>
      <c r="H14" s="689"/>
    </row>
    <row r="15" spans="1:8" ht="19.5" customHeight="1" thickBot="1" x14ac:dyDescent="0.35"/>
    <row r="16" spans="1:8" ht="19.5" customHeight="1" thickBot="1" x14ac:dyDescent="0.35">
      <c r="A16" s="690" t="s">
        <v>30</v>
      </c>
      <c r="B16" s="691"/>
      <c r="C16" s="691"/>
      <c r="D16" s="691"/>
      <c r="E16" s="691"/>
      <c r="F16" s="691"/>
      <c r="G16" s="691"/>
      <c r="H16" s="692"/>
    </row>
    <row r="17" spans="1:13" ht="20.25" customHeight="1" x14ac:dyDescent="0.3">
      <c r="A17" s="693" t="s">
        <v>46</v>
      </c>
      <c r="B17" s="693"/>
      <c r="C17" s="693"/>
      <c r="D17" s="693"/>
      <c r="E17" s="693"/>
      <c r="F17" s="693"/>
      <c r="G17" s="693"/>
      <c r="H17" s="693"/>
    </row>
    <row r="18" spans="1:13" ht="26.25" customHeight="1" x14ac:dyDescent="0.3">
      <c r="A18" s="203" t="s">
        <v>32</v>
      </c>
      <c r="B18" s="664" t="s">
        <v>149</v>
      </c>
      <c r="C18" s="664"/>
      <c r="D18" s="204"/>
      <c r="E18" s="204"/>
    </row>
    <row r="19" spans="1:13" ht="26.25" customHeight="1" x14ac:dyDescent="0.3">
      <c r="A19" s="203" t="s">
        <v>33</v>
      </c>
      <c r="B19" s="437" t="s">
        <v>7</v>
      </c>
      <c r="C19" s="438">
        <v>35</v>
      </c>
    </row>
    <row r="20" spans="1:13" ht="26.25" customHeight="1" x14ac:dyDescent="0.3">
      <c r="A20" s="203" t="s">
        <v>34</v>
      </c>
      <c r="B20" s="437" t="s">
        <v>150</v>
      </c>
      <c r="C20" s="432"/>
    </row>
    <row r="21" spans="1:13" ht="26.25" customHeight="1" x14ac:dyDescent="0.3">
      <c r="A21" s="203" t="s">
        <v>35</v>
      </c>
      <c r="B21" s="439" t="s">
        <v>151</v>
      </c>
      <c r="C21" s="439"/>
      <c r="D21" s="206"/>
      <c r="E21" s="206"/>
      <c r="F21" s="206"/>
      <c r="G21" s="206"/>
      <c r="H21" s="206"/>
    </row>
    <row r="22" spans="1:13" ht="26.25" customHeight="1" x14ac:dyDescent="0.3">
      <c r="A22" s="203" t="s">
        <v>36</v>
      </c>
      <c r="B22" s="207">
        <v>42409</v>
      </c>
    </row>
    <row r="23" spans="1:13" ht="26.25" customHeight="1" x14ac:dyDescent="0.3">
      <c r="A23" s="203" t="s">
        <v>37</v>
      </c>
      <c r="B23" s="207">
        <v>42412</v>
      </c>
    </row>
    <row r="24" spans="1:13" ht="18.75" x14ac:dyDescent="0.3">
      <c r="A24" s="203"/>
      <c r="B24" s="208"/>
    </row>
    <row r="25" spans="1:13" ht="18.75" x14ac:dyDescent="0.3">
      <c r="A25" s="209" t="s">
        <v>1</v>
      </c>
      <c r="B25" s="208"/>
    </row>
    <row r="26" spans="1:13" ht="26.25" customHeight="1" x14ac:dyDescent="0.4">
      <c r="A26" s="210" t="s">
        <v>4</v>
      </c>
      <c r="B26" s="636" t="s">
        <v>152</v>
      </c>
      <c r="C26" s="636"/>
    </row>
    <row r="27" spans="1:13" ht="26.25" customHeight="1" x14ac:dyDescent="0.4">
      <c r="A27" s="211" t="s">
        <v>47</v>
      </c>
      <c r="B27" s="445" t="s">
        <v>153</v>
      </c>
      <c r="C27" s="432"/>
    </row>
    <row r="28" spans="1:13" ht="27" customHeight="1" thickBot="1" x14ac:dyDescent="0.45">
      <c r="A28" s="211" t="s">
        <v>6</v>
      </c>
      <c r="B28" s="445">
        <v>99.4</v>
      </c>
      <c r="C28" s="432"/>
    </row>
    <row r="29" spans="1:13" s="216" customFormat="1" ht="15.75" customHeight="1" thickBot="1" x14ac:dyDescent="0.3">
      <c r="A29" s="211" t="s">
        <v>48</v>
      </c>
      <c r="B29" s="213">
        <v>0</v>
      </c>
      <c r="C29" s="677" t="s">
        <v>145</v>
      </c>
      <c r="D29" s="678"/>
      <c r="E29" s="678"/>
      <c r="F29" s="678"/>
      <c r="G29" s="679"/>
      <c r="H29" s="214"/>
      <c r="I29" s="215"/>
      <c r="J29" s="215"/>
      <c r="K29" s="215"/>
    </row>
    <row r="30" spans="1:13" s="216" customFormat="1" ht="19.5" customHeight="1" thickBot="1" x14ac:dyDescent="0.3">
      <c r="A30" s="211" t="s">
        <v>50</v>
      </c>
      <c r="B30" s="217">
        <f>B28-B29</f>
        <v>99.4</v>
      </c>
      <c r="C30" s="218"/>
      <c r="D30" s="218"/>
      <c r="E30" s="218"/>
      <c r="F30" s="218"/>
      <c r="G30" s="219"/>
      <c r="H30" s="214"/>
      <c r="I30" s="215"/>
      <c r="J30" s="215"/>
      <c r="K30" s="215"/>
    </row>
    <row r="31" spans="1:13" s="216" customFormat="1" ht="27" customHeight="1" thickBot="1" x14ac:dyDescent="0.3">
      <c r="A31" s="211" t="s">
        <v>51</v>
      </c>
      <c r="B31" s="220">
        <v>1</v>
      </c>
      <c r="C31" s="680" t="s">
        <v>52</v>
      </c>
      <c r="D31" s="681"/>
      <c r="E31" s="681"/>
      <c r="F31" s="681"/>
      <c r="G31" s="681"/>
      <c r="H31" s="682"/>
      <c r="I31" s="215"/>
      <c r="J31" s="215"/>
      <c r="K31" s="215"/>
    </row>
    <row r="32" spans="1:13" s="216" customFormat="1" ht="27" customHeight="1" thickBot="1" x14ac:dyDescent="0.3">
      <c r="A32" s="211" t="s">
        <v>53</v>
      </c>
      <c r="B32" s="220">
        <v>1</v>
      </c>
      <c r="C32" s="680" t="s">
        <v>54</v>
      </c>
      <c r="D32" s="681"/>
      <c r="E32" s="681"/>
      <c r="F32" s="681"/>
      <c r="G32" s="681"/>
      <c r="H32" s="682"/>
      <c r="I32" s="215"/>
      <c r="J32" s="215"/>
      <c r="K32" s="221"/>
      <c r="L32" s="221"/>
      <c r="M32" s="222"/>
    </row>
    <row r="33" spans="1:13" s="216" customFormat="1" ht="17.25" customHeight="1" x14ac:dyDescent="0.25">
      <c r="A33" s="211"/>
      <c r="B33" s="223"/>
      <c r="C33" s="224"/>
      <c r="D33" s="224"/>
      <c r="E33" s="224"/>
      <c r="F33" s="224"/>
      <c r="G33" s="224"/>
      <c r="H33" s="224"/>
      <c r="I33" s="215"/>
      <c r="J33" s="215"/>
      <c r="K33" s="221"/>
      <c r="L33" s="221"/>
      <c r="M33" s="222"/>
    </row>
    <row r="34" spans="1:13" s="216" customFormat="1" ht="18.75" x14ac:dyDescent="0.25">
      <c r="A34" s="211" t="s">
        <v>55</v>
      </c>
      <c r="B34" s="225">
        <f>B31/B32</f>
        <v>1</v>
      </c>
      <c r="C34" s="205" t="s">
        <v>56</v>
      </c>
      <c r="D34" s="205"/>
      <c r="E34" s="205"/>
      <c r="F34" s="205"/>
      <c r="G34" s="205"/>
      <c r="H34" s="214"/>
      <c r="I34" s="215"/>
      <c r="J34" s="215"/>
      <c r="K34" s="221"/>
      <c r="L34" s="221"/>
      <c r="M34" s="222"/>
    </row>
    <row r="35" spans="1:13" s="216" customFormat="1" ht="19.5" customHeight="1" thickBot="1" x14ac:dyDescent="0.3">
      <c r="A35" s="211"/>
      <c r="B35" s="217"/>
      <c r="C35" s="214"/>
      <c r="D35" s="214"/>
      <c r="E35" s="214"/>
      <c r="F35" s="214"/>
      <c r="G35" s="205"/>
      <c r="H35" s="214"/>
      <c r="I35" s="215"/>
      <c r="J35" s="215"/>
      <c r="K35" s="221"/>
      <c r="L35" s="221"/>
      <c r="M35" s="222"/>
    </row>
    <row r="36" spans="1:13" s="216" customFormat="1" ht="27" customHeight="1" thickBot="1" x14ac:dyDescent="0.45">
      <c r="A36" s="226" t="s">
        <v>116</v>
      </c>
      <c r="B36" s="459">
        <v>50</v>
      </c>
      <c r="C36" s="205"/>
      <c r="D36" s="675" t="s">
        <v>57</v>
      </c>
      <c r="E36" s="687"/>
      <c r="F36" s="675" t="s">
        <v>58</v>
      </c>
      <c r="G36" s="676"/>
      <c r="H36" s="214"/>
      <c r="I36" s="215"/>
      <c r="J36" s="215"/>
      <c r="K36" s="221"/>
      <c r="L36" s="221"/>
      <c r="M36" s="222"/>
    </row>
    <row r="37" spans="1:13" s="216" customFormat="1" ht="26.25" customHeight="1" x14ac:dyDescent="0.25">
      <c r="A37" s="228" t="s">
        <v>59</v>
      </c>
      <c r="B37" s="229">
        <v>1</v>
      </c>
      <c r="C37" s="230" t="s">
        <v>60</v>
      </c>
      <c r="D37" s="231" t="s">
        <v>61</v>
      </c>
      <c r="E37" s="232" t="s">
        <v>62</v>
      </c>
      <c r="F37" s="231" t="s">
        <v>61</v>
      </c>
      <c r="G37" s="233" t="s">
        <v>62</v>
      </c>
      <c r="H37" s="214"/>
      <c r="I37" s="215"/>
      <c r="J37" s="215"/>
      <c r="K37" s="221"/>
      <c r="L37" s="221"/>
      <c r="M37" s="222"/>
    </row>
    <row r="38" spans="1:13" s="216" customFormat="1" ht="26.25" customHeight="1" x14ac:dyDescent="0.4">
      <c r="A38" s="228" t="s">
        <v>63</v>
      </c>
      <c r="B38" s="229">
        <v>1</v>
      </c>
      <c r="C38" s="234">
        <v>1</v>
      </c>
      <c r="D38" s="467">
        <v>83109278</v>
      </c>
      <c r="E38" s="235">
        <f>IF(ISBLANK(D38),"-",$D$48/$D$45*D38)</f>
        <v>79964559.737922549</v>
      </c>
      <c r="F38" s="467">
        <v>84399188</v>
      </c>
      <c r="G38" s="236">
        <f>IF(ISBLANK(F38),"-",$D$48/$F$45*F38)</f>
        <v>79383545.100069374</v>
      </c>
      <c r="H38" s="214"/>
      <c r="I38" s="215"/>
      <c r="J38" s="215"/>
      <c r="K38" s="221"/>
      <c r="L38" s="221"/>
      <c r="M38" s="222"/>
    </row>
    <row r="39" spans="1:13" s="216" customFormat="1" ht="26.25" customHeight="1" x14ac:dyDescent="0.4">
      <c r="A39" s="228" t="s">
        <v>64</v>
      </c>
      <c r="B39" s="229">
        <v>1</v>
      </c>
      <c r="C39" s="237">
        <v>2</v>
      </c>
      <c r="D39" s="471">
        <v>83128486</v>
      </c>
      <c r="E39" s="238">
        <f>IF(ISBLANK(D39),"-",$D$48/$D$45*D39)</f>
        <v>79983040.938823447</v>
      </c>
      <c r="F39" s="471">
        <v>84409844</v>
      </c>
      <c r="G39" s="239">
        <f>IF(ISBLANK(F39),"-",$D$48/$F$45*F39)</f>
        <v>79393567.839347228</v>
      </c>
      <c r="H39" s="214"/>
      <c r="I39" s="215"/>
      <c r="J39" s="215"/>
      <c r="K39" s="221"/>
      <c r="L39" s="221"/>
      <c r="M39" s="222"/>
    </row>
    <row r="40" spans="1:13" ht="26.25" customHeight="1" x14ac:dyDescent="0.4">
      <c r="A40" s="228" t="s">
        <v>65</v>
      </c>
      <c r="B40" s="229">
        <v>1</v>
      </c>
      <c r="C40" s="237">
        <v>3</v>
      </c>
      <c r="D40" s="471">
        <v>83202372</v>
      </c>
      <c r="E40" s="238">
        <f>IF(ISBLANK(D40),"-",$D$48/$D$45*D40)</f>
        <v>80054131.214217201</v>
      </c>
      <c r="F40" s="471">
        <v>84504938</v>
      </c>
      <c r="G40" s="239">
        <f>IF(ISBLANK(F40),"-",$D$48/$F$45*F40)</f>
        <v>79483010.629220337</v>
      </c>
      <c r="K40" s="221"/>
      <c r="L40" s="221"/>
      <c r="M40" s="240"/>
    </row>
    <row r="41" spans="1:13" ht="26.25" customHeight="1" x14ac:dyDescent="0.3">
      <c r="A41" s="228" t="s">
        <v>66</v>
      </c>
      <c r="B41" s="229">
        <v>1</v>
      </c>
      <c r="C41" s="241">
        <v>4</v>
      </c>
      <c r="D41" s="242"/>
      <c r="E41" s="243" t="str">
        <f>IF(ISBLANK(D41),"-",$D$48/$D$45*D41)</f>
        <v>-</v>
      </c>
      <c r="F41" s="242"/>
      <c r="G41" s="244" t="str">
        <f>IF(ISBLANK(F41),"-",$D$48/$F$45*F41)</f>
        <v>-</v>
      </c>
      <c r="K41" s="221"/>
      <c r="L41" s="221"/>
      <c r="M41" s="240"/>
    </row>
    <row r="42" spans="1:13" ht="27" customHeight="1" thickBot="1" x14ac:dyDescent="0.35">
      <c r="A42" s="228" t="s">
        <v>67</v>
      </c>
      <c r="B42" s="229">
        <v>1</v>
      </c>
      <c r="C42" s="211" t="s">
        <v>68</v>
      </c>
      <c r="D42" s="245">
        <f>AVERAGE(D38:D41)</f>
        <v>83146712</v>
      </c>
      <c r="E42" s="246">
        <f>AVERAGE(E38:E41)</f>
        <v>80000577.296987727</v>
      </c>
      <c r="F42" s="247">
        <f>AVERAGE(F38:F41)</f>
        <v>84437990</v>
      </c>
      <c r="G42" s="248">
        <f>AVERAGE(G38:G41)</f>
        <v>79420041.189545646</v>
      </c>
      <c r="H42" s="249"/>
    </row>
    <row r="43" spans="1:13" ht="26.25" customHeight="1" x14ac:dyDescent="0.4">
      <c r="A43" s="228" t="s">
        <v>69</v>
      </c>
      <c r="B43" s="229">
        <v>1</v>
      </c>
      <c r="C43" s="250" t="s">
        <v>70</v>
      </c>
      <c r="D43" s="485">
        <v>13.07</v>
      </c>
      <c r="E43" s="205"/>
      <c r="F43" s="486">
        <v>13.37</v>
      </c>
      <c r="H43" s="249"/>
    </row>
    <row r="44" spans="1:13" ht="26.25" customHeight="1" x14ac:dyDescent="0.3">
      <c r="A44" s="228" t="s">
        <v>71</v>
      </c>
      <c r="B44" s="229">
        <v>1</v>
      </c>
      <c r="C44" s="251" t="s">
        <v>72</v>
      </c>
      <c r="D44" s="252">
        <f>D43*$B$34</f>
        <v>13.07</v>
      </c>
      <c r="E44" s="237"/>
      <c r="F44" s="253">
        <f>F43*$B$34</f>
        <v>13.37</v>
      </c>
      <c r="H44" s="249"/>
    </row>
    <row r="45" spans="1:13" ht="19.5" customHeight="1" thickBot="1" x14ac:dyDescent="0.35">
      <c r="A45" s="228" t="s">
        <v>73</v>
      </c>
      <c r="B45" s="254">
        <f>(B44/B43)*(B42/B41)*(B40/B39)*(B38/B37)*B36</f>
        <v>50</v>
      </c>
      <c r="C45" s="251" t="s">
        <v>74</v>
      </c>
      <c r="D45" s="255">
        <f>D44*$B$30/100</f>
        <v>12.991580000000001</v>
      </c>
      <c r="E45" s="256"/>
      <c r="F45" s="257">
        <f>F44*$B$30/100</f>
        <v>13.28978</v>
      </c>
      <c r="H45" s="249"/>
    </row>
    <row r="46" spans="1:13" ht="19.5" customHeight="1" thickBot="1" x14ac:dyDescent="0.35">
      <c r="A46" s="667" t="s">
        <v>75</v>
      </c>
      <c r="B46" s="671"/>
      <c r="C46" s="251" t="s">
        <v>76</v>
      </c>
      <c r="D46" s="252">
        <f>D45/$B$45</f>
        <v>0.2598316</v>
      </c>
      <c r="E46" s="256"/>
      <c r="F46" s="258">
        <f>F45/$B$45</f>
        <v>0.26579560000000002</v>
      </c>
      <c r="H46" s="249"/>
    </row>
    <row r="47" spans="1:13" ht="27" customHeight="1" thickBot="1" x14ac:dyDescent="0.45">
      <c r="A47" s="669"/>
      <c r="B47" s="672"/>
      <c r="C47" s="259" t="s">
        <v>117</v>
      </c>
      <c r="D47" s="495">
        <v>0.25</v>
      </c>
      <c r="F47" s="260"/>
      <c r="H47" s="249"/>
    </row>
    <row r="48" spans="1:13" ht="18.75" x14ac:dyDescent="0.3">
      <c r="C48" s="261" t="s">
        <v>77</v>
      </c>
      <c r="D48" s="255">
        <f>D47*$B$45</f>
        <v>12.5</v>
      </c>
      <c r="F48" s="260"/>
      <c r="H48" s="249"/>
    </row>
    <row r="49" spans="1:11" ht="19.5" customHeight="1" thickBot="1" x14ac:dyDescent="0.35">
      <c r="C49" s="262" t="s">
        <v>78</v>
      </c>
      <c r="D49" s="263">
        <f>D48/B34</f>
        <v>12.5</v>
      </c>
      <c r="F49" s="238"/>
      <c r="H49" s="249"/>
    </row>
    <row r="50" spans="1:11" ht="18.75" x14ac:dyDescent="0.3">
      <c r="C50" s="264" t="s">
        <v>79</v>
      </c>
      <c r="D50" s="265">
        <f>AVERAGE(E38:E41,G38:G41)</f>
        <v>79710309.243266702</v>
      </c>
      <c r="F50" s="238"/>
      <c r="H50" s="249"/>
    </row>
    <row r="51" spans="1:11" ht="18.75" x14ac:dyDescent="0.3">
      <c r="C51" s="266" t="s">
        <v>80</v>
      </c>
      <c r="D51" s="267">
        <f>STDEV(E38:E41,G38:G41)/D50</f>
        <v>4.0302041608885342E-3</v>
      </c>
      <c r="F51" s="238"/>
    </row>
    <row r="52" spans="1:11" ht="19.5" customHeight="1" thickBot="1" x14ac:dyDescent="0.35">
      <c r="C52" s="268" t="s">
        <v>19</v>
      </c>
      <c r="D52" s="269">
        <f>COUNT(E38:E41,G38:G41)</f>
        <v>6</v>
      </c>
      <c r="F52" s="238"/>
    </row>
    <row r="54" spans="1:11" ht="18.75" x14ac:dyDescent="0.3">
      <c r="A54" s="270" t="s">
        <v>1</v>
      </c>
      <c r="B54" s="271" t="s">
        <v>81</v>
      </c>
    </row>
    <row r="55" spans="1:11" ht="18.75" x14ac:dyDescent="0.3">
      <c r="A55" s="205" t="s">
        <v>82</v>
      </c>
      <c r="B55" s="272" t="str">
        <f>B21</f>
        <v>Each film coated tablet contains 20 mg Tadalfil</v>
      </c>
    </row>
    <row r="56" spans="1:11" ht="26.25" customHeight="1" x14ac:dyDescent="0.3">
      <c r="A56" s="272" t="s">
        <v>83</v>
      </c>
      <c r="B56" s="212">
        <v>20</v>
      </c>
      <c r="C56" s="205" t="str">
        <f>B20</f>
        <v>Tadalfil 20 mg</v>
      </c>
      <c r="H56" s="237"/>
    </row>
    <row r="57" spans="1:11" ht="18.75" x14ac:dyDescent="0.3">
      <c r="A57" s="272" t="s">
        <v>84</v>
      </c>
      <c r="B57" s="273">
        <f>[2]Uniformity!C46</f>
        <v>362.52800000000002</v>
      </c>
      <c r="H57" s="237"/>
    </row>
    <row r="58" spans="1:11" ht="19.5" customHeight="1" thickBot="1" x14ac:dyDescent="0.35">
      <c r="H58" s="237"/>
    </row>
    <row r="59" spans="1:11" s="216" customFormat="1" ht="27" customHeight="1" thickBot="1" x14ac:dyDescent="0.3">
      <c r="A59" s="226" t="s">
        <v>118</v>
      </c>
      <c r="B59" s="227">
        <v>100</v>
      </c>
      <c r="C59" s="205"/>
      <c r="D59" s="274" t="s">
        <v>85</v>
      </c>
      <c r="E59" s="275" t="s">
        <v>60</v>
      </c>
      <c r="F59" s="275" t="s">
        <v>61</v>
      </c>
      <c r="G59" s="275" t="s">
        <v>86</v>
      </c>
      <c r="H59" s="276" t="s">
        <v>87</v>
      </c>
      <c r="K59" s="215"/>
    </row>
    <row r="60" spans="1:11" s="216" customFormat="1" ht="26.25" customHeight="1" x14ac:dyDescent="0.4">
      <c r="A60" s="228" t="s">
        <v>112</v>
      </c>
      <c r="B60" s="229">
        <v>1</v>
      </c>
      <c r="C60" s="674" t="s">
        <v>88</v>
      </c>
      <c r="D60" s="650">
        <v>420.45</v>
      </c>
      <c r="E60" s="277">
        <v>1</v>
      </c>
      <c r="F60" s="512">
        <v>70939757</v>
      </c>
      <c r="G60" s="278">
        <f>IF(ISBLANK(F60),"-",(F60/$D$50*$D$47*$B$68)*($B$57/$D$60))</f>
        <v>19.184143283302166</v>
      </c>
      <c r="H60" s="279">
        <f t="shared" ref="H60:H71" si="0">IF(ISBLANK(F60),"-",G60/$B$56)</f>
        <v>0.95920716416510832</v>
      </c>
      <c r="K60" s="215"/>
    </row>
    <row r="61" spans="1:11" s="216" customFormat="1" ht="26.25" customHeight="1" x14ac:dyDescent="0.4">
      <c r="A61" s="228" t="s">
        <v>89</v>
      </c>
      <c r="B61" s="229">
        <v>1</v>
      </c>
      <c r="C61" s="673"/>
      <c r="D61" s="651"/>
      <c r="E61" s="280">
        <v>2</v>
      </c>
      <c r="F61" s="516">
        <v>71677213</v>
      </c>
      <c r="G61" s="282">
        <f>IF(ISBLANK(F61),"-",(F61/$D$50*$D$47*$B$68)*($B$57/$D$60))</f>
        <v>19.383572519705258</v>
      </c>
      <c r="H61" s="283">
        <f t="shared" si="0"/>
        <v>0.96917862598526283</v>
      </c>
      <c r="K61" s="215"/>
    </row>
    <row r="62" spans="1:11" s="216" customFormat="1" ht="26.25" customHeight="1" x14ac:dyDescent="0.4">
      <c r="A62" s="228" t="s">
        <v>90</v>
      </c>
      <c r="B62" s="229">
        <v>1</v>
      </c>
      <c r="C62" s="673"/>
      <c r="D62" s="651"/>
      <c r="E62" s="280">
        <v>3</v>
      </c>
      <c r="F62" s="516">
        <v>72126584</v>
      </c>
      <c r="G62" s="282">
        <f>IF(ISBLANK(F62),"-",(F62/$D$50*$D$47*$B$68)*($B$57/$D$60))</f>
        <v>19.505095316172696</v>
      </c>
      <c r="H62" s="283">
        <f t="shared" si="0"/>
        <v>0.97525476580863479</v>
      </c>
      <c r="K62" s="215"/>
    </row>
    <row r="63" spans="1:11" ht="27" customHeight="1" thickBot="1" x14ac:dyDescent="0.45">
      <c r="A63" s="228" t="s">
        <v>91</v>
      </c>
      <c r="B63" s="229">
        <v>1</v>
      </c>
      <c r="C63" s="685"/>
      <c r="D63" s="652"/>
      <c r="E63" s="284">
        <v>4</v>
      </c>
      <c r="F63" s="520"/>
      <c r="G63" s="282" t="str">
        <f>IF(ISBLANK(F63),"-",(F63/$D$50*$D$47*$B$68)*($B$57/$D$60))</f>
        <v>-</v>
      </c>
      <c r="H63" s="283" t="str">
        <f t="shared" si="0"/>
        <v>-</v>
      </c>
    </row>
    <row r="64" spans="1:11" ht="26.25" customHeight="1" x14ac:dyDescent="0.4">
      <c r="A64" s="228" t="s">
        <v>92</v>
      </c>
      <c r="B64" s="229">
        <v>1</v>
      </c>
      <c r="C64" s="674" t="s">
        <v>93</v>
      </c>
      <c r="D64" s="650">
        <v>436.01</v>
      </c>
      <c r="E64" s="277">
        <v>1</v>
      </c>
      <c r="F64" s="512">
        <v>74143451</v>
      </c>
      <c r="G64" s="285">
        <f>IF(ISBLANK(F64),"-",(F64/$D$50*$D$47*$B$68)*($B$57/$D$64))</f>
        <v>19.334966150436401</v>
      </c>
      <c r="H64" s="286">
        <f t="shared" si="0"/>
        <v>0.96674830752182006</v>
      </c>
    </row>
    <row r="65" spans="1:8" ht="26.25" customHeight="1" x14ac:dyDescent="0.4">
      <c r="A65" s="228" t="s">
        <v>94</v>
      </c>
      <c r="B65" s="229">
        <v>1</v>
      </c>
      <c r="C65" s="673"/>
      <c r="D65" s="651"/>
      <c r="E65" s="280">
        <v>2</v>
      </c>
      <c r="F65" s="516">
        <v>74094164</v>
      </c>
      <c r="G65" s="287">
        <f>IF(ISBLANK(F65),"-",(F65/$D$50*$D$47*$B$68)*($B$57/$D$64))</f>
        <v>19.322113194931855</v>
      </c>
      <c r="H65" s="288">
        <f t="shared" si="0"/>
        <v>0.96610565974659279</v>
      </c>
    </row>
    <row r="66" spans="1:8" ht="26.25" customHeight="1" x14ac:dyDescent="0.4">
      <c r="A66" s="228" t="s">
        <v>95</v>
      </c>
      <c r="B66" s="229">
        <v>1</v>
      </c>
      <c r="C66" s="673"/>
      <c r="D66" s="651"/>
      <c r="E66" s="280">
        <v>3</v>
      </c>
      <c r="F66" s="516">
        <v>73763753</v>
      </c>
      <c r="G66" s="287">
        <f>IF(ISBLANK(F66),"-",(F66/$D$50*$D$47*$B$68)*($B$57/$D$64))</f>
        <v>19.23594934074692</v>
      </c>
      <c r="H66" s="288">
        <f t="shared" si="0"/>
        <v>0.96179746703734603</v>
      </c>
    </row>
    <row r="67" spans="1:8" ht="27" customHeight="1" thickBot="1" x14ac:dyDescent="0.45">
      <c r="A67" s="228" t="s">
        <v>96</v>
      </c>
      <c r="B67" s="229">
        <v>1</v>
      </c>
      <c r="C67" s="685"/>
      <c r="D67" s="652"/>
      <c r="E67" s="284">
        <v>4</v>
      </c>
      <c r="F67" s="520"/>
      <c r="G67" s="289" t="str">
        <f>IF(ISBLANK(F67),"-",(F67/$D$50*$D$47*$B$68)*($B$57/$D$64))</f>
        <v>-</v>
      </c>
      <c r="H67" s="290" t="str">
        <f t="shared" si="0"/>
        <v>-</v>
      </c>
    </row>
    <row r="68" spans="1:8" ht="21.75" customHeight="1" x14ac:dyDescent="0.4">
      <c r="A68" s="228" t="s">
        <v>97</v>
      </c>
      <c r="B68" s="254">
        <f>(B67/B66)*(B65/B64)*(B63/B62)*(B61/B60)*B59</f>
        <v>100</v>
      </c>
      <c r="C68" s="674" t="s">
        <v>98</v>
      </c>
      <c r="D68" s="650">
        <v>439.32</v>
      </c>
      <c r="E68" s="277">
        <v>1</v>
      </c>
      <c r="F68" s="512">
        <v>74733753</v>
      </c>
      <c r="G68" s="285">
        <f>IF(ISBLANK(F68),"-",(F68/$D$50*$D$47*$B$68)*($B$57/$D$68))</f>
        <v>19.342067170698858</v>
      </c>
      <c r="H68" s="283">
        <f t="shared" si="0"/>
        <v>0.96710335853494289</v>
      </c>
    </row>
    <row r="69" spans="1:8" ht="21.75" customHeight="1" thickBot="1" x14ac:dyDescent="0.45">
      <c r="A69" s="291" t="s">
        <v>146</v>
      </c>
      <c r="B69" s="292">
        <f>D47*B68/B56*B57</f>
        <v>453.16</v>
      </c>
      <c r="C69" s="673"/>
      <c r="D69" s="651"/>
      <c r="E69" s="280">
        <v>2</v>
      </c>
      <c r="F69" s="516">
        <v>74240078</v>
      </c>
      <c r="G69" s="287">
        <f>IF(ISBLANK(F69),"-",(F69/$D$50*$D$47*$B$68)*($B$57/$D$68))</f>
        <v>19.214297660575436</v>
      </c>
      <c r="H69" s="283">
        <f t="shared" si="0"/>
        <v>0.96071488302877184</v>
      </c>
    </row>
    <row r="70" spans="1:8" ht="22.5" customHeight="1" x14ac:dyDescent="0.4">
      <c r="A70" s="667" t="s">
        <v>75</v>
      </c>
      <c r="B70" s="671"/>
      <c r="C70" s="673"/>
      <c r="D70" s="651"/>
      <c r="E70" s="280">
        <v>3</v>
      </c>
      <c r="F70" s="516">
        <v>74834317</v>
      </c>
      <c r="G70" s="287">
        <f>IF(ISBLANK(F70),"-",(F70/$D$50*$D$47*$B$68)*($B$57/$D$68))</f>
        <v>19.368094441709243</v>
      </c>
      <c r="H70" s="283">
        <f t="shared" si="0"/>
        <v>0.96840472208546213</v>
      </c>
    </row>
    <row r="71" spans="1:8" ht="21.75" customHeight="1" thickBot="1" x14ac:dyDescent="0.45">
      <c r="A71" s="669"/>
      <c r="B71" s="672"/>
      <c r="C71" s="686"/>
      <c r="D71" s="652"/>
      <c r="E71" s="284">
        <v>4</v>
      </c>
      <c r="F71" s="520"/>
      <c r="G71" s="289" t="str">
        <f>IF(ISBLANK(F71),"-",(F71/$D$50*$D$47*$B$68)*($B$57/$D$68))</f>
        <v>-</v>
      </c>
      <c r="H71" s="293" t="str">
        <f t="shared" si="0"/>
        <v>-</v>
      </c>
    </row>
    <row r="72" spans="1:8" ht="26.25" customHeight="1" x14ac:dyDescent="0.3">
      <c r="A72" s="237"/>
      <c r="B72" s="237"/>
      <c r="C72" s="237"/>
      <c r="D72" s="237"/>
      <c r="E72" s="237"/>
      <c r="F72" s="237"/>
      <c r="G72" s="294" t="s">
        <v>68</v>
      </c>
      <c r="H72" s="295">
        <f>AVERAGE(H60:H71)</f>
        <v>0.96605721710154902</v>
      </c>
    </row>
    <row r="73" spans="1:8" ht="26.25" customHeight="1" x14ac:dyDescent="0.3">
      <c r="C73" s="237"/>
      <c r="D73" s="237"/>
      <c r="E73" s="237"/>
      <c r="F73" s="237"/>
      <c r="G73" s="266" t="s">
        <v>80</v>
      </c>
      <c r="H73" s="296">
        <f>STDEV(H60:H71)/H72</f>
        <v>5.1109968885461321E-3</v>
      </c>
    </row>
    <row r="74" spans="1:8" ht="27" customHeight="1" thickBot="1" x14ac:dyDescent="0.35">
      <c r="A74" s="237"/>
      <c r="B74" s="237"/>
      <c r="C74" s="237"/>
      <c r="D74" s="237"/>
      <c r="E74" s="256"/>
      <c r="F74" s="237"/>
      <c r="G74" s="268" t="s">
        <v>19</v>
      </c>
      <c r="H74" s="297">
        <f>COUNT(H60:H71)</f>
        <v>9</v>
      </c>
    </row>
    <row r="75" spans="1:8" ht="18.75" x14ac:dyDescent="0.3">
      <c r="A75" s="237"/>
      <c r="B75" s="237"/>
      <c r="C75" s="237"/>
      <c r="D75" s="237"/>
      <c r="E75" s="256"/>
      <c r="F75" s="237"/>
      <c r="G75" s="211"/>
      <c r="H75" s="217"/>
    </row>
    <row r="76" spans="1:8" ht="26.25" customHeight="1" x14ac:dyDescent="0.3">
      <c r="A76" s="210" t="s">
        <v>125</v>
      </c>
      <c r="B76" s="211" t="s">
        <v>100</v>
      </c>
      <c r="C76" s="673" t="str">
        <f>B20</f>
        <v>Tadalfil 20 mg</v>
      </c>
      <c r="D76" s="673"/>
      <c r="E76" s="205" t="s">
        <v>101</v>
      </c>
      <c r="F76" s="205"/>
      <c r="G76" s="298">
        <f>H72</f>
        <v>0.96605721710154902</v>
      </c>
      <c r="H76" s="217"/>
    </row>
    <row r="77" spans="1:8" ht="18.75" x14ac:dyDescent="0.3">
      <c r="A77" s="209" t="s">
        <v>102</v>
      </c>
      <c r="B77" s="209" t="s">
        <v>103</v>
      </c>
    </row>
    <row r="78" spans="1:8" ht="18.75" x14ac:dyDescent="0.3">
      <c r="A78" s="209"/>
      <c r="B78" s="209"/>
    </row>
    <row r="79" spans="1:8" ht="26.25" customHeight="1" x14ac:dyDescent="0.3">
      <c r="A79" s="210" t="s">
        <v>4</v>
      </c>
      <c r="B79" s="683" t="str">
        <f>B26</f>
        <v xml:space="preserve">Tadalfil </v>
      </c>
      <c r="C79" s="683"/>
    </row>
    <row r="80" spans="1:8" ht="26.25" customHeight="1" x14ac:dyDescent="0.3">
      <c r="A80" s="211" t="s">
        <v>47</v>
      </c>
      <c r="B80" s="684" t="str">
        <f>B27</f>
        <v>T1-2</v>
      </c>
      <c r="C80" s="684"/>
    </row>
    <row r="81" spans="1:11" ht="27" customHeight="1" thickBot="1" x14ac:dyDescent="0.35">
      <c r="A81" s="211" t="s">
        <v>6</v>
      </c>
      <c r="B81" s="212">
        <f>B28</f>
        <v>99.4</v>
      </c>
    </row>
    <row r="82" spans="1:11" s="216" customFormat="1" ht="27" customHeight="1" thickBot="1" x14ac:dyDescent="0.3">
      <c r="A82" s="211" t="s">
        <v>48</v>
      </c>
      <c r="B82" s="212">
        <f>B29</f>
        <v>0</v>
      </c>
      <c r="C82" s="677" t="s">
        <v>145</v>
      </c>
      <c r="D82" s="678"/>
      <c r="E82" s="678"/>
      <c r="F82" s="678"/>
      <c r="G82" s="679"/>
      <c r="H82" s="214"/>
      <c r="I82" s="215"/>
      <c r="J82" s="215"/>
      <c r="K82" s="215"/>
    </row>
    <row r="83" spans="1:11" s="216" customFormat="1" ht="19.5" customHeight="1" thickBot="1" x14ac:dyDescent="0.3">
      <c r="A83" s="211" t="s">
        <v>50</v>
      </c>
      <c r="B83" s="217">
        <f>B81-B82</f>
        <v>99.4</v>
      </c>
      <c r="C83" s="218"/>
      <c r="D83" s="218"/>
      <c r="E83" s="218"/>
      <c r="F83" s="218"/>
      <c r="G83" s="219"/>
      <c r="H83" s="214"/>
      <c r="I83" s="215"/>
      <c r="J83" s="215"/>
      <c r="K83" s="215"/>
    </row>
    <row r="84" spans="1:11" s="216" customFormat="1" ht="27" customHeight="1" thickBot="1" x14ac:dyDescent="0.3">
      <c r="A84" s="211" t="s">
        <v>51</v>
      </c>
      <c r="B84" s="220">
        <v>1</v>
      </c>
      <c r="C84" s="680" t="s">
        <v>52</v>
      </c>
      <c r="D84" s="681"/>
      <c r="E84" s="681"/>
      <c r="F84" s="681"/>
      <c r="G84" s="681"/>
      <c r="H84" s="682"/>
      <c r="I84" s="215"/>
      <c r="J84" s="215"/>
      <c r="K84" s="215"/>
    </row>
    <row r="85" spans="1:11" s="216" customFormat="1" ht="27" customHeight="1" thickBot="1" x14ac:dyDescent="0.3">
      <c r="A85" s="211" t="s">
        <v>53</v>
      </c>
      <c r="B85" s="220">
        <v>1</v>
      </c>
      <c r="C85" s="680" t="s">
        <v>54</v>
      </c>
      <c r="D85" s="681"/>
      <c r="E85" s="681"/>
      <c r="F85" s="681"/>
      <c r="G85" s="681"/>
      <c r="H85" s="682"/>
      <c r="I85" s="215"/>
      <c r="J85" s="215"/>
      <c r="K85" s="215"/>
    </row>
    <row r="86" spans="1:11" s="216" customFormat="1" ht="18.75" x14ac:dyDescent="0.25">
      <c r="A86" s="211"/>
      <c r="B86" s="223"/>
      <c r="C86" s="224"/>
      <c r="D86" s="224"/>
      <c r="E86" s="224"/>
      <c r="F86" s="224"/>
      <c r="G86" s="224"/>
      <c r="H86" s="224"/>
      <c r="I86" s="215"/>
      <c r="J86" s="215"/>
      <c r="K86" s="215"/>
    </row>
    <row r="87" spans="1:11" ht="18.75" x14ac:dyDescent="0.3">
      <c r="A87" s="211" t="s">
        <v>55</v>
      </c>
      <c r="B87" s="225">
        <f>B84/B85</f>
        <v>1</v>
      </c>
      <c r="C87" s="205" t="s">
        <v>56</v>
      </c>
      <c r="H87" s="214"/>
    </row>
    <row r="88" spans="1:11" ht="19.5" customHeight="1" thickBot="1" x14ac:dyDescent="0.35">
      <c r="A88" s="211"/>
      <c r="B88" s="225"/>
      <c r="H88" s="214"/>
    </row>
    <row r="89" spans="1:11" ht="27" customHeight="1" thickBot="1" x14ac:dyDescent="0.45">
      <c r="A89" s="226" t="s">
        <v>116</v>
      </c>
      <c r="B89" s="459">
        <v>50</v>
      </c>
      <c r="D89" s="299" t="s">
        <v>57</v>
      </c>
      <c r="E89" s="300"/>
      <c r="F89" s="675" t="s">
        <v>58</v>
      </c>
      <c r="G89" s="676"/>
    </row>
    <row r="90" spans="1:11" ht="26.25" customHeight="1" x14ac:dyDescent="0.4">
      <c r="A90" s="228" t="s">
        <v>59</v>
      </c>
      <c r="B90" s="461">
        <v>2</v>
      </c>
      <c r="C90" s="230" t="s">
        <v>60</v>
      </c>
      <c r="D90" s="301" t="s">
        <v>61</v>
      </c>
      <c r="E90" s="232" t="s">
        <v>62</v>
      </c>
      <c r="F90" s="301" t="s">
        <v>61</v>
      </c>
      <c r="G90" s="233" t="s">
        <v>62</v>
      </c>
    </row>
    <row r="91" spans="1:11" ht="26.25" customHeight="1" x14ac:dyDescent="0.4">
      <c r="A91" s="228" t="s">
        <v>63</v>
      </c>
      <c r="B91" s="461">
        <v>20</v>
      </c>
      <c r="C91" s="234">
        <v>1</v>
      </c>
      <c r="D91" s="467">
        <v>8442844</v>
      </c>
      <c r="E91" s="303">
        <f>IF(ISBLANK(D91),"-",$D$101/$D$98*D91)</f>
        <v>6498704.5455595087</v>
      </c>
      <c r="F91" s="467">
        <v>8667763</v>
      </c>
      <c r="G91" s="304">
        <f>IF(ISBLANK(F91),"-",$D$101/$F$98*F91)</f>
        <v>6522126.7771174544</v>
      </c>
    </row>
    <row r="92" spans="1:11" ht="26.25" customHeight="1" x14ac:dyDescent="0.4">
      <c r="A92" s="228" t="s">
        <v>64</v>
      </c>
      <c r="B92" s="229">
        <v>1</v>
      </c>
      <c r="C92" s="237">
        <v>2</v>
      </c>
      <c r="D92" s="471">
        <v>8389368</v>
      </c>
      <c r="E92" s="305">
        <f>IF(ISBLANK(D92),"-",$D$101/$D$98*D92)</f>
        <v>6457542.5006042374</v>
      </c>
      <c r="F92" s="471">
        <v>8648708</v>
      </c>
      <c r="G92" s="306">
        <f>IF(ISBLANK(F92),"-",$D$101/$F$98*F92)</f>
        <v>6507788.6917616399</v>
      </c>
    </row>
    <row r="93" spans="1:11" ht="26.25" customHeight="1" x14ac:dyDescent="0.4">
      <c r="A93" s="228" t="s">
        <v>65</v>
      </c>
      <c r="B93" s="229">
        <v>1</v>
      </c>
      <c r="C93" s="237">
        <v>3</v>
      </c>
      <c r="D93" s="471">
        <v>8412460</v>
      </c>
      <c r="E93" s="305">
        <f>IF(ISBLANK(D93),"-",$D$101/$D$98*D93)</f>
        <v>6475317.089992133</v>
      </c>
      <c r="F93" s="471">
        <v>8743225</v>
      </c>
      <c r="G93" s="306">
        <f>IF(ISBLANK(F93),"-",$D$101/$F$98*F93)</f>
        <v>6578908.7554496769</v>
      </c>
    </row>
    <row r="94" spans="1:11" ht="26.25" customHeight="1" x14ac:dyDescent="0.3">
      <c r="A94" s="228" t="s">
        <v>66</v>
      </c>
      <c r="B94" s="229">
        <v>1</v>
      </c>
      <c r="C94" s="241">
        <v>4</v>
      </c>
      <c r="D94" s="307"/>
      <c r="E94" s="308" t="str">
        <f>IF(ISBLANK(D94),"-",$D$101/$D$98*D94)</f>
        <v>-</v>
      </c>
      <c r="F94" s="309"/>
      <c r="G94" s="310" t="str">
        <f>IF(ISBLANK(F94),"-",$D$101/$F$98*F94)</f>
        <v>-</v>
      </c>
    </row>
    <row r="95" spans="1:11" ht="27" customHeight="1" thickBot="1" x14ac:dyDescent="0.35">
      <c r="A95" s="228" t="s">
        <v>67</v>
      </c>
      <c r="B95" s="229">
        <v>1</v>
      </c>
      <c r="C95" s="211" t="s">
        <v>68</v>
      </c>
      <c r="D95" s="245">
        <f>AVERAGE(D91:D94)</f>
        <v>8414890.666666666</v>
      </c>
      <c r="E95" s="246">
        <f>AVERAGE(E91:E94)</f>
        <v>6477188.0453852927</v>
      </c>
      <c r="F95" s="311">
        <f>AVERAGE(F91:F94)</f>
        <v>8686565.333333334</v>
      </c>
      <c r="G95" s="312">
        <f>AVERAGE(G91:G94)</f>
        <v>6536274.7414429234</v>
      </c>
    </row>
    <row r="96" spans="1:11" ht="26.25" customHeight="1" x14ac:dyDescent="0.4">
      <c r="A96" s="228" t="s">
        <v>69</v>
      </c>
      <c r="B96" s="229">
        <v>1</v>
      </c>
      <c r="C96" s="250" t="s">
        <v>70</v>
      </c>
      <c r="D96" s="485">
        <v>13.07</v>
      </c>
      <c r="E96" s="205"/>
      <c r="F96" s="486">
        <v>13.37</v>
      </c>
    </row>
    <row r="97" spans="1:9" ht="26.25" customHeight="1" x14ac:dyDescent="0.3">
      <c r="A97" s="228" t="s">
        <v>71</v>
      </c>
      <c r="B97" s="229">
        <v>1</v>
      </c>
      <c r="C97" s="251" t="s">
        <v>72</v>
      </c>
      <c r="D97" s="252">
        <f>D96*$B$87</f>
        <v>13.07</v>
      </c>
      <c r="E97" s="237"/>
      <c r="F97" s="253">
        <f>F96*$B$87</f>
        <v>13.37</v>
      </c>
    </row>
    <row r="98" spans="1:9" ht="19.5" customHeight="1" thickBot="1" x14ac:dyDescent="0.35">
      <c r="A98" s="291" t="s">
        <v>73</v>
      </c>
      <c r="B98" s="313">
        <f>(B97/B96)*(B95/B94)*(B93/B92)*(B91/B90)*B89</f>
        <v>500</v>
      </c>
      <c r="C98" s="251" t="s">
        <v>74</v>
      </c>
      <c r="D98" s="255">
        <f>D97*$B$83/100</f>
        <v>12.991580000000001</v>
      </c>
      <c r="E98" s="256"/>
      <c r="F98" s="257">
        <f>F97*$B$83/100</f>
        <v>13.28978</v>
      </c>
    </row>
    <row r="99" spans="1:9" ht="19.5" customHeight="1" thickBot="1" x14ac:dyDescent="0.35">
      <c r="A99" s="667" t="s">
        <v>75</v>
      </c>
      <c r="B99" s="671"/>
      <c r="C99" s="251" t="s">
        <v>76</v>
      </c>
      <c r="D99" s="314">
        <f>D98/$B$98</f>
        <v>2.5983160000000002E-2</v>
      </c>
      <c r="E99" s="315"/>
      <c r="F99" s="316">
        <f>F98/$B$98</f>
        <v>2.6579560000000002E-2</v>
      </c>
      <c r="G99" s="317"/>
      <c r="H99" s="249"/>
    </row>
    <row r="100" spans="1:9" ht="19.5" customHeight="1" thickBot="1" x14ac:dyDescent="0.35">
      <c r="A100" s="669"/>
      <c r="B100" s="672"/>
      <c r="C100" s="261" t="s">
        <v>117</v>
      </c>
      <c r="D100" s="318">
        <f>$B$56/$B$116</f>
        <v>0.02</v>
      </c>
      <c r="F100" s="260"/>
      <c r="G100" s="319"/>
      <c r="H100" s="249"/>
    </row>
    <row r="101" spans="1:9" ht="18.75" x14ac:dyDescent="0.3">
      <c r="C101" s="261" t="s">
        <v>77</v>
      </c>
      <c r="D101" s="252">
        <f>D100*$B$98</f>
        <v>10</v>
      </c>
      <c r="F101" s="260"/>
      <c r="G101" s="317"/>
      <c r="H101" s="249"/>
    </row>
    <row r="102" spans="1:9" ht="19.5" customHeight="1" thickBot="1" x14ac:dyDescent="0.35">
      <c r="C102" s="262" t="s">
        <v>78</v>
      </c>
      <c r="D102" s="320">
        <f>D101/B34</f>
        <v>10</v>
      </c>
      <c r="F102" s="238"/>
      <c r="G102" s="317"/>
      <c r="H102" s="249"/>
      <c r="I102" s="321"/>
    </row>
    <row r="103" spans="1:9" ht="18.75" x14ac:dyDescent="0.3">
      <c r="C103" s="264" t="s">
        <v>108</v>
      </c>
      <c r="D103" s="265">
        <f>AVERAGE(E91:E94,G91:G94)</f>
        <v>6506731.3934141072</v>
      </c>
      <c r="F103" s="238"/>
      <c r="G103" s="319"/>
      <c r="H103" s="249"/>
      <c r="I103" s="322"/>
    </row>
    <row r="104" spans="1:9" ht="18.75" x14ac:dyDescent="0.3">
      <c r="C104" s="266" t="s">
        <v>80</v>
      </c>
      <c r="D104" s="323">
        <f>STDEV(E91:E94,G91:G94)/D103</f>
        <v>6.4908127398973781E-3</v>
      </c>
      <c r="F104" s="238"/>
      <c r="G104" s="317"/>
      <c r="H104" s="249"/>
      <c r="I104" s="322"/>
    </row>
    <row r="105" spans="1:9" ht="19.5" customHeight="1" thickBot="1" x14ac:dyDescent="0.35">
      <c r="C105" s="268" t="s">
        <v>19</v>
      </c>
      <c r="D105" s="324">
        <f>COUNT(E91:E94,G91:G94)</f>
        <v>6</v>
      </c>
      <c r="F105" s="238"/>
      <c r="G105" s="317"/>
      <c r="H105" s="249"/>
      <c r="I105" s="322"/>
    </row>
    <row r="106" spans="1:9" ht="19.5" customHeight="1" thickBot="1" x14ac:dyDescent="0.35">
      <c r="A106" s="270"/>
      <c r="B106" s="270"/>
      <c r="C106" s="270"/>
      <c r="D106" s="270"/>
      <c r="E106" s="270"/>
    </row>
    <row r="107" spans="1:9" ht="26.25" customHeight="1" x14ac:dyDescent="0.3">
      <c r="A107" s="226" t="s">
        <v>109</v>
      </c>
      <c r="B107" s="227">
        <v>1000</v>
      </c>
      <c r="C107" s="299" t="s">
        <v>132</v>
      </c>
      <c r="D107" s="325" t="s">
        <v>61</v>
      </c>
      <c r="E107" s="326" t="s">
        <v>110</v>
      </c>
      <c r="F107" s="327" t="s">
        <v>111</v>
      </c>
    </row>
    <row r="108" spans="1:9" ht="26.25" customHeight="1" x14ac:dyDescent="0.4">
      <c r="A108" s="228" t="s">
        <v>112</v>
      </c>
      <c r="B108" s="229">
        <v>1</v>
      </c>
      <c r="C108" s="328">
        <v>1</v>
      </c>
      <c r="D108" s="555">
        <v>3110346</v>
      </c>
      <c r="E108" s="329">
        <f t="shared" ref="E108:E113" si="1">IF(ISBLANK(D108),"-",D108/$D$103*$D$100*$B$116)</f>
        <v>9.5603946496029835</v>
      </c>
      <c r="F108" s="330">
        <f t="shared" ref="F108:F113" si="2">IF(ISBLANK(D108), "-", E108/$B$56)</f>
        <v>0.47801973248014917</v>
      </c>
    </row>
    <row r="109" spans="1:9" ht="26.25" customHeight="1" x14ac:dyDescent="0.4">
      <c r="A109" s="228" t="s">
        <v>89</v>
      </c>
      <c r="B109" s="229">
        <v>1</v>
      </c>
      <c r="C109" s="328">
        <v>2</v>
      </c>
      <c r="D109" s="555">
        <v>3811124</v>
      </c>
      <c r="E109" s="331">
        <f t="shared" si="1"/>
        <v>11.714403959743876</v>
      </c>
      <c r="F109" s="332">
        <f t="shared" si="2"/>
        <v>0.58572019798719377</v>
      </c>
    </row>
    <row r="110" spans="1:9" ht="26.25" customHeight="1" x14ac:dyDescent="0.4">
      <c r="A110" s="228" t="s">
        <v>90</v>
      </c>
      <c r="B110" s="229">
        <v>1</v>
      </c>
      <c r="C110" s="328">
        <v>3</v>
      </c>
      <c r="D110" s="555">
        <v>3767767</v>
      </c>
      <c r="E110" s="331">
        <f t="shared" si="1"/>
        <v>11.581135818250024</v>
      </c>
      <c r="F110" s="332">
        <f t="shared" si="2"/>
        <v>0.57905679091250117</v>
      </c>
    </row>
    <row r="111" spans="1:9" ht="26.25" customHeight="1" x14ac:dyDescent="0.4">
      <c r="A111" s="228" t="s">
        <v>91</v>
      </c>
      <c r="B111" s="229">
        <v>1</v>
      </c>
      <c r="C111" s="328">
        <v>4</v>
      </c>
      <c r="D111" s="555">
        <v>4155721</v>
      </c>
      <c r="E111" s="331">
        <f t="shared" si="1"/>
        <v>12.77360551322675</v>
      </c>
      <c r="F111" s="332">
        <f t="shared" si="2"/>
        <v>0.63868027566133745</v>
      </c>
    </row>
    <row r="112" spans="1:9" ht="26.25" customHeight="1" x14ac:dyDescent="0.4">
      <c r="A112" s="228" t="s">
        <v>92</v>
      </c>
      <c r="B112" s="229">
        <v>1</v>
      </c>
      <c r="C112" s="328">
        <v>5</v>
      </c>
      <c r="D112" s="555">
        <v>3802653</v>
      </c>
      <c r="E112" s="331">
        <f t="shared" si="1"/>
        <v>11.688366308924067</v>
      </c>
      <c r="F112" s="332">
        <f t="shared" si="2"/>
        <v>0.58441831544620337</v>
      </c>
    </row>
    <row r="113" spans="1:11" ht="26.25" customHeight="1" x14ac:dyDescent="0.4">
      <c r="A113" s="228" t="s">
        <v>94</v>
      </c>
      <c r="B113" s="229">
        <v>1</v>
      </c>
      <c r="C113" s="333">
        <v>6</v>
      </c>
      <c r="D113" s="561">
        <v>3211240</v>
      </c>
      <c r="E113" s="334">
        <f t="shared" si="1"/>
        <v>9.8705165645851256</v>
      </c>
      <c r="F113" s="335">
        <f t="shared" si="2"/>
        <v>0.49352582822925628</v>
      </c>
    </row>
    <row r="114" spans="1:11" ht="26.25" customHeight="1" x14ac:dyDescent="0.3">
      <c r="A114" s="228" t="s">
        <v>95</v>
      </c>
      <c r="B114" s="229">
        <v>1</v>
      </c>
      <c r="C114" s="328"/>
      <c r="D114" s="237"/>
      <c r="E114" s="205"/>
      <c r="F114" s="336"/>
    </row>
    <row r="115" spans="1:11" ht="26.25" customHeight="1" x14ac:dyDescent="0.3">
      <c r="A115" s="228" t="s">
        <v>96</v>
      </c>
      <c r="B115" s="229">
        <v>1</v>
      </c>
      <c r="C115" s="328"/>
      <c r="D115" s="337"/>
      <c r="E115" s="338" t="s">
        <v>68</v>
      </c>
      <c r="F115" s="339">
        <f>AVERAGE(F108:F113)</f>
        <v>0.5599035234527735</v>
      </c>
    </row>
    <row r="116" spans="1:11" ht="27" customHeight="1" thickBot="1" x14ac:dyDescent="0.35">
      <c r="A116" s="228" t="s">
        <v>97</v>
      </c>
      <c r="B116" s="254">
        <f>(B115/B114)*(B113/B112)*(B111/B110)*(B109/B108)*B107</f>
        <v>1000</v>
      </c>
      <c r="C116" s="340"/>
      <c r="D116" s="341"/>
      <c r="E116" s="211" t="s">
        <v>80</v>
      </c>
      <c r="F116" s="342">
        <f>STDEV(F108:F113)/F115</f>
        <v>0.10995588501527299</v>
      </c>
    </row>
    <row r="117" spans="1:11" ht="19.5" customHeight="1" thickBot="1" x14ac:dyDescent="0.35">
      <c r="A117" s="667" t="s">
        <v>75</v>
      </c>
      <c r="B117" s="671"/>
      <c r="C117" s="343"/>
      <c r="D117" s="344"/>
      <c r="E117" s="345" t="s">
        <v>19</v>
      </c>
      <c r="F117" s="346">
        <f>COUNT(F108:F113)</f>
        <v>6</v>
      </c>
      <c r="I117" s="322"/>
    </row>
    <row r="118" spans="1:11" ht="19.5" customHeight="1" thickBot="1" x14ac:dyDescent="0.35">
      <c r="A118" s="669"/>
      <c r="B118" s="672"/>
      <c r="C118" s="205"/>
      <c r="D118" s="205"/>
      <c r="E118" s="205"/>
      <c r="F118" s="237"/>
      <c r="G118" s="205"/>
      <c r="H118" s="205"/>
    </row>
    <row r="119" spans="1:11" ht="18.75" x14ac:dyDescent="0.3">
      <c r="A119" s="224"/>
      <c r="B119" s="224"/>
      <c r="C119" s="205"/>
      <c r="D119" s="205"/>
      <c r="E119" s="205"/>
      <c r="F119" s="237"/>
      <c r="G119" s="205"/>
      <c r="H119" s="205"/>
    </row>
    <row r="120" spans="1:11" ht="18.75" x14ac:dyDescent="0.3">
      <c r="A120" s="347" t="s">
        <v>136</v>
      </c>
      <c r="B120" s="347" t="s">
        <v>147</v>
      </c>
      <c r="C120" s="240"/>
      <c r="D120" s="240"/>
      <c r="E120" s="240"/>
      <c r="F120" s="240"/>
      <c r="G120" s="240"/>
      <c r="H120" s="240"/>
    </row>
    <row r="121" spans="1:11" ht="18.75" x14ac:dyDescent="0.3">
      <c r="A121" s="347"/>
      <c r="B121" s="347"/>
      <c r="C121" s="240"/>
      <c r="D121" s="240"/>
      <c r="E121" s="240"/>
      <c r="F121" s="240"/>
      <c r="G121" s="240"/>
      <c r="H121" s="240"/>
    </row>
    <row r="122" spans="1:11" ht="26.25" x14ac:dyDescent="0.4">
      <c r="A122" s="348" t="s">
        <v>4</v>
      </c>
      <c r="B122" s="636" t="s">
        <v>152</v>
      </c>
      <c r="C122" s="636"/>
      <c r="D122" s="240"/>
      <c r="E122" s="240"/>
      <c r="F122" s="240"/>
      <c r="G122" s="240"/>
      <c r="H122" s="240"/>
    </row>
    <row r="123" spans="1:11" ht="26.25" x14ac:dyDescent="0.4">
      <c r="A123" s="350" t="s">
        <v>47</v>
      </c>
      <c r="B123" s="445" t="s">
        <v>153</v>
      </c>
      <c r="C123" s="432"/>
      <c r="D123" s="240"/>
      <c r="E123" s="240"/>
      <c r="F123" s="240"/>
      <c r="G123" s="240"/>
      <c r="H123" s="240"/>
    </row>
    <row r="124" spans="1:11" ht="19.5" customHeight="1" thickBot="1" x14ac:dyDescent="0.45">
      <c r="A124" s="350" t="s">
        <v>6</v>
      </c>
      <c r="B124" s="445">
        <v>99.4</v>
      </c>
      <c r="C124" s="432"/>
      <c r="D124" s="240"/>
      <c r="E124" s="240"/>
      <c r="F124" s="240"/>
      <c r="G124" s="240"/>
      <c r="H124" s="240"/>
    </row>
    <row r="125" spans="1:11" s="216" customFormat="1" ht="15.75" customHeight="1" thickBot="1" x14ac:dyDescent="0.35">
      <c r="A125" s="350" t="s">
        <v>48</v>
      </c>
      <c r="B125" s="349">
        <v>0</v>
      </c>
      <c r="C125" s="677" t="s">
        <v>49</v>
      </c>
      <c r="D125" s="678"/>
      <c r="E125" s="678"/>
      <c r="F125" s="678"/>
      <c r="G125" s="679"/>
      <c r="I125" s="215"/>
      <c r="J125" s="215"/>
      <c r="K125" s="215"/>
    </row>
    <row r="126" spans="1:11" s="216" customFormat="1" ht="19.5" customHeight="1" thickBot="1" x14ac:dyDescent="0.35">
      <c r="A126" s="350" t="s">
        <v>50</v>
      </c>
      <c r="B126" s="351">
        <f>B124-B125</f>
        <v>99.4</v>
      </c>
      <c r="C126" s="352"/>
      <c r="D126" s="352"/>
      <c r="E126" s="352"/>
      <c r="F126" s="352"/>
      <c r="G126" s="353"/>
      <c r="I126" s="215"/>
      <c r="J126" s="215"/>
      <c r="K126" s="215"/>
    </row>
    <row r="127" spans="1:11" s="216" customFormat="1" ht="27" customHeight="1" thickBot="1" x14ac:dyDescent="0.3">
      <c r="A127" s="211" t="s">
        <v>51</v>
      </c>
      <c r="B127" s="220">
        <v>1</v>
      </c>
      <c r="C127" s="680" t="s">
        <v>52</v>
      </c>
      <c r="D127" s="681"/>
      <c r="E127" s="681"/>
      <c r="F127" s="681"/>
      <c r="G127" s="681"/>
      <c r="H127" s="682"/>
      <c r="I127" s="215"/>
      <c r="J127" s="215"/>
      <c r="K127" s="215"/>
    </row>
    <row r="128" spans="1:11" s="216" customFormat="1" ht="27" customHeight="1" thickBot="1" x14ac:dyDescent="0.3">
      <c r="A128" s="211" t="s">
        <v>53</v>
      </c>
      <c r="B128" s="220">
        <v>1</v>
      </c>
      <c r="C128" s="680" t="s">
        <v>54</v>
      </c>
      <c r="D128" s="681"/>
      <c r="E128" s="681"/>
      <c r="F128" s="681"/>
      <c r="G128" s="681"/>
      <c r="H128" s="682"/>
      <c r="I128" s="215"/>
      <c r="J128" s="215"/>
      <c r="K128" s="215"/>
    </row>
    <row r="129" spans="1:11" s="216" customFormat="1" ht="18.75" x14ac:dyDescent="0.25">
      <c r="A129" s="211"/>
      <c r="B129" s="223"/>
      <c r="C129" s="224"/>
      <c r="D129" s="224"/>
      <c r="E129" s="224"/>
      <c r="F129" s="224"/>
      <c r="G129" s="224"/>
      <c r="H129" s="224"/>
      <c r="I129" s="215"/>
      <c r="J129" s="215"/>
      <c r="K129" s="215"/>
    </row>
    <row r="130" spans="1:11" ht="18.75" x14ac:dyDescent="0.3">
      <c r="A130" s="211" t="s">
        <v>55</v>
      </c>
      <c r="B130" s="225">
        <f>B127/B128</f>
        <v>1</v>
      </c>
      <c r="C130" s="205" t="s">
        <v>56</v>
      </c>
      <c r="H130" s="214"/>
    </row>
    <row r="131" spans="1:11" ht="19.5" customHeight="1" thickBot="1" x14ac:dyDescent="0.35">
      <c r="A131" s="347"/>
      <c r="B131" s="347"/>
      <c r="C131" s="240"/>
      <c r="D131" s="240"/>
      <c r="E131" s="240"/>
      <c r="F131" s="240"/>
      <c r="G131" s="240"/>
      <c r="H131" s="240"/>
    </row>
    <row r="132" spans="1:11" ht="27" customHeight="1" thickBot="1" x14ac:dyDescent="0.35">
      <c r="A132" s="354" t="s">
        <v>116</v>
      </c>
      <c r="B132" s="355">
        <v>50</v>
      </c>
      <c r="C132" s="240"/>
      <c r="D132" s="665" t="s">
        <v>57</v>
      </c>
      <c r="E132" s="666"/>
      <c r="F132" s="665" t="s">
        <v>58</v>
      </c>
      <c r="G132" s="666"/>
      <c r="H132" s="240"/>
    </row>
    <row r="133" spans="1:11" ht="26.25" customHeight="1" x14ac:dyDescent="0.3">
      <c r="A133" s="356" t="s">
        <v>59</v>
      </c>
      <c r="B133" s="357">
        <v>2</v>
      </c>
      <c r="C133" s="358" t="s">
        <v>134</v>
      </c>
      <c r="D133" s="359" t="s">
        <v>61</v>
      </c>
      <c r="E133" s="360" t="s">
        <v>62</v>
      </c>
      <c r="F133" s="359" t="s">
        <v>61</v>
      </c>
      <c r="G133" s="360" t="s">
        <v>62</v>
      </c>
      <c r="H133" s="240"/>
    </row>
    <row r="134" spans="1:11" ht="26.25" customHeight="1" x14ac:dyDescent="0.3">
      <c r="A134" s="356" t="s">
        <v>63</v>
      </c>
      <c r="B134" s="357">
        <v>20</v>
      </c>
      <c r="C134" s="361">
        <v>1</v>
      </c>
      <c r="D134" s="302">
        <v>7232069</v>
      </c>
      <c r="E134" s="362">
        <f>IF(ISBLANK(D134),"-",$D$144/$D$141*D134)</f>
        <v>6421644.6072729407</v>
      </c>
      <c r="F134" s="302">
        <v>8445952</v>
      </c>
      <c r="G134" s="362">
        <f>IF(ISBLANK(F134),"-",$D$144/$F$141*F134)</f>
        <v>6303363.2059418829</v>
      </c>
      <c r="H134" s="240"/>
    </row>
    <row r="135" spans="1:11" ht="26.25" customHeight="1" x14ac:dyDescent="0.3">
      <c r="A135" s="356" t="s">
        <v>64</v>
      </c>
      <c r="B135" s="357">
        <v>1</v>
      </c>
      <c r="C135" s="363">
        <v>2</v>
      </c>
      <c r="D135" s="281">
        <v>7230418</v>
      </c>
      <c r="E135" s="364">
        <f>IF(ISBLANK(D135),"-",$D$144/$D$141*D135)</f>
        <v>6420178.6180454306</v>
      </c>
      <c r="F135" s="281">
        <v>8449163</v>
      </c>
      <c r="G135" s="364">
        <f>IF(ISBLANK(F135),"-",$D$144/$F$141*F135)</f>
        <v>6305759.6319758315</v>
      </c>
      <c r="H135" s="240"/>
    </row>
    <row r="136" spans="1:11" ht="26.25" customHeight="1" x14ac:dyDescent="0.3">
      <c r="A136" s="356" t="s">
        <v>65</v>
      </c>
      <c r="B136" s="357">
        <v>1</v>
      </c>
      <c r="C136" s="363">
        <v>3</v>
      </c>
      <c r="D136" s="281">
        <v>7253511</v>
      </c>
      <c r="E136" s="364">
        <f>IF(ISBLANK(D136),"-",$D$144/$D$141*D136)</f>
        <v>6440683.8204869116</v>
      </c>
      <c r="F136" s="281">
        <v>8486318</v>
      </c>
      <c r="G136" s="364">
        <f>IF(ISBLANK(F136),"-",$D$144/$F$141*F136)</f>
        <v>6333489.06495352</v>
      </c>
      <c r="H136" s="240"/>
    </row>
    <row r="137" spans="1:11" ht="26.25" customHeight="1" x14ac:dyDescent="0.3">
      <c r="A137" s="356" t="s">
        <v>66</v>
      </c>
      <c r="B137" s="357">
        <v>1</v>
      </c>
      <c r="C137" s="365">
        <v>4</v>
      </c>
      <c r="D137" s="307"/>
      <c r="E137" s="366" t="str">
        <f>IF(ISBLANK(D137),"-",$D$144/$D$141*D137)</f>
        <v>-</v>
      </c>
      <c r="F137" s="307"/>
      <c r="G137" s="366" t="str">
        <f>IF(ISBLANK(F137),"-",$D$144/$D$141*F137)</f>
        <v>-</v>
      </c>
      <c r="H137" s="240"/>
    </row>
    <row r="138" spans="1:11" ht="27" customHeight="1" thickBot="1" x14ac:dyDescent="0.35">
      <c r="A138" s="356" t="s">
        <v>67</v>
      </c>
      <c r="B138" s="357">
        <v>1</v>
      </c>
      <c r="C138" s="350" t="s">
        <v>68</v>
      </c>
      <c r="D138" s="367">
        <f>AVERAGE(D134:D137)</f>
        <v>7238666</v>
      </c>
      <c r="E138" s="368">
        <f>AVERAGE(E134:E137)</f>
        <v>6427502.3486017613</v>
      </c>
      <c r="F138" s="367">
        <f>AVERAGE(F134:F137)</f>
        <v>8460477.666666666</v>
      </c>
      <c r="G138" s="369">
        <f>AVERAGE(G134:G137)</f>
        <v>6314203.9676237451</v>
      </c>
      <c r="H138" s="240"/>
    </row>
    <row r="139" spans="1:11" ht="26.25" customHeight="1" x14ac:dyDescent="0.3">
      <c r="A139" s="356" t="s">
        <v>69</v>
      </c>
      <c r="B139" s="357">
        <v>1</v>
      </c>
      <c r="C139" s="370" t="s">
        <v>104</v>
      </c>
      <c r="D139" s="229">
        <v>11.33</v>
      </c>
      <c r="E139" s="240"/>
      <c r="F139" s="371">
        <v>13.48</v>
      </c>
      <c r="G139" s="240"/>
      <c r="H139" s="240"/>
    </row>
    <row r="140" spans="1:11" ht="26.25" customHeight="1" x14ac:dyDescent="0.3">
      <c r="A140" s="356" t="s">
        <v>71</v>
      </c>
      <c r="B140" s="357">
        <v>1</v>
      </c>
      <c r="C140" s="372" t="s">
        <v>105</v>
      </c>
      <c r="D140" s="373">
        <f>D139*B130</f>
        <v>11.33</v>
      </c>
      <c r="E140" s="363"/>
      <c r="F140" s="374">
        <f>F139*B130</f>
        <v>13.48</v>
      </c>
      <c r="G140" s="240"/>
      <c r="H140" s="240"/>
    </row>
    <row r="141" spans="1:11" ht="19.5" customHeight="1" thickBot="1" x14ac:dyDescent="0.35">
      <c r="A141" s="356" t="s">
        <v>73</v>
      </c>
      <c r="B141" s="375">
        <f>(B140/B139)*(B138/B137)*(B136/B135)*(B134/B133)*B132</f>
        <v>500</v>
      </c>
      <c r="C141" s="372" t="s">
        <v>106</v>
      </c>
      <c r="D141" s="376">
        <f>D140*B126/100</f>
        <v>11.26202</v>
      </c>
      <c r="E141" s="377"/>
      <c r="F141" s="378">
        <f>F140*B126/100</f>
        <v>13.39912</v>
      </c>
      <c r="G141" s="240"/>
      <c r="H141" s="240"/>
    </row>
    <row r="142" spans="1:11" ht="19.5" customHeight="1" thickBot="1" x14ac:dyDescent="0.35">
      <c r="A142" s="667" t="s">
        <v>75</v>
      </c>
      <c r="B142" s="668"/>
      <c r="C142" s="372" t="s">
        <v>107</v>
      </c>
      <c r="D142" s="373">
        <f>D141/$B$141</f>
        <v>2.2524039999999999E-2</v>
      </c>
      <c r="E142" s="377"/>
      <c r="F142" s="379">
        <f>F141/$B$141</f>
        <v>2.6798240000000001E-2</v>
      </c>
      <c r="G142" s="216"/>
      <c r="H142" s="380"/>
    </row>
    <row r="143" spans="1:11" ht="19.5" customHeight="1" thickBot="1" x14ac:dyDescent="0.35">
      <c r="A143" s="669"/>
      <c r="B143" s="670"/>
      <c r="C143" s="372" t="s">
        <v>117</v>
      </c>
      <c r="D143" s="376">
        <f>$B$56/$B$159</f>
        <v>0.02</v>
      </c>
      <c r="E143" s="240"/>
      <c r="F143" s="381"/>
      <c r="G143" s="382"/>
      <c r="H143" s="380"/>
    </row>
    <row r="144" spans="1:11" ht="18.75" x14ac:dyDescent="0.3">
      <c r="A144" s="240"/>
      <c r="B144" s="240"/>
      <c r="C144" s="372" t="s">
        <v>77</v>
      </c>
      <c r="D144" s="373">
        <f>D143*$B$141</f>
        <v>10</v>
      </c>
      <c r="E144" s="240"/>
      <c r="F144" s="381"/>
      <c r="G144" s="216"/>
      <c r="H144" s="380"/>
    </row>
    <row r="145" spans="1:9" ht="19.5" customHeight="1" thickBot="1" x14ac:dyDescent="0.35">
      <c r="A145" s="240"/>
      <c r="B145" s="240"/>
      <c r="C145" s="383" t="s">
        <v>78</v>
      </c>
      <c r="D145" s="384">
        <f>D144/B130</f>
        <v>10</v>
      </c>
      <c r="E145" s="240"/>
      <c r="F145" s="385"/>
      <c r="G145" s="216"/>
      <c r="H145" s="380"/>
      <c r="I145" s="321"/>
    </row>
    <row r="146" spans="1:9" ht="18.75" x14ac:dyDescent="0.3">
      <c r="A146" s="240"/>
      <c r="B146" s="240"/>
      <c r="C146" s="386" t="s">
        <v>108</v>
      </c>
      <c r="D146" s="387">
        <f>AVERAGE(E134:E137,G134:G137)</f>
        <v>6370853.1581127532</v>
      </c>
      <c r="E146" s="240"/>
      <c r="F146" s="385"/>
      <c r="G146" s="382"/>
      <c r="H146" s="380"/>
      <c r="I146" s="322"/>
    </row>
    <row r="147" spans="1:9" ht="18.75" x14ac:dyDescent="0.3">
      <c r="A147" s="240"/>
      <c r="B147" s="240"/>
      <c r="C147" s="388" t="s">
        <v>80</v>
      </c>
      <c r="D147" s="389">
        <f>STDEV(E134:E137,G134:G137)/D146</f>
        <v>9.946477381055318E-3</v>
      </c>
      <c r="E147" s="240"/>
      <c r="F147" s="385"/>
      <c r="G147" s="216"/>
      <c r="H147" s="380"/>
      <c r="I147" s="322"/>
    </row>
    <row r="148" spans="1:9" ht="19.5" customHeight="1" thickBot="1" x14ac:dyDescent="0.35">
      <c r="A148" s="240"/>
      <c r="B148" s="240"/>
      <c r="C148" s="390" t="s">
        <v>19</v>
      </c>
      <c r="D148" s="391">
        <f>COUNT(E134:E137,G134:G137)</f>
        <v>6</v>
      </c>
      <c r="E148" s="240"/>
      <c r="F148" s="385"/>
      <c r="G148" s="216"/>
      <c r="H148" s="380"/>
      <c r="I148" s="322"/>
    </row>
    <row r="149" spans="1:9" ht="19.5" customHeight="1" thickBot="1" x14ac:dyDescent="0.35">
      <c r="A149" s="392"/>
      <c r="B149" s="392"/>
      <c r="C149" s="392"/>
      <c r="D149" s="392"/>
      <c r="E149" s="392"/>
      <c r="F149" s="240"/>
      <c r="G149" s="240"/>
      <c r="H149" s="240"/>
    </row>
    <row r="150" spans="1:9" ht="17.25" customHeight="1" x14ac:dyDescent="0.3">
      <c r="A150" s="354" t="s">
        <v>109</v>
      </c>
      <c r="B150" s="355">
        <v>1000</v>
      </c>
      <c r="C150" s="393" t="s">
        <v>132</v>
      </c>
      <c r="D150" s="394" t="s">
        <v>61</v>
      </c>
      <c r="E150" s="395" t="s">
        <v>110</v>
      </c>
      <c r="F150" s="396" t="s">
        <v>111</v>
      </c>
      <c r="G150" s="240"/>
      <c r="H150" s="240"/>
    </row>
    <row r="151" spans="1:9" ht="26.25" customHeight="1" x14ac:dyDescent="0.3">
      <c r="A151" s="356" t="s">
        <v>112</v>
      </c>
      <c r="B151" s="357">
        <v>1</v>
      </c>
      <c r="C151" s="397">
        <v>1</v>
      </c>
      <c r="D151" s="398">
        <v>3642573</v>
      </c>
      <c r="E151" s="399">
        <f t="shared" ref="E151:E156" si="3">IF(ISBLANK(D151),"-",D151/$D$146*$D$143*$B$159)</f>
        <v>11.435118372996827</v>
      </c>
      <c r="F151" s="400">
        <f t="shared" ref="F151:F156" si="4">IF(ISBLANK(D151), "-", E151/$B$56)</f>
        <v>0.57175591864984132</v>
      </c>
      <c r="G151" s="240"/>
      <c r="H151" s="240"/>
    </row>
    <row r="152" spans="1:9" ht="26.25" customHeight="1" x14ac:dyDescent="0.3">
      <c r="A152" s="356" t="s">
        <v>89</v>
      </c>
      <c r="B152" s="357">
        <v>1</v>
      </c>
      <c r="C152" s="397">
        <v>2</v>
      </c>
      <c r="D152" s="401">
        <v>3362531</v>
      </c>
      <c r="E152" s="402">
        <f t="shared" si="3"/>
        <v>10.555983371608859</v>
      </c>
      <c r="F152" s="403">
        <f t="shared" si="4"/>
        <v>0.52779916858044296</v>
      </c>
      <c r="G152" s="240"/>
      <c r="H152" s="240"/>
    </row>
    <row r="153" spans="1:9" ht="26.25" customHeight="1" x14ac:dyDescent="0.3">
      <c r="A153" s="356" t="s">
        <v>90</v>
      </c>
      <c r="B153" s="357">
        <v>1</v>
      </c>
      <c r="C153" s="397">
        <v>3</v>
      </c>
      <c r="D153" s="401">
        <v>3869203</v>
      </c>
      <c r="E153" s="402">
        <f t="shared" si="3"/>
        <v>12.146577244753761</v>
      </c>
      <c r="F153" s="403">
        <f t="shared" si="4"/>
        <v>0.60732886223768801</v>
      </c>
      <c r="G153" s="240"/>
      <c r="H153" s="240"/>
    </row>
    <row r="154" spans="1:9" ht="26.25" customHeight="1" x14ac:dyDescent="0.3">
      <c r="A154" s="356" t="s">
        <v>91</v>
      </c>
      <c r="B154" s="357">
        <v>1</v>
      </c>
      <c r="C154" s="397">
        <v>4</v>
      </c>
      <c r="D154" s="401">
        <v>3938187</v>
      </c>
      <c r="E154" s="402">
        <f t="shared" si="3"/>
        <v>12.363138506763557</v>
      </c>
      <c r="F154" s="403">
        <f t="shared" si="4"/>
        <v>0.61815692533817779</v>
      </c>
      <c r="G154" s="240"/>
      <c r="H154" s="240"/>
    </row>
    <row r="155" spans="1:9" ht="26.25" customHeight="1" x14ac:dyDescent="0.3">
      <c r="A155" s="356" t="s">
        <v>92</v>
      </c>
      <c r="B155" s="357">
        <v>1</v>
      </c>
      <c r="C155" s="397">
        <v>5</v>
      </c>
      <c r="D155" s="401">
        <v>3703871</v>
      </c>
      <c r="E155" s="402">
        <f t="shared" si="3"/>
        <v>11.627550998513998</v>
      </c>
      <c r="F155" s="403">
        <f t="shared" si="4"/>
        <v>0.5813775499256999</v>
      </c>
      <c r="G155" s="240"/>
      <c r="H155" s="240"/>
    </row>
    <row r="156" spans="1:9" ht="26.25" customHeight="1" x14ac:dyDescent="0.3">
      <c r="A156" s="356" t="s">
        <v>94</v>
      </c>
      <c r="B156" s="357">
        <v>1</v>
      </c>
      <c r="C156" s="404">
        <v>6</v>
      </c>
      <c r="D156" s="405">
        <v>4185984</v>
      </c>
      <c r="E156" s="406">
        <f t="shared" si="3"/>
        <v>13.141046877432723</v>
      </c>
      <c r="F156" s="407">
        <f t="shared" si="4"/>
        <v>0.65705234387163614</v>
      </c>
      <c r="G156" s="240"/>
      <c r="H156" s="240"/>
    </row>
    <row r="157" spans="1:9" ht="26.25" customHeight="1" x14ac:dyDescent="0.3">
      <c r="A157" s="356" t="s">
        <v>95</v>
      </c>
      <c r="B157" s="357">
        <v>1</v>
      </c>
      <c r="C157" s="397"/>
      <c r="D157" s="363"/>
      <c r="E157" s="240"/>
      <c r="F157" s="408"/>
      <c r="G157" s="240"/>
      <c r="H157" s="694" t="s">
        <v>160</v>
      </c>
    </row>
    <row r="158" spans="1:9" ht="26.25" customHeight="1" x14ac:dyDescent="0.4">
      <c r="A158" s="356" t="s">
        <v>96</v>
      </c>
      <c r="B158" s="357">
        <v>1</v>
      </c>
      <c r="C158" s="397"/>
      <c r="D158" s="409"/>
      <c r="E158" s="410" t="s">
        <v>68</v>
      </c>
      <c r="F158" s="411">
        <f>AVERAGE(F151:F156)</f>
        <v>0.59391179476724776</v>
      </c>
      <c r="G158" s="410" t="s">
        <v>68</v>
      </c>
      <c r="H158" s="411">
        <f>AVERAGE('Tadalafil Assay Diss S1'!F109:F114,F151:F156)</f>
        <v>0.57690765911001063</v>
      </c>
    </row>
    <row r="159" spans="1:9" ht="27" customHeight="1" thickBot="1" x14ac:dyDescent="0.45">
      <c r="A159" s="356" t="s">
        <v>97</v>
      </c>
      <c r="B159" s="375">
        <f>(B158/B157)*(B156/B155)*(B154/B153)*(B152/B151)*B150</f>
        <v>1000</v>
      </c>
      <c r="C159" s="412"/>
      <c r="D159" s="240"/>
      <c r="E159" s="413" t="s">
        <v>80</v>
      </c>
      <c r="F159" s="414">
        <f>STDEV(F151:F156)/F158</f>
        <v>7.4441793562820782E-2</v>
      </c>
      <c r="G159" s="413" t="s">
        <v>80</v>
      </c>
      <c r="H159" s="414">
        <f>STDEV('Tadalafil Assay Diss S1'!F109:F114,F151:F156)/H158</f>
        <v>9.3774781693758594E-2</v>
      </c>
    </row>
    <row r="160" spans="1:9" ht="27" customHeight="1" thickBot="1" x14ac:dyDescent="0.45">
      <c r="A160" s="667" t="s">
        <v>75</v>
      </c>
      <c r="B160" s="671"/>
      <c r="C160" s="415"/>
      <c r="D160" s="416"/>
      <c r="E160" s="417" t="s">
        <v>19</v>
      </c>
      <c r="F160" s="418">
        <f>COUNT(F151:F156)</f>
        <v>6</v>
      </c>
      <c r="G160" s="417" t="s">
        <v>19</v>
      </c>
      <c r="H160" s="418">
        <f>COUNT('Tadalafil Assay Diss S1'!F109:F114,F151:F156)</f>
        <v>12</v>
      </c>
      <c r="I160" s="322"/>
    </row>
    <row r="161" spans="1:8" ht="19.5" customHeight="1" thickBot="1" x14ac:dyDescent="0.35">
      <c r="A161" s="669"/>
      <c r="B161" s="672"/>
      <c r="C161" s="240"/>
      <c r="D161" s="240"/>
      <c r="E161" s="240"/>
      <c r="F161" s="363"/>
      <c r="G161" s="240"/>
      <c r="H161" s="240"/>
    </row>
    <row r="162" spans="1:8" ht="18.75" x14ac:dyDescent="0.3">
      <c r="A162" s="224"/>
      <c r="B162" s="224"/>
      <c r="C162" s="240"/>
      <c r="D162" s="240"/>
      <c r="E162" s="240"/>
      <c r="F162" s="363"/>
      <c r="G162" s="240"/>
      <c r="H162" s="240"/>
    </row>
    <row r="163" spans="1:8" ht="18.75" x14ac:dyDescent="0.3">
      <c r="A163" s="347" t="s">
        <v>136</v>
      </c>
      <c r="B163" s="209" t="s">
        <v>148</v>
      </c>
      <c r="C163" s="240"/>
      <c r="D163" s="240"/>
      <c r="E163" s="240"/>
      <c r="F163" s="363"/>
      <c r="G163" s="240"/>
      <c r="H163" s="240"/>
    </row>
    <row r="164" spans="1:8" ht="19.5" customHeight="1" thickBot="1" x14ac:dyDescent="0.35">
      <c r="A164" s="224"/>
      <c r="B164" s="224"/>
      <c r="C164" s="240"/>
      <c r="D164" s="240"/>
      <c r="E164" s="240"/>
      <c r="F164" s="363"/>
      <c r="G164" s="240"/>
      <c r="H164" s="240"/>
    </row>
    <row r="165" spans="1:8" ht="26.25" customHeight="1" x14ac:dyDescent="0.4">
      <c r="A165" s="419" t="s">
        <v>68</v>
      </c>
      <c r="B165" s="420">
        <f>AVERAGE(F108:F113,F151:F156)</f>
        <v>0.57690765911001063</v>
      </c>
      <c r="C165" s="240"/>
      <c r="D165" s="240"/>
      <c r="E165" s="240"/>
      <c r="F165" s="363"/>
      <c r="G165" s="240"/>
      <c r="H165" s="240"/>
    </row>
    <row r="166" spans="1:8" ht="26.25" customHeight="1" x14ac:dyDescent="0.4">
      <c r="A166" s="356" t="s">
        <v>80</v>
      </c>
      <c r="B166" s="421">
        <f>STDEV(F108:F113,F151:F156)/B165</f>
        <v>9.3774781693758594E-2</v>
      </c>
      <c r="C166" s="240"/>
      <c r="D166" s="240"/>
      <c r="E166" s="240"/>
      <c r="F166" s="363"/>
      <c r="G166" s="240"/>
      <c r="H166" s="240"/>
    </row>
    <row r="167" spans="1:8" ht="27" customHeight="1" thickBot="1" x14ac:dyDescent="0.45">
      <c r="A167" s="422" t="s">
        <v>19</v>
      </c>
      <c r="B167" s="423">
        <f>COUNT(F108:F113,F151:F156)</f>
        <v>12</v>
      </c>
      <c r="C167" s="240"/>
      <c r="D167" s="240"/>
      <c r="E167" s="240"/>
      <c r="F167" s="363"/>
      <c r="G167" s="240"/>
      <c r="H167" s="240"/>
    </row>
    <row r="168" spans="1:8" ht="26.25" customHeight="1" x14ac:dyDescent="0.3">
      <c r="A168" s="210" t="s">
        <v>125</v>
      </c>
      <c r="B168" s="211" t="s">
        <v>113</v>
      </c>
      <c r="C168" s="673" t="str">
        <f>B20</f>
        <v>Tadalfil 20 mg</v>
      </c>
      <c r="D168" s="673"/>
      <c r="E168" s="205" t="s">
        <v>114</v>
      </c>
      <c r="F168" s="205"/>
      <c r="G168" s="298">
        <f>B165</f>
        <v>0.57690765911001063</v>
      </c>
      <c r="H168" s="205"/>
    </row>
    <row r="169" spans="1:8" ht="19.5" customHeight="1" thickBot="1" x14ac:dyDescent="0.35">
      <c r="A169" s="424"/>
      <c r="B169" s="424"/>
      <c r="C169" s="425"/>
      <c r="D169" s="425"/>
      <c r="E169" s="425"/>
      <c r="F169" s="425"/>
      <c r="G169" s="425"/>
      <c r="H169" s="425"/>
    </row>
    <row r="170" spans="1:8" ht="18.75" x14ac:dyDescent="0.3">
      <c r="B170" s="674" t="s">
        <v>25</v>
      </c>
      <c r="C170" s="674"/>
      <c r="E170" s="230" t="s">
        <v>26</v>
      </c>
      <c r="F170" s="426"/>
      <c r="G170" s="674" t="s">
        <v>27</v>
      </c>
      <c r="H170" s="674"/>
    </row>
    <row r="171" spans="1:8" ht="83.25" customHeight="1" x14ac:dyDescent="0.3">
      <c r="A171" s="210" t="s">
        <v>28</v>
      </c>
      <c r="B171" s="427"/>
      <c r="C171" s="427" t="s">
        <v>142</v>
      </c>
      <c r="E171" s="428" t="s">
        <v>156</v>
      </c>
      <c r="F171" s="205"/>
      <c r="G171" s="428"/>
      <c r="H171" s="428"/>
    </row>
    <row r="172" spans="1:8" ht="84" customHeight="1" x14ac:dyDescent="0.3">
      <c r="A172" s="210" t="s">
        <v>29</v>
      </c>
      <c r="B172" s="429"/>
      <c r="C172" s="429"/>
      <c r="E172" s="430"/>
      <c r="F172" s="205"/>
      <c r="G172" s="431"/>
      <c r="H172" s="431"/>
    </row>
    <row r="173" spans="1:8" ht="18.75" x14ac:dyDescent="0.3">
      <c r="A173" s="237"/>
      <c r="B173" s="237"/>
      <c r="C173" s="237"/>
      <c r="D173" s="237"/>
      <c r="E173" s="237"/>
      <c r="F173" s="256"/>
      <c r="G173" s="237"/>
      <c r="H173" s="237"/>
    </row>
    <row r="174" spans="1:8" ht="18.75" x14ac:dyDescent="0.3">
      <c r="A174" s="237"/>
      <c r="B174" s="237"/>
      <c r="C174" s="237"/>
      <c r="D174" s="237"/>
      <c r="E174" s="237"/>
      <c r="F174" s="256"/>
      <c r="G174" s="237"/>
      <c r="H174" s="237"/>
    </row>
    <row r="175" spans="1:8" ht="18.75" x14ac:dyDescent="0.3">
      <c r="A175" s="237"/>
      <c r="B175" s="237"/>
      <c r="C175" s="237"/>
      <c r="D175" s="237"/>
      <c r="E175" s="237"/>
      <c r="F175" s="256"/>
      <c r="G175" s="237"/>
      <c r="H175" s="237"/>
    </row>
    <row r="176" spans="1:8" ht="18.75" x14ac:dyDescent="0.3">
      <c r="A176" s="237"/>
      <c r="B176" s="237"/>
      <c r="C176" s="237"/>
      <c r="D176" s="237"/>
      <c r="E176" s="237"/>
      <c r="F176" s="256"/>
      <c r="G176" s="237"/>
      <c r="H176" s="237"/>
    </row>
    <row r="177" spans="1:8" ht="18.75" x14ac:dyDescent="0.3">
      <c r="A177" s="237"/>
      <c r="B177" s="237"/>
      <c r="C177" s="237"/>
      <c r="D177" s="237"/>
      <c r="E177" s="237"/>
      <c r="F177" s="256"/>
      <c r="G177" s="237"/>
      <c r="H177" s="237"/>
    </row>
    <row r="178" spans="1:8" ht="18.75" x14ac:dyDescent="0.3">
      <c r="A178" s="237"/>
      <c r="B178" s="237"/>
      <c r="C178" s="237"/>
      <c r="D178" s="237"/>
      <c r="E178" s="237"/>
      <c r="F178" s="256"/>
      <c r="G178" s="237"/>
      <c r="H178" s="237"/>
    </row>
    <row r="179" spans="1:8" ht="18.75" x14ac:dyDescent="0.3">
      <c r="A179" s="237"/>
      <c r="B179" s="237"/>
      <c r="C179" s="237"/>
      <c r="D179" s="237"/>
      <c r="E179" s="237"/>
      <c r="F179" s="256"/>
      <c r="G179" s="237"/>
      <c r="H179" s="237"/>
    </row>
    <row r="180" spans="1:8" ht="18.75" x14ac:dyDescent="0.3">
      <c r="A180" s="237"/>
      <c r="B180" s="237"/>
      <c r="C180" s="237"/>
      <c r="D180" s="237"/>
      <c r="E180" s="237"/>
      <c r="F180" s="256"/>
      <c r="G180" s="237"/>
      <c r="H180" s="237"/>
    </row>
    <row r="181" spans="1:8" ht="18.75" x14ac:dyDescent="0.3">
      <c r="A181" s="237"/>
      <c r="B181" s="237"/>
      <c r="C181" s="237"/>
      <c r="D181" s="237"/>
      <c r="E181" s="237"/>
      <c r="F181" s="256"/>
      <c r="G181" s="237"/>
      <c r="H181" s="237"/>
    </row>
    <row r="250" spans="1:1" x14ac:dyDescent="0.3">
      <c r="A250" s="20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9">
    <mergeCell ref="B26:C26"/>
    <mergeCell ref="A1:H7"/>
    <mergeCell ref="A8:H14"/>
    <mergeCell ref="A16:H16"/>
    <mergeCell ref="A17:H17"/>
    <mergeCell ref="B18:C18"/>
    <mergeCell ref="C29:G29"/>
    <mergeCell ref="C31:H31"/>
    <mergeCell ref="C32:H32"/>
    <mergeCell ref="D36:E36"/>
    <mergeCell ref="F36:G36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B122:C122"/>
    <mergeCell ref="D132:E132"/>
    <mergeCell ref="F132:G132"/>
    <mergeCell ref="A142:B143"/>
    <mergeCell ref="A160:B161"/>
    <mergeCell ref="C168:D168"/>
  </mergeCells>
  <conditionalFormatting sqref="D51">
    <cfRule type="cellIs" dxfId="5" priority="3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32" fitToHeight="2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36" zoomScale="55" zoomScaleNormal="75" workbookViewId="0">
      <selection activeCell="H159" sqref="H159"/>
    </sheetView>
  </sheetViews>
  <sheetFormatPr defaultRowHeight="16.5" x14ac:dyDescent="0.3"/>
  <cols>
    <col min="1" max="1" width="55.42578125" style="202" customWidth="1"/>
    <col min="2" max="2" width="33.7109375" style="202" customWidth="1"/>
    <col min="3" max="3" width="42.28515625" style="202" customWidth="1"/>
    <col min="4" max="4" width="30.5703125" style="202" customWidth="1"/>
    <col min="5" max="5" width="39.85546875" style="202" customWidth="1"/>
    <col min="6" max="6" width="30.7109375" style="202" customWidth="1"/>
    <col min="7" max="7" width="36.42578125" style="202" customWidth="1"/>
    <col min="8" max="8" width="41.140625" style="202" customWidth="1"/>
    <col min="9" max="9" width="30.42578125" style="200" customWidth="1"/>
    <col min="10" max="10" width="21.28515625" style="200" customWidth="1"/>
    <col min="11" max="11" width="9.140625" style="200" customWidth="1"/>
    <col min="12" max="16384" width="9.140625" style="201"/>
  </cols>
  <sheetData>
    <row r="1" spans="1:8" ht="15" x14ac:dyDescent="0.3">
      <c r="A1" s="688" t="s">
        <v>44</v>
      </c>
      <c r="B1" s="688"/>
      <c r="C1" s="688"/>
      <c r="D1" s="688"/>
      <c r="E1" s="688"/>
      <c r="F1" s="688"/>
      <c r="G1" s="688"/>
      <c r="H1" s="688"/>
    </row>
    <row r="2" spans="1:8" ht="15" x14ac:dyDescent="0.3">
      <c r="A2" s="688"/>
      <c r="B2" s="688"/>
      <c r="C2" s="688"/>
      <c r="D2" s="688"/>
      <c r="E2" s="688"/>
      <c r="F2" s="688"/>
      <c r="G2" s="688"/>
      <c r="H2" s="688"/>
    </row>
    <row r="3" spans="1:8" ht="15" x14ac:dyDescent="0.3">
      <c r="A3" s="688"/>
      <c r="B3" s="688"/>
      <c r="C3" s="688"/>
      <c r="D3" s="688"/>
      <c r="E3" s="688"/>
      <c r="F3" s="688"/>
      <c r="G3" s="688"/>
      <c r="H3" s="688"/>
    </row>
    <row r="4" spans="1:8" ht="15" x14ac:dyDescent="0.3">
      <c r="A4" s="688"/>
      <c r="B4" s="688"/>
      <c r="C4" s="688"/>
      <c r="D4" s="688"/>
      <c r="E4" s="688"/>
      <c r="F4" s="688"/>
      <c r="G4" s="688"/>
      <c r="H4" s="688"/>
    </row>
    <row r="5" spans="1:8" ht="15" x14ac:dyDescent="0.3">
      <c r="A5" s="688"/>
      <c r="B5" s="688"/>
      <c r="C5" s="688"/>
      <c r="D5" s="688"/>
      <c r="E5" s="688"/>
      <c r="F5" s="688"/>
      <c r="G5" s="688"/>
      <c r="H5" s="688"/>
    </row>
    <row r="6" spans="1:8" ht="15" x14ac:dyDescent="0.3">
      <c r="A6" s="688"/>
      <c r="B6" s="688"/>
      <c r="C6" s="688"/>
      <c r="D6" s="688"/>
      <c r="E6" s="688"/>
      <c r="F6" s="688"/>
      <c r="G6" s="688"/>
      <c r="H6" s="688"/>
    </row>
    <row r="7" spans="1:8" ht="15" x14ac:dyDescent="0.3">
      <c r="A7" s="688"/>
      <c r="B7" s="688"/>
      <c r="C7" s="688"/>
      <c r="D7" s="688"/>
      <c r="E7" s="688"/>
      <c r="F7" s="688"/>
      <c r="G7" s="688"/>
      <c r="H7" s="688"/>
    </row>
    <row r="8" spans="1:8" ht="15" x14ac:dyDescent="0.3">
      <c r="A8" s="689" t="s">
        <v>45</v>
      </c>
      <c r="B8" s="689"/>
      <c r="C8" s="689"/>
      <c r="D8" s="689"/>
      <c r="E8" s="689"/>
      <c r="F8" s="689"/>
      <c r="G8" s="689"/>
      <c r="H8" s="689"/>
    </row>
    <row r="9" spans="1:8" ht="15" x14ac:dyDescent="0.3">
      <c r="A9" s="689"/>
      <c r="B9" s="689"/>
      <c r="C9" s="689"/>
      <c r="D9" s="689"/>
      <c r="E9" s="689"/>
      <c r="F9" s="689"/>
      <c r="G9" s="689"/>
      <c r="H9" s="689"/>
    </row>
    <row r="10" spans="1:8" ht="15" x14ac:dyDescent="0.3">
      <c r="A10" s="689"/>
      <c r="B10" s="689"/>
      <c r="C10" s="689"/>
      <c r="D10" s="689"/>
      <c r="E10" s="689"/>
      <c r="F10" s="689"/>
      <c r="G10" s="689"/>
      <c r="H10" s="689"/>
    </row>
    <row r="11" spans="1:8" ht="15" x14ac:dyDescent="0.3">
      <c r="A11" s="689"/>
      <c r="B11" s="689"/>
      <c r="C11" s="689"/>
      <c r="D11" s="689"/>
      <c r="E11" s="689"/>
      <c r="F11" s="689"/>
      <c r="G11" s="689"/>
      <c r="H11" s="689"/>
    </row>
    <row r="12" spans="1:8" ht="15" x14ac:dyDescent="0.3">
      <c r="A12" s="689"/>
      <c r="B12" s="689"/>
      <c r="C12" s="689"/>
      <c r="D12" s="689"/>
      <c r="E12" s="689"/>
      <c r="F12" s="689"/>
      <c r="G12" s="689"/>
      <c r="H12" s="689"/>
    </row>
    <row r="13" spans="1:8" ht="15" x14ac:dyDescent="0.3">
      <c r="A13" s="689"/>
      <c r="B13" s="689"/>
      <c r="C13" s="689"/>
      <c r="D13" s="689"/>
      <c r="E13" s="689"/>
      <c r="F13" s="689"/>
      <c r="G13" s="689"/>
      <c r="H13" s="689"/>
    </row>
    <row r="14" spans="1:8" ht="15" x14ac:dyDescent="0.3">
      <c r="A14" s="689"/>
      <c r="B14" s="689"/>
      <c r="C14" s="689"/>
      <c r="D14" s="689"/>
      <c r="E14" s="689"/>
      <c r="F14" s="689"/>
      <c r="G14" s="689"/>
      <c r="H14" s="689"/>
    </row>
    <row r="15" spans="1:8" ht="19.5" customHeight="1" thickBot="1" x14ac:dyDescent="0.35"/>
    <row r="16" spans="1:8" ht="19.5" customHeight="1" thickBot="1" x14ac:dyDescent="0.35">
      <c r="A16" s="690" t="s">
        <v>30</v>
      </c>
      <c r="B16" s="691"/>
      <c r="C16" s="691"/>
      <c r="D16" s="691"/>
      <c r="E16" s="691"/>
      <c r="F16" s="691"/>
      <c r="G16" s="691"/>
      <c r="H16" s="692"/>
    </row>
    <row r="17" spans="1:13" ht="20.25" customHeight="1" x14ac:dyDescent="0.3">
      <c r="A17" s="693" t="s">
        <v>46</v>
      </c>
      <c r="B17" s="693"/>
      <c r="C17" s="693"/>
      <c r="D17" s="693"/>
      <c r="E17" s="693"/>
      <c r="F17" s="693"/>
      <c r="G17" s="693"/>
      <c r="H17" s="693"/>
    </row>
    <row r="18" spans="1:13" ht="26.25" customHeight="1" x14ac:dyDescent="0.3">
      <c r="A18" s="203" t="s">
        <v>32</v>
      </c>
      <c r="B18" s="664" t="s">
        <v>149</v>
      </c>
      <c r="C18" s="664"/>
      <c r="D18" s="204"/>
      <c r="E18" s="204"/>
    </row>
    <row r="19" spans="1:13" ht="26.25" customHeight="1" x14ac:dyDescent="0.3">
      <c r="A19" s="203" t="s">
        <v>33</v>
      </c>
      <c r="B19" s="437" t="s">
        <v>7</v>
      </c>
      <c r="C19" s="438">
        <v>35</v>
      </c>
    </row>
    <row r="20" spans="1:13" ht="26.25" customHeight="1" x14ac:dyDescent="0.3">
      <c r="A20" s="203" t="s">
        <v>34</v>
      </c>
      <c r="B20" s="437" t="s">
        <v>150</v>
      </c>
      <c r="C20" s="432"/>
    </row>
    <row r="21" spans="1:13" ht="26.25" customHeight="1" x14ac:dyDescent="0.3">
      <c r="A21" s="203" t="s">
        <v>35</v>
      </c>
      <c r="B21" s="439" t="s">
        <v>151</v>
      </c>
      <c r="C21" s="439"/>
      <c r="D21" s="206"/>
      <c r="E21" s="206"/>
      <c r="F21" s="206"/>
      <c r="G21" s="206"/>
      <c r="H21" s="206"/>
    </row>
    <row r="22" spans="1:13" ht="26.25" customHeight="1" x14ac:dyDescent="0.3">
      <c r="A22" s="203" t="s">
        <v>36</v>
      </c>
      <c r="B22" s="207">
        <v>42409</v>
      </c>
    </row>
    <row r="23" spans="1:13" ht="26.25" customHeight="1" x14ac:dyDescent="0.3">
      <c r="A23" s="203" t="s">
        <v>37</v>
      </c>
      <c r="B23" s="207">
        <v>42412</v>
      </c>
    </row>
    <row r="24" spans="1:13" ht="18.75" x14ac:dyDescent="0.3">
      <c r="A24" s="203"/>
      <c r="B24" s="208"/>
    </row>
    <row r="25" spans="1:13" ht="18.75" x14ac:dyDescent="0.3">
      <c r="A25" s="209" t="s">
        <v>1</v>
      </c>
      <c r="B25" s="208"/>
    </row>
    <row r="26" spans="1:13" ht="26.25" customHeight="1" x14ac:dyDescent="0.4">
      <c r="A26" s="210" t="s">
        <v>4</v>
      </c>
      <c r="B26" s="636" t="s">
        <v>152</v>
      </c>
      <c r="C26" s="636"/>
    </row>
    <row r="27" spans="1:13" ht="26.25" customHeight="1" x14ac:dyDescent="0.4">
      <c r="A27" s="211" t="s">
        <v>47</v>
      </c>
      <c r="B27" s="445" t="s">
        <v>153</v>
      </c>
      <c r="C27" s="432"/>
    </row>
    <row r="28" spans="1:13" ht="27" customHeight="1" thickBot="1" x14ac:dyDescent="0.45">
      <c r="A28" s="211" t="s">
        <v>6</v>
      </c>
      <c r="B28" s="445">
        <v>99.4</v>
      </c>
      <c r="C28" s="432"/>
    </row>
    <row r="29" spans="1:13" s="216" customFormat="1" ht="15.75" customHeight="1" thickBot="1" x14ac:dyDescent="0.3">
      <c r="A29" s="211" t="s">
        <v>48</v>
      </c>
      <c r="B29" s="213">
        <v>0</v>
      </c>
      <c r="C29" s="677" t="s">
        <v>145</v>
      </c>
      <c r="D29" s="678"/>
      <c r="E29" s="678"/>
      <c r="F29" s="678"/>
      <c r="G29" s="679"/>
      <c r="H29" s="214"/>
      <c r="I29" s="215"/>
      <c r="J29" s="215"/>
      <c r="K29" s="215"/>
    </row>
    <row r="30" spans="1:13" s="216" customFormat="1" ht="19.5" customHeight="1" thickBot="1" x14ac:dyDescent="0.3">
      <c r="A30" s="211" t="s">
        <v>50</v>
      </c>
      <c r="B30" s="217">
        <f>B28-B29</f>
        <v>99.4</v>
      </c>
      <c r="C30" s="218"/>
      <c r="D30" s="218"/>
      <c r="E30" s="218"/>
      <c r="F30" s="218"/>
      <c r="G30" s="219"/>
      <c r="H30" s="214"/>
      <c r="I30" s="215"/>
      <c r="J30" s="215"/>
      <c r="K30" s="215"/>
    </row>
    <row r="31" spans="1:13" s="216" customFormat="1" ht="27" customHeight="1" thickBot="1" x14ac:dyDescent="0.3">
      <c r="A31" s="211" t="s">
        <v>51</v>
      </c>
      <c r="B31" s="220">
        <v>1</v>
      </c>
      <c r="C31" s="680" t="s">
        <v>52</v>
      </c>
      <c r="D31" s="681"/>
      <c r="E31" s="681"/>
      <c r="F31" s="681"/>
      <c r="G31" s="681"/>
      <c r="H31" s="682"/>
      <c r="I31" s="215"/>
      <c r="J31" s="215"/>
      <c r="K31" s="215"/>
    </row>
    <row r="32" spans="1:13" s="216" customFormat="1" ht="27" customHeight="1" thickBot="1" x14ac:dyDescent="0.3">
      <c r="A32" s="211" t="s">
        <v>53</v>
      </c>
      <c r="B32" s="220">
        <v>1</v>
      </c>
      <c r="C32" s="680" t="s">
        <v>54</v>
      </c>
      <c r="D32" s="681"/>
      <c r="E32" s="681"/>
      <c r="F32" s="681"/>
      <c r="G32" s="681"/>
      <c r="H32" s="682"/>
      <c r="I32" s="215"/>
      <c r="J32" s="215"/>
      <c r="K32" s="221"/>
      <c r="L32" s="221"/>
      <c r="M32" s="222"/>
    </row>
    <row r="33" spans="1:13" s="216" customFormat="1" ht="17.25" customHeight="1" x14ac:dyDescent="0.25">
      <c r="A33" s="211"/>
      <c r="B33" s="223"/>
      <c r="C33" s="224"/>
      <c r="D33" s="224"/>
      <c r="E33" s="224"/>
      <c r="F33" s="224"/>
      <c r="G33" s="224"/>
      <c r="H33" s="224"/>
      <c r="I33" s="215"/>
      <c r="J33" s="215"/>
      <c r="K33" s="221"/>
      <c r="L33" s="221"/>
      <c r="M33" s="222"/>
    </row>
    <row r="34" spans="1:13" s="216" customFormat="1" ht="18.75" x14ac:dyDescent="0.25">
      <c r="A34" s="211" t="s">
        <v>55</v>
      </c>
      <c r="B34" s="225">
        <f>B31/B32</f>
        <v>1</v>
      </c>
      <c r="C34" s="205" t="s">
        <v>56</v>
      </c>
      <c r="D34" s="205"/>
      <c r="E34" s="205"/>
      <c r="F34" s="205"/>
      <c r="G34" s="205"/>
      <c r="H34" s="214"/>
      <c r="I34" s="215"/>
      <c r="J34" s="215"/>
      <c r="K34" s="221"/>
      <c r="L34" s="221"/>
      <c r="M34" s="222"/>
    </row>
    <row r="35" spans="1:13" s="216" customFormat="1" ht="19.5" customHeight="1" thickBot="1" x14ac:dyDescent="0.3">
      <c r="A35" s="211"/>
      <c r="B35" s="217"/>
      <c r="C35" s="214"/>
      <c r="D35" s="214"/>
      <c r="E35" s="214"/>
      <c r="F35" s="214"/>
      <c r="G35" s="205"/>
      <c r="H35" s="214"/>
      <c r="I35" s="215"/>
      <c r="J35" s="215"/>
      <c r="K35" s="221"/>
      <c r="L35" s="221"/>
      <c r="M35" s="222"/>
    </row>
    <row r="36" spans="1:13" s="216" customFormat="1" ht="27" customHeight="1" thickBot="1" x14ac:dyDescent="0.45">
      <c r="A36" s="226" t="s">
        <v>116</v>
      </c>
      <c r="B36" s="459">
        <v>50</v>
      </c>
      <c r="C36" s="205"/>
      <c r="D36" s="675" t="s">
        <v>57</v>
      </c>
      <c r="E36" s="687"/>
      <c r="F36" s="675" t="s">
        <v>58</v>
      </c>
      <c r="G36" s="676"/>
      <c r="H36" s="214"/>
      <c r="I36" s="215"/>
      <c r="J36" s="215"/>
      <c r="K36" s="221"/>
      <c r="L36" s="221"/>
      <c r="M36" s="222"/>
    </row>
    <row r="37" spans="1:13" s="216" customFormat="1" ht="26.25" customHeight="1" x14ac:dyDescent="0.25">
      <c r="A37" s="228" t="s">
        <v>59</v>
      </c>
      <c r="B37" s="229">
        <v>1</v>
      </c>
      <c r="C37" s="230" t="s">
        <v>60</v>
      </c>
      <c r="D37" s="231" t="s">
        <v>61</v>
      </c>
      <c r="E37" s="232" t="s">
        <v>62</v>
      </c>
      <c r="F37" s="231" t="s">
        <v>61</v>
      </c>
      <c r="G37" s="233" t="s">
        <v>62</v>
      </c>
      <c r="H37" s="214"/>
      <c r="I37" s="215"/>
      <c r="J37" s="215"/>
      <c r="K37" s="221"/>
      <c r="L37" s="221"/>
      <c r="M37" s="222"/>
    </row>
    <row r="38" spans="1:13" s="216" customFormat="1" ht="26.25" customHeight="1" x14ac:dyDescent="0.4">
      <c r="A38" s="228" t="s">
        <v>63</v>
      </c>
      <c r="B38" s="229">
        <v>1</v>
      </c>
      <c r="C38" s="234">
        <v>1</v>
      </c>
      <c r="D38" s="467">
        <v>83109278</v>
      </c>
      <c r="E38" s="235">
        <f>IF(ISBLANK(D38),"-",$D$48/$D$45*D38)</f>
        <v>79964559.737922549</v>
      </c>
      <c r="F38" s="467">
        <v>84399188</v>
      </c>
      <c r="G38" s="236">
        <f>IF(ISBLANK(F38),"-",$D$48/$F$45*F38)</f>
        <v>79383545.100069374</v>
      </c>
      <c r="H38" s="214"/>
      <c r="I38" s="215"/>
      <c r="J38" s="215"/>
      <c r="K38" s="221"/>
      <c r="L38" s="221"/>
      <c r="M38" s="222"/>
    </row>
    <row r="39" spans="1:13" s="216" customFormat="1" ht="26.25" customHeight="1" x14ac:dyDescent="0.4">
      <c r="A39" s="228" t="s">
        <v>64</v>
      </c>
      <c r="B39" s="229">
        <v>1</v>
      </c>
      <c r="C39" s="237">
        <v>2</v>
      </c>
      <c r="D39" s="471">
        <v>83128486</v>
      </c>
      <c r="E39" s="238">
        <f>IF(ISBLANK(D39),"-",$D$48/$D$45*D39)</f>
        <v>79983040.938823447</v>
      </c>
      <c r="F39" s="471">
        <v>84409844</v>
      </c>
      <c r="G39" s="239">
        <f>IF(ISBLANK(F39),"-",$D$48/$F$45*F39)</f>
        <v>79393567.839347228</v>
      </c>
      <c r="H39" s="214"/>
      <c r="I39" s="215"/>
      <c r="J39" s="215"/>
      <c r="K39" s="221"/>
      <c r="L39" s="221"/>
      <c r="M39" s="222"/>
    </row>
    <row r="40" spans="1:13" ht="26.25" customHeight="1" x14ac:dyDescent="0.4">
      <c r="A40" s="228" t="s">
        <v>65</v>
      </c>
      <c r="B40" s="229">
        <v>1</v>
      </c>
      <c r="C40" s="237">
        <v>3</v>
      </c>
      <c r="D40" s="471">
        <v>83202372</v>
      </c>
      <c r="E40" s="238">
        <f>IF(ISBLANK(D40),"-",$D$48/$D$45*D40)</f>
        <v>80054131.214217201</v>
      </c>
      <c r="F40" s="471">
        <v>84504938</v>
      </c>
      <c r="G40" s="239">
        <f>IF(ISBLANK(F40),"-",$D$48/$F$45*F40)</f>
        <v>79483010.629220337</v>
      </c>
      <c r="K40" s="221"/>
      <c r="L40" s="221"/>
      <c r="M40" s="240"/>
    </row>
    <row r="41" spans="1:13" ht="26.25" customHeight="1" x14ac:dyDescent="0.3">
      <c r="A41" s="228" t="s">
        <v>66</v>
      </c>
      <c r="B41" s="229">
        <v>1</v>
      </c>
      <c r="C41" s="241">
        <v>4</v>
      </c>
      <c r="D41" s="242"/>
      <c r="E41" s="243" t="str">
        <f>IF(ISBLANK(D41),"-",$D$48/$D$45*D41)</f>
        <v>-</v>
      </c>
      <c r="F41" s="242"/>
      <c r="G41" s="244" t="str">
        <f>IF(ISBLANK(F41),"-",$D$48/$F$45*F41)</f>
        <v>-</v>
      </c>
      <c r="K41" s="221"/>
      <c r="L41" s="221"/>
      <c r="M41" s="240"/>
    </row>
    <row r="42" spans="1:13" ht="27" customHeight="1" thickBot="1" x14ac:dyDescent="0.35">
      <c r="A42" s="228" t="s">
        <v>67</v>
      </c>
      <c r="B42" s="229">
        <v>1</v>
      </c>
      <c r="C42" s="211" t="s">
        <v>68</v>
      </c>
      <c r="D42" s="245">
        <f>AVERAGE(D38:D41)</f>
        <v>83146712</v>
      </c>
      <c r="E42" s="246">
        <f>AVERAGE(E38:E41)</f>
        <v>80000577.296987727</v>
      </c>
      <c r="F42" s="247">
        <f>AVERAGE(F38:F41)</f>
        <v>84437990</v>
      </c>
      <c r="G42" s="248">
        <f>AVERAGE(G38:G41)</f>
        <v>79420041.189545646</v>
      </c>
      <c r="H42" s="249"/>
    </row>
    <row r="43" spans="1:13" ht="26.25" customHeight="1" x14ac:dyDescent="0.4">
      <c r="A43" s="228" t="s">
        <v>69</v>
      </c>
      <c r="B43" s="229">
        <v>1</v>
      </c>
      <c r="C43" s="250" t="s">
        <v>70</v>
      </c>
      <c r="D43" s="485">
        <v>13.07</v>
      </c>
      <c r="E43" s="205"/>
      <c r="F43" s="486">
        <v>13.37</v>
      </c>
      <c r="H43" s="249"/>
    </row>
    <row r="44" spans="1:13" ht="26.25" customHeight="1" x14ac:dyDescent="0.3">
      <c r="A44" s="228" t="s">
        <v>71</v>
      </c>
      <c r="B44" s="229">
        <v>1</v>
      </c>
      <c r="C44" s="251" t="s">
        <v>72</v>
      </c>
      <c r="D44" s="252">
        <f>D43*$B$34</f>
        <v>13.07</v>
      </c>
      <c r="E44" s="237"/>
      <c r="F44" s="253">
        <f>F43*$B$34</f>
        <v>13.37</v>
      </c>
      <c r="H44" s="249"/>
    </row>
    <row r="45" spans="1:13" ht="19.5" customHeight="1" thickBot="1" x14ac:dyDescent="0.35">
      <c r="A45" s="228" t="s">
        <v>73</v>
      </c>
      <c r="B45" s="254">
        <f>(B44/B43)*(B42/B41)*(B40/B39)*(B38/B37)*B36</f>
        <v>50</v>
      </c>
      <c r="C45" s="251" t="s">
        <v>74</v>
      </c>
      <c r="D45" s="255">
        <f>D44*$B$30/100</f>
        <v>12.991580000000001</v>
      </c>
      <c r="E45" s="256"/>
      <c r="F45" s="257">
        <f>F44*$B$30/100</f>
        <v>13.28978</v>
      </c>
      <c r="H45" s="249"/>
    </row>
    <row r="46" spans="1:13" ht="19.5" customHeight="1" thickBot="1" x14ac:dyDescent="0.35">
      <c r="A46" s="667" t="s">
        <v>75</v>
      </c>
      <c r="B46" s="671"/>
      <c r="C46" s="251" t="s">
        <v>76</v>
      </c>
      <c r="D46" s="252">
        <f>D45/$B$45</f>
        <v>0.2598316</v>
      </c>
      <c r="E46" s="256"/>
      <c r="F46" s="258">
        <f>F45/$B$45</f>
        <v>0.26579560000000002</v>
      </c>
      <c r="H46" s="249"/>
    </row>
    <row r="47" spans="1:13" ht="27" customHeight="1" thickBot="1" x14ac:dyDescent="0.45">
      <c r="A47" s="669"/>
      <c r="B47" s="672"/>
      <c r="C47" s="259" t="s">
        <v>117</v>
      </c>
      <c r="D47" s="495">
        <v>0.25</v>
      </c>
      <c r="F47" s="260"/>
      <c r="H47" s="249"/>
    </row>
    <row r="48" spans="1:13" ht="18.75" x14ac:dyDescent="0.3">
      <c r="C48" s="261" t="s">
        <v>77</v>
      </c>
      <c r="D48" s="255">
        <f>D47*$B$45</f>
        <v>12.5</v>
      </c>
      <c r="F48" s="260"/>
      <c r="H48" s="249"/>
    </row>
    <row r="49" spans="1:11" ht="19.5" customHeight="1" thickBot="1" x14ac:dyDescent="0.35">
      <c r="C49" s="262" t="s">
        <v>78</v>
      </c>
      <c r="D49" s="263">
        <f>D48/B34</f>
        <v>12.5</v>
      </c>
      <c r="F49" s="238"/>
      <c r="H49" s="249"/>
    </row>
    <row r="50" spans="1:11" ht="18.75" x14ac:dyDescent="0.3">
      <c r="C50" s="264" t="s">
        <v>79</v>
      </c>
      <c r="D50" s="265">
        <f>AVERAGE(E38:E41,G38:G41)</f>
        <v>79710309.243266702</v>
      </c>
      <c r="F50" s="238"/>
      <c r="H50" s="249"/>
    </row>
    <row r="51" spans="1:11" ht="18.75" x14ac:dyDescent="0.3">
      <c r="C51" s="266" t="s">
        <v>80</v>
      </c>
      <c r="D51" s="267">
        <f>STDEV(E38:E41,G38:G41)/D50</f>
        <v>4.0302041608885342E-3</v>
      </c>
      <c r="F51" s="238"/>
    </row>
    <row r="52" spans="1:11" ht="19.5" customHeight="1" thickBot="1" x14ac:dyDescent="0.35">
      <c r="C52" s="268" t="s">
        <v>19</v>
      </c>
      <c r="D52" s="269">
        <f>COUNT(E38:E41,G38:G41)</f>
        <v>6</v>
      </c>
      <c r="F52" s="238"/>
    </row>
    <row r="54" spans="1:11" ht="18.75" x14ac:dyDescent="0.3">
      <c r="A54" s="270" t="s">
        <v>1</v>
      </c>
      <c r="B54" s="271" t="s">
        <v>81</v>
      </c>
    </row>
    <row r="55" spans="1:11" ht="18.75" x14ac:dyDescent="0.3">
      <c r="A55" s="205" t="s">
        <v>82</v>
      </c>
      <c r="B55" s="272" t="str">
        <f>B21</f>
        <v>Each film coated tablet contains 20 mg Tadalfil</v>
      </c>
    </row>
    <row r="56" spans="1:11" ht="26.25" customHeight="1" x14ac:dyDescent="0.3">
      <c r="A56" s="272" t="s">
        <v>83</v>
      </c>
      <c r="B56" s="212">
        <v>20</v>
      </c>
      <c r="C56" s="205" t="str">
        <f>B20</f>
        <v>Tadalfil 20 mg</v>
      </c>
      <c r="H56" s="237"/>
    </row>
    <row r="57" spans="1:11" ht="18.75" x14ac:dyDescent="0.3">
      <c r="A57" s="272" t="s">
        <v>84</v>
      </c>
      <c r="B57" s="273">
        <f>[2]Uniformity!C46</f>
        <v>362.52800000000002</v>
      </c>
      <c r="H57" s="237"/>
    </row>
    <row r="58" spans="1:11" ht="19.5" customHeight="1" thickBot="1" x14ac:dyDescent="0.35">
      <c r="H58" s="237"/>
    </row>
    <row r="59" spans="1:11" s="216" customFormat="1" ht="27" customHeight="1" thickBot="1" x14ac:dyDescent="0.3">
      <c r="A59" s="226" t="s">
        <v>118</v>
      </c>
      <c r="B59" s="227">
        <v>100</v>
      </c>
      <c r="C59" s="205"/>
      <c r="D59" s="274" t="s">
        <v>85</v>
      </c>
      <c r="E59" s="275" t="s">
        <v>60</v>
      </c>
      <c r="F59" s="275" t="s">
        <v>61</v>
      </c>
      <c r="G59" s="275" t="s">
        <v>86</v>
      </c>
      <c r="H59" s="276" t="s">
        <v>87</v>
      </c>
      <c r="K59" s="215"/>
    </row>
    <row r="60" spans="1:11" s="216" customFormat="1" ht="26.25" customHeight="1" x14ac:dyDescent="0.4">
      <c r="A60" s="228" t="s">
        <v>112</v>
      </c>
      <c r="B60" s="229">
        <v>1</v>
      </c>
      <c r="C60" s="674" t="s">
        <v>88</v>
      </c>
      <c r="D60" s="650">
        <v>420.45</v>
      </c>
      <c r="E60" s="277">
        <v>1</v>
      </c>
      <c r="F60" s="512">
        <v>70939757</v>
      </c>
      <c r="G60" s="278">
        <f>IF(ISBLANK(F60),"-",(F60/$D$50*$D$47*$B$68)*($B$57/$D$60))</f>
        <v>19.184143283302166</v>
      </c>
      <c r="H60" s="279">
        <f t="shared" ref="H60:H71" si="0">IF(ISBLANK(F60),"-",G60/$B$56)</f>
        <v>0.95920716416510832</v>
      </c>
      <c r="K60" s="215"/>
    </row>
    <row r="61" spans="1:11" s="216" customFormat="1" ht="26.25" customHeight="1" x14ac:dyDescent="0.4">
      <c r="A61" s="228" t="s">
        <v>89</v>
      </c>
      <c r="B61" s="229">
        <v>1</v>
      </c>
      <c r="C61" s="673"/>
      <c r="D61" s="651"/>
      <c r="E61" s="280">
        <v>2</v>
      </c>
      <c r="F61" s="516">
        <v>71677213</v>
      </c>
      <c r="G61" s="282">
        <f>IF(ISBLANK(F61),"-",(F61/$D$50*$D$47*$B$68)*($B$57/$D$60))</f>
        <v>19.383572519705258</v>
      </c>
      <c r="H61" s="283">
        <f t="shared" si="0"/>
        <v>0.96917862598526283</v>
      </c>
      <c r="K61" s="215"/>
    </row>
    <row r="62" spans="1:11" s="216" customFormat="1" ht="26.25" customHeight="1" x14ac:dyDescent="0.4">
      <c r="A62" s="228" t="s">
        <v>90</v>
      </c>
      <c r="B62" s="229">
        <v>1</v>
      </c>
      <c r="C62" s="673"/>
      <c r="D62" s="651"/>
      <c r="E62" s="280">
        <v>3</v>
      </c>
      <c r="F62" s="516">
        <v>72126584</v>
      </c>
      <c r="G62" s="282">
        <f>IF(ISBLANK(F62),"-",(F62/$D$50*$D$47*$B$68)*($B$57/$D$60))</f>
        <v>19.505095316172696</v>
      </c>
      <c r="H62" s="283">
        <f t="shared" si="0"/>
        <v>0.97525476580863479</v>
      </c>
      <c r="K62" s="215"/>
    </row>
    <row r="63" spans="1:11" ht="27" customHeight="1" thickBot="1" x14ac:dyDescent="0.45">
      <c r="A63" s="228" t="s">
        <v>91</v>
      </c>
      <c r="B63" s="229">
        <v>1</v>
      </c>
      <c r="C63" s="685"/>
      <c r="D63" s="652"/>
      <c r="E63" s="284">
        <v>4</v>
      </c>
      <c r="F63" s="520"/>
      <c r="G63" s="282" t="str">
        <f>IF(ISBLANK(F63),"-",(F63/$D$50*$D$47*$B$68)*($B$57/$D$60))</f>
        <v>-</v>
      </c>
      <c r="H63" s="283" t="str">
        <f t="shared" si="0"/>
        <v>-</v>
      </c>
    </row>
    <row r="64" spans="1:11" ht="26.25" customHeight="1" x14ac:dyDescent="0.4">
      <c r="A64" s="228" t="s">
        <v>92</v>
      </c>
      <c r="B64" s="229">
        <v>1</v>
      </c>
      <c r="C64" s="674" t="s">
        <v>93</v>
      </c>
      <c r="D64" s="650">
        <v>436.01</v>
      </c>
      <c r="E64" s="277">
        <v>1</v>
      </c>
      <c r="F64" s="512">
        <v>74143451</v>
      </c>
      <c r="G64" s="285">
        <f>IF(ISBLANK(F64),"-",(F64/$D$50*$D$47*$B$68)*($B$57/$D$64))</f>
        <v>19.334966150436401</v>
      </c>
      <c r="H64" s="286">
        <f t="shared" si="0"/>
        <v>0.96674830752182006</v>
      </c>
    </row>
    <row r="65" spans="1:8" ht="26.25" customHeight="1" x14ac:dyDescent="0.4">
      <c r="A65" s="228" t="s">
        <v>94</v>
      </c>
      <c r="B65" s="229">
        <v>1</v>
      </c>
      <c r="C65" s="673"/>
      <c r="D65" s="651"/>
      <c r="E65" s="280">
        <v>2</v>
      </c>
      <c r="F65" s="516">
        <v>74094164</v>
      </c>
      <c r="G65" s="287">
        <f>IF(ISBLANK(F65),"-",(F65/$D$50*$D$47*$B$68)*($B$57/$D$64))</f>
        <v>19.322113194931855</v>
      </c>
      <c r="H65" s="288">
        <f t="shared" si="0"/>
        <v>0.96610565974659279</v>
      </c>
    </row>
    <row r="66" spans="1:8" ht="26.25" customHeight="1" x14ac:dyDescent="0.4">
      <c r="A66" s="228" t="s">
        <v>95</v>
      </c>
      <c r="B66" s="229">
        <v>1</v>
      </c>
      <c r="C66" s="673"/>
      <c r="D66" s="651"/>
      <c r="E66" s="280">
        <v>3</v>
      </c>
      <c r="F66" s="516">
        <v>73763753</v>
      </c>
      <c r="G66" s="287">
        <f>IF(ISBLANK(F66),"-",(F66/$D$50*$D$47*$B$68)*($B$57/$D$64))</f>
        <v>19.23594934074692</v>
      </c>
      <c r="H66" s="288">
        <f t="shared" si="0"/>
        <v>0.96179746703734603</v>
      </c>
    </row>
    <row r="67" spans="1:8" ht="27" customHeight="1" thickBot="1" x14ac:dyDescent="0.45">
      <c r="A67" s="228" t="s">
        <v>96</v>
      </c>
      <c r="B67" s="229">
        <v>1</v>
      </c>
      <c r="C67" s="685"/>
      <c r="D67" s="652"/>
      <c r="E67" s="284">
        <v>4</v>
      </c>
      <c r="F67" s="520"/>
      <c r="G67" s="289" t="str">
        <f>IF(ISBLANK(F67),"-",(F67/$D$50*$D$47*$B$68)*($B$57/$D$64))</f>
        <v>-</v>
      </c>
      <c r="H67" s="290" t="str">
        <f t="shared" si="0"/>
        <v>-</v>
      </c>
    </row>
    <row r="68" spans="1:8" ht="21.75" customHeight="1" x14ac:dyDescent="0.4">
      <c r="A68" s="228" t="s">
        <v>97</v>
      </c>
      <c r="B68" s="254">
        <f>(B67/B66)*(B65/B64)*(B63/B62)*(B61/B60)*B59</f>
        <v>100</v>
      </c>
      <c r="C68" s="674" t="s">
        <v>98</v>
      </c>
      <c r="D68" s="650">
        <v>439.32</v>
      </c>
      <c r="E68" s="277">
        <v>1</v>
      </c>
      <c r="F68" s="512">
        <v>74733753</v>
      </c>
      <c r="G68" s="285">
        <f>IF(ISBLANK(F68),"-",(F68/$D$50*$D$47*$B$68)*($B$57/$D$68))</f>
        <v>19.342067170698858</v>
      </c>
      <c r="H68" s="283">
        <f t="shared" si="0"/>
        <v>0.96710335853494289</v>
      </c>
    </row>
    <row r="69" spans="1:8" ht="21.75" customHeight="1" thickBot="1" x14ac:dyDescent="0.45">
      <c r="A69" s="291" t="s">
        <v>146</v>
      </c>
      <c r="B69" s="292">
        <f>D47*B68/B56*B57</f>
        <v>453.16</v>
      </c>
      <c r="C69" s="673"/>
      <c r="D69" s="651"/>
      <c r="E69" s="280">
        <v>2</v>
      </c>
      <c r="F69" s="516">
        <v>74240078</v>
      </c>
      <c r="G69" s="287">
        <f>IF(ISBLANK(F69),"-",(F69/$D$50*$D$47*$B$68)*($B$57/$D$68))</f>
        <v>19.214297660575436</v>
      </c>
      <c r="H69" s="283">
        <f t="shared" si="0"/>
        <v>0.96071488302877184</v>
      </c>
    </row>
    <row r="70" spans="1:8" ht="22.5" customHeight="1" x14ac:dyDescent="0.4">
      <c r="A70" s="667" t="s">
        <v>75</v>
      </c>
      <c r="B70" s="671"/>
      <c r="C70" s="673"/>
      <c r="D70" s="651"/>
      <c r="E70" s="280">
        <v>3</v>
      </c>
      <c r="F70" s="516">
        <v>74834317</v>
      </c>
      <c r="G70" s="287">
        <f>IF(ISBLANK(F70),"-",(F70/$D$50*$D$47*$B$68)*($B$57/$D$68))</f>
        <v>19.368094441709243</v>
      </c>
      <c r="H70" s="283">
        <f t="shared" si="0"/>
        <v>0.96840472208546213</v>
      </c>
    </row>
    <row r="71" spans="1:8" ht="21.75" customHeight="1" thickBot="1" x14ac:dyDescent="0.45">
      <c r="A71" s="669"/>
      <c r="B71" s="672"/>
      <c r="C71" s="686"/>
      <c r="D71" s="652"/>
      <c r="E71" s="284">
        <v>4</v>
      </c>
      <c r="F71" s="520"/>
      <c r="G71" s="289" t="str">
        <f>IF(ISBLANK(F71),"-",(F71/$D$50*$D$47*$B$68)*($B$57/$D$68))</f>
        <v>-</v>
      </c>
      <c r="H71" s="293" t="str">
        <f t="shared" si="0"/>
        <v>-</v>
      </c>
    </row>
    <row r="72" spans="1:8" ht="26.25" customHeight="1" x14ac:dyDescent="0.3">
      <c r="A72" s="237"/>
      <c r="B72" s="237"/>
      <c r="C72" s="237"/>
      <c r="D72" s="237"/>
      <c r="E72" s="237"/>
      <c r="F72" s="237"/>
      <c r="G72" s="294" t="s">
        <v>68</v>
      </c>
      <c r="H72" s="295">
        <f>AVERAGE(H60:H71)</f>
        <v>0.96605721710154902</v>
      </c>
    </row>
    <row r="73" spans="1:8" ht="26.25" customHeight="1" x14ac:dyDescent="0.3">
      <c r="C73" s="237"/>
      <c r="D73" s="237"/>
      <c r="E73" s="237"/>
      <c r="F73" s="237"/>
      <c r="G73" s="266" t="s">
        <v>80</v>
      </c>
      <c r="H73" s="296">
        <f>STDEV(H60:H71)/H72</f>
        <v>5.1109968885461321E-3</v>
      </c>
    </row>
    <row r="74" spans="1:8" ht="27" customHeight="1" thickBot="1" x14ac:dyDescent="0.35">
      <c r="A74" s="237"/>
      <c r="B74" s="237"/>
      <c r="C74" s="237"/>
      <c r="D74" s="237"/>
      <c r="E74" s="256"/>
      <c r="F74" s="237"/>
      <c r="G74" s="268" t="s">
        <v>19</v>
      </c>
      <c r="H74" s="297">
        <f>COUNT(H60:H71)</f>
        <v>9</v>
      </c>
    </row>
    <row r="75" spans="1:8" ht="18.75" x14ac:dyDescent="0.3">
      <c r="A75" s="237"/>
      <c r="B75" s="237"/>
      <c r="C75" s="237"/>
      <c r="D75" s="237"/>
      <c r="E75" s="256"/>
      <c r="F75" s="237"/>
      <c r="G75" s="211"/>
      <c r="H75" s="217"/>
    </row>
    <row r="76" spans="1:8" ht="26.25" customHeight="1" x14ac:dyDescent="0.3">
      <c r="A76" s="210" t="s">
        <v>125</v>
      </c>
      <c r="B76" s="211" t="s">
        <v>100</v>
      </c>
      <c r="C76" s="673" t="str">
        <f>B20</f>
        <v>Tadalfil 20 mg</v>
      </c>
      <c r="D76" s="673"/>
      <c r="E76" s="205" t="s">
        <v>101</v>
      </c>
      <c r="F76" s="205"/>
      <c r="G76" s="298">
        <f>H72</f>
        <v>0.96605721710154902</v>
      </c>
      <c r="H76" s="217"/>
    </row>
    <row r="77" spans="1:8" ht="18.75" x14ac:dyDescent="0.3">
      <c r="A77" s="209" t="s">
        <v>102</v>
      </c>
      <c r="B77" s="209" t="s">
        <v>103</v>
      </c>
    </row>
    <row r="78" spans="1:8" ht="18.75" x14ac:dyDescent="0.3">
      <c r="A78" s="209"/>
      <c r="B78" s="209"/>
    </row>
    <row r="79" spans="1:8" ht="26.25" customHeight="1" x14ac:dyDescent="0.3">
      <c r="A79" s="210" t="s">
        <v>4</v>
      </c>
      <c r="B79" s="683" t="str">
        <f>B26</f>
        <v xml:space="preserve">Tadalfil </v>
      </c>
      <c r="C79" s="683"/>
    </row>
    <row r="80" spans="1:8" ht="26.25" customHeight="1" x14ac:dyDescent="0.3">
      <c r="A80" s="211" t="s">
        <v>47</v>
      </c>
      <c r="B80" s="684" t="str">
        <f>B27</f>
        <v>T1-2</v>
      </c>
      <c r="C80" s="684"/>
    </row>
    <row r="81" spans="1:11" ht="27" customHeight="1" thickBot="1" x14ac:dyDescent="0.35">
      <c r="A81" s="211" t="s">
        <v>6</v>
      </c>
      <c r="B81" s="212">
        <f>B28</f>
        <v>99.4</v>
      </c>
    </row>
    <row r="82" spans="1:11" s="216" customFormat="1" ht="27" customHeight="1" thickBot="1" x14ac:dyDescent="0.3">
      <c r="A82" s="211" t="s">
        <v>48</v>
      </c>
      <c r="B82" s="212">
        <f>B29</f>
        <v>0</v>
      </c>
      <c r="C82" s="677" t="s">
        <v>145</v>
      </c>
      <c r="D82" s="678"/>
      <c r="E82" s="678"/>
      <c r="F82" s="678"/>
      <c r="G82" s="679"/>
      <c r="H82" s="214"/>
      <c r="I82" s="215"/>
      <c r="J82" s="215"/>
      <c r="K82" s="215"/>
    </row>
    <row r="83" spans="1:11" s="216" customFormat="1" ht="19.5" customHeight="1" thickBot="1" x14ac:dyDescent="0.3">
      <c r="A83" s="211" t="s">
        <v>50</v>
      </c>
      <c r="B83" s="217">
        <f>B81-B82</f>
        <v>99.4</v>
      </c>
      <c r="C83" s="218"/>
      <c r="D83" s="218"/>
      <c r="E83" s="218"/>
      <c r="F83" s="218"/>
      <c r="G83" s="219"/>
      <c r="H83" s="214"/>
      <c r="I83" s="215"/>
      <c r="J83" s="215"/>
      <c r="K83" s="215"/>
    </row>
    <row r="84" spans="1:11" s="216" customFormat="1" ht="27" customHeight="1" thickBot="1" x14ac:dyDescent="0.3">
      <c r="A84" s="211" t="s">
        <v>51</v>
      </c>
      <c r="B84" s="220">
        <v>1</v>
      </c>
      <c r="C84" s="680" t="s">
        <v>52</v>
      </c>
      <c r="D84" s="681"/>
      <c r="E84" s="681"/>
      <c r="F84" s="681"/>
      <c r="G84" s="681"/>
      <c r="H84" s="682"/>
      <c r="I84" s="215"/>
      <c r="J84" s="215"/>
      <c r="K84" s="215"/>
    </row>
    <row r="85" spans="1:11" s="216" customFormat="1" ht="27" customHeight="1" thickBot="1" x14ac:dyDescent="0.3">
      <c r="A85" s="211" t="s">
        <v>53</v>
      </c>
      <c r="B85" s="220">
        <v>1</v>
      </c>
      <c r="C85" s="680" t="s">
        <v>54</v>
      </c>
      <c r="D85" s="681"/>
      <c r="E85" s="681"/>
      <c r="F85" s="681"/>
      <c r="G85" s="681"/>
      <c r="H85" s="682"/>
      <c r="I85" s="215"/>
      <c r="J85" s="215"/>
      <c r="K85" s="215"/>
    </row>
    <row r="86" spans="1:11" s="216" customFormat="1" ht="18.75" x14ac:dyDescent="0.25">
      <c r="A86" s="211"/>
      <c r="B86" s="223"/>
      <c r="C86" s="224"/>
      <c r="D86" s="224"/>
      <c r="E86" s="224"/>
      <c r="F86" s="224"/>
      <c r="G86" s="224"/>
      <c r="H86" s="224"/>
      <c r="I86" s="215"/>
      <c r="J86" s="215"/>
      <c r="K86" s="215"/>
    </row>
    <row r="87" spans="1:11" ht="18.75" x14ac:dyDescent="0.3">
      <c r="A87" s="211" t="s">
        <v>55</v>
      </c>
      <c r="B87" s="225">
        <f>B84/B85</f>
        <v>1</v>
      </c>
      <c r="C87" s="205" t="s">
        <v>56</v>
      </c>
      <c r="H87" s="214"/>
    </row>
    <row r="88" spans="1:11" ht="19.5" customHeight="1" thickBot="1" x14ac:dyDescent="0.35">
      <c r="A88" s="211"/>
      <c r="B88" s="225"/>
      <c r="H88" s="214"/>
    </row>
    <row r="89" spans="1:11" ht="27" customHeight="1" thickBot="1" x14ac:dyDescent="0.45">
      <c r="A89" s="226" t="s">
        <v>116</v>
      </c>
      <c r="B89" s="459">
        <v>50</v>
      </c>
      <c r="D89" s="299" t="s">
        <v>57</v>
      </c>
      <c r="E89" s="300"/>
      <c r="F89" s="675" t="s">
        <v>58</v>
      </c>
      <c r="G89" s="676"/>
    </row>
    <row r="90" spans="1:11" ht="26.25" customHeight="1" x14ac:dyDescent="0.4">
      <c r="A90" s="228" t="s">
        <v>59</v>
      </c>
      <c r="B90" s="461">
        <v>2</v>
      </c>
      <c r="C90" s="230" t="s">
        <v>60</v>
      </c>
      <c r="D90" s="301" t="s">
        <v>61</v>
      </c>
      <c r="E90" s="232" t="s">
        <v>62</v>
      </c>
      <c r="F90" s="301" t="s">
        <v>61</v>
      </c>
      <c r="G90" s="233" t="s">
        <v>62</v>
      </c>
    </row>
    <row r="91" spans="1:11" ht="26.25" customHeight="1" x14ac:dyDescent="0.4">
      <c r="A91" s="228" t="s">
        <v>63</v>
      </c>
      <c r="B91" s="461">
        <v>20</v>
      </c>
      <c r="C91" s="234">
        <v>1</v>
      </c>
      <c r="D91" s="467">
        <v>8442844</v>
      </c>
      <c r="E91" s="303">
        <f>IF(ISBLANK(D91),"-",$D$101/$D$98*D91)</f>
        <v>6498704.5455595087</v>
      </c>
      <c r="F91" s="467">
        <v>8667763</v>
      </c>
      <c r="G91" s="304">
        <f>IF(ISBLANK(F91),"-",$D$101/$F$98*F91)</f>
        <v>6522126.7771174544</v>
      </c>
    </row>
    <row r="92" spans="1:11" ht="26.25" customHeight="1" x14ac:dyDescent="0.4">
      <c r="A92" s="228" t="s">
        <v>64</v>
      </c>
      <c r="B92" s="229">
        <v>1</v>
      </c>
      <c r="C92" s="237">
        <v>2</v>
      </c>
      <c r="D92" s="471">
        <v>8389368</v>
      </c>
      <c r="E92" s="305">
        <f>IF(ISBLANK(D92),"-",$D$101/$D$98*D92)</f>
        <v>6457542.5006042374</v>
      </c>
      <c r="F92" s="471">
        <v>8648708</v>
      </c>
      <c r="G92" s="306">
        <f>IF(ISBLANK(F92),"-",$D$101/$F$98*F92)</f>
        <v>6507788.6917616399</v>
      </c>
    </row>
    <row r="93" spans="1:11" ht="26.25" customHeight="1" x14ac:dyDescent="0.4">
      <c r="A93" s="228" t="s">
        <v>65</v>
      </c>
      <c r="B93" s="229">
        <v>1</v>
      </c>
      <c r="C93" s="237">
        <v>3</v>
      </c>
      <c r="D93" s="471">
        <v>8412460</v>
      </c>
      <c r="E93" s="305">
        <f>IF(ISBLANK(D93),"-",$D$101/$D$98*D93)</f>
        <v>6475317.089992133</v>
      </c>
      <c r="F93" s="471">
        <v>8743225</v>
      </c>
      <c r="G93" s="306">
        <f>IF(ISBLANK(F93),"-",$D$101/$F$98*F93)</f>
        <v>6578908.7554496769</v>
      </c>
    </row>
    <row r="94" spans="1:11" ht="26.25" customHeight="1" x14ac:dyDescent="0.3">
      <c r="A94" s="228" t="s">
        <v>66</v>
      </c>
      <c r="B94" s="229">
        <v>1</v>
      </c>
      <c r="C94" s="241">
        <v>4</v>
      </c>
      <c r="D94" s="307"/>
      <c r="E94" s="308" t="str">
        <f>IF(ISBLANK(D94),"-",$D$101/$D$98*D94)</f>
        <v>-</v>
      </c>
      <c r="F94" s="309"/>
      <c r="G94" s="310" t="str">
        <f>IF(ISBLANK(F94),"-",$D$101/$F$98*F94)</f>
        <v>-</v>
      </c>
    </row>
    <row r="95" spans="1:11" ht="27" customHeight="1" thickBot="1" x14ac:dyDescent="0.35">
      <c r="A95" s="228" t="s">
        <v>67</v>
      </c>
      <c r="B95" s="229">
        <v>1</v>
      </c>
      <c r="C95" s="211" t="s">
        <v>68</v>
      </c>
      <c r="D95" s="245">
        <f>AVERAGE(D91:D94)</f>
        <v>8414890.666666666</v>
      </c>
      <c r="E95" s="246">
        <f>AVERAGE(E91:E94)</f>
        <v>6477188.0453852927</v>
      </c>
      <c r="F95" s="311">
        <f>AVERAGE(F91:F94)</f>
        <v>8686565.333333334</v>
      </c>
      <c r="G95" s="312">
        <f>AVERAGE(G91:G94)</f>
        <v>6536274.7414429234</v>
      </c>
    </row>
    <row r="96" spans="1:11" ht="26.25" customHeight="1" x14ac:dyDescent="0.4">
      <c r="A96" s="228" t="s">
        <v>69</v>
      </c>
      <c r="B96" s="229">
        <v>1</v>
      </c>
      <c r="C96" s="250" t="s">
        <v>70</v>
      </c>
      <c r="D96" s="485">
        <v>13.07</v>
      </c>
      <c r="E96" s="205"/>
      <c r="F96" s="486">
        <v>13.37</v>
      </c>
    </row>
    <row r="97" spans="1:9" ht="26.25" customHeight="1" x14ac:dyDescent="0.3">
      <c r="A97" s="228" t="s">
        <v>71</v>
      </c>
      <c r="B97" s="229">
        <v>1</v>
      </c>
      <c r="C97" s="251" t="s">
        <v>72</v>
      </c>
      <c r="D97" s="252">
        <f>D96*$B$87</f>
        <v>13.07</v>
      </c>
      <c r="E97" s="237"/>
      <c r="F97" s="253">
        <f>F96*$B$87</f>
        <v>13.37</v>
      </c>
    </row>
    <row r="98" spans="1:9" ht="19.5" customHeight="1" thickBot="1" x14ac:dyDescent="0.35">
      <c r="A98" s="291" t="s">
        <v>73</v>
      </c>
      <c r="B98" s="313">
        <f>(B97/B96)*(B95/B94)*(B93/B92)*(B91/B90)*B89</f>
        <v>500</v>
      </c>
      <c r="C98" s="251" t="s">
        <v>74</v>
      </c>
      <c r="D98" s="255">
        <f>D97*$B$83/100</f>
        <v>12.991580000000001</v>
      </c>
      <c r="E98" s="256"/>
      <c r="F98" s="257">
        <f>F97*$B$83/100</f>
        <v>13.28978</v>
      </c>
    </row>
    <row r="99" spans="1:9" ht="19.5" customHeight="1" thickBot="1" x14ac:dyDescent="0.35">
      <c r="A99" s="667" t="s">
        <v>75</v>
      </c>
      <c r="B99" s="671"/>
      <c r="C99" s="251" t="s">
        <v>76</v>
      </c>
      <c r="D99" s="314">
        <f>D98/$B$98</f>
        <v>2.5983160000000002E-2</v>
      </c>
      <c r="E99" s="315"/>
      <c r="F99" s="316">
        <f>F98/$B$98</f>
        <v>2.6579560000000002E-2</v>
      </c>
      <c r="G99" s="317"/>
      <c r="H99" s="249"/>
    </row>
    <row r="100" spans="1:9" ht="19.5" customHeight="1" thickBot="1" x14ac:dyDescent="0.35">
      <c r="A100" s="669"/>
      <c r="B100" s="672"/>
      <c r="C100" s="261" t="s">
        <v>117</v>
      </c>
      <c r="D100" s="318">
        <f>$B$56/$B$116</f>
        <v>0.02</v>
      </c>
      <c r="F100" s="260"/>
      <c r="G100" s="319"/>
      <c r="H100" s="249"/>
    </row>
    <row r="101" spans="1:9" ht="18.75" x14ac:dyDescent="0.3">
      <c r="C101" s="261" t="s">
        <v>77</v>
      </c>
      <c r="D101" s="252">
        <f>D100*$B$98</f>
        <v>10</v>
      </c>
      <c r="F101" s="260"/>
      <c r="G101" s="317"/>
      <c r="H101" s="249"/>
    </row>
    <row r="102" spans="1:9" ht="19.5" customHeight="1" thickBot="1" x14ac:dyDescent="0.35">
      <c r="C102" s="262" t="s">
        <v>78</v>
      </c>
      <c r="D102" s="320">
        <f>D101/B34</f>
        <v>10</v>
      </c>
      <c r="F102" s="238"/>
      <c r="G102" s="317"/>
      <c r="H102" s="249"/>
      <c r="I102" s="321"/>
    </row>
    <row r="103" spans="1:9" ht="18.75" x14ac:dyDescent="0.3">
      <c r="C103" s="264" t="s">
        <v>108</v>
      </c>
      <c r="D103" s="265">
        <f>AVERAGE(E91:E94,G91:G94)</f>
        <v>6506731.3934141072</v>
      </c>
      <c r="F103" s="238"/>
      <c r="G103" s="319"/>
      <c r="H103" s="249"/>
      <c r="I103" s="322"/>
    </row>
    <row r="104" spans="1:9" ht="18.75" x14ac:dyDescent="0.3">
      <c r="C104" s="266" t="s">
        <v>80</v>
      </c>
      <c r="D104" s="323">
        <f>STDEV(E91:E94,G91:G94)/D103</f>
        <v>6.4908127398973781E-3</v>
      </c>
      <c r="F104" s="238"/>
      <c r="G104" s="317"/>
      <c r="H104" s="249"/>
      <c r="I104" s="322"/>
    </row>
    <row r="105" spans="1:9" ht="19.5" customHeight="1" thickBot="1" x14ac:dyDescent="0.35">
      <c r="C105" s="268" t="s">
        <v>19</v>
      </c>
      <c r="D105" s="324">
        <f>COUNT(E91:E94,G91:G94)</f>
        <v>6</v>
      </c>
      <c r="F105" s="238"/>
      <c r="G105" s="317"/>
      <c r="H105" s="249"/>
      <c r="I105" s="322"/>
    </row>
    <row r="106" spans="1:9" ht="19.5" customHeight="1" thickBot="1" x14ac:dyDescent="0.35">
      <c r="A106" s="270"/>
      <c r="B106" s="270"/>
      <c r="C106" s="270"/>
      <c r="D106" s="270"/>
      <c r="E106" s="270"/>
    </row>
    <row r="107" spans="1:9" ht="26.25" customHeight="1" x14ac:dyDescent="0.3">
      <c r="A107" s="226" t="s">
        <v>109</v>
      </c>
      <c r="B107" s="227">
        <v>1000</v>
      </c>
      <c r="C107" s="299" t="s">
        <v>132</v>
      </c>
      <c r="D107" s="325" t="s">
        <v>61</v>
      </c>
      <c r="E107" s="326" t="s">
        <v>110</v>
      </c>
      <c r="F107" s="327" t="s">
        <v>111</v>
      </c>
    </row>
    <row r="108" spans="1:9" ht="26.25" customHeight="1" x14ac:dyDescent="0.4">
      <c r="A108" s="228" t="s">
        <v>112</v>
      </c>
      <c r="B108" s="229">
        <v>1</v>
      </c>
      <c r="C108" s="328">
        <v>1</v>
      </c>
      <c r="D108" s="578">
        <v>4875226</v>
      </c>
      <c r="E108" s="329">
        <f t="shared" ref="E108:E113" si="1">IF(ISBLANK(D108),"-",D108/$D$103*$D$100*$B$116)</f>
        <v>14.9851767507555</v>
      </c>
      <c r="F108" s="330">
        <f t="shared" ref="F108:F113" si="2">IF(ISBLANK(D108), "-", E108/$B$56)</f>
        <v>0.749258837537775</v>
      </c>
    </row>
    <row r="109" spans="1:9" ht="26.25" customHeight="1" x14ac:dyDescent="0.4">
      <c r="A109" s="228" t="s">
        <v>89</v>
      </c>
      <c r="B109" s="229">
        <v>1</v>
      </c>
      <c r="C109" s="328">
        <v>2</v>
      </c>
      <c r="D109" s="578">
        <v>4456290</v>
      </c>
      <c r="E109" s="331">
        <f t="shared" si="1"/>
        <v>13.697476445732818</v>
      </c>
      <c r="F109" s="332">
        <f t="shared" si="2"/>
        <v>0.68487382228664084</v>
      </c>
    </row>
    <row r="110" spans="1:9" ht="26.25" customHeight="1" x14ac:dyDescent="0.4">
      <c r="A110" s="228" t="s">
        <v>90</v>
      </c>
      <c r="B110" s="229">
        <v>1</v>
      </c>
      <c r="C110" s="328">
        <v>3</v>
      </c>
      <c r="D110" s="578">
        <v>4240719</v>
      </c>
      <c r="E110" s="331">
        <f t="shared" si="1"/>
        <v>13.034867258520345</v>
      </c>
      <c r="F110" s="332">
        <f t="shared" si="2"/>
        <v>0.6517433629260172</v>
      </c>
    </row>
    <row r="111" spans="1:9" ht="26.25" customHeight="1" x14ac:dyDescent="0.4">
      <c r="A111" s="228" t="s">
        <v>91</v>
      </c>
      <c r="B111" s="229">
        <v>1</v>
      </c>
      <c r="C111" s="328">
        <v>4</v>
      </c>
      <c r="D111" s="578">
        <v>4957214</v>
      </c>
      <c r="E111" s="331">
        <f t="shared" si="1"/>
        <v>15.237186538904998</v>
      </c>
      <c r="F111" s="332">
        <f t="shared" si="2"/>
        <v>0.76185932694524994</v>
      </c>
    </row>
    <row r="112" spans="1:9" ht="26.25" customHeight="1" x14ac:dyDescent="0.4">
      <c r="A112" s="228" t="s">
        <v>92</v>
      </c>
      <c r="B112" s="229">
        <v>1</v>
      </c>
      <c r="C112" s="328">
        <v>5</v>
      </c>
      <c r="D112" s="578">
        <v>4249703</v>
      </c>
      <c r="E112" s="331">
        <f t="shared" si="1"/>
        <v>13.062481737916539</v>
      </c>
      <c r="F112" s="332">
        <f t="shared" si="2"/>
        <v>0.65312408689582691</v>
      </c>
    </row>
    <row r="113" spans="1:11" ht="26.25" customHeight="1" x14ac:dyDescent="0.4">
      <c r="A113" s="228" t="s">
        <v>94</v>
      </c>
      <c r="B113" s="229">
        <v>1</v>
      </c>
      <c r="C113" s="333">
        <v>6</v>
      </c>
      <c r="D113" s="583">
        <v>4477450</v>
      </c>
      <c r="E113" s="334">
        <f t="shared" si="1"/>
        <v>13.762516782333826</v>
      </c>
      <c r="F113" s="335">
        <f t="shared" si="2"/>
        <v>0.68812583911669134</v>
      </c>
    </row>
    <row r="114" spans="1:11" ht="26.25" customHeight="1" x14ac:dyDescent="0.3">
      <c r="A114" s="228" t="s">
        <v>95</v>
      </c>
      <c r="B114" s="229">
        <v>1</v>
      </c>
      <c r="C114" s="328"/>
      <c r="D114" s="237"/>
      <c r="E114" s="205"/>
      <c r="F114" s="336"/>
    </row>
    <row r="115" spans="1:11" ht="26.25" customHeight="1" x14ac:dyDescent="0.3">
      <c r="A115" s="228" t="s">
        <v>96</v>
      </c>
      <c r="B115" s="229">
        <v>1</v>
      </c>
      <c r="C115" s="328"/>
      <c r="D115" s="337"/>
      <c r="E115" s="338" t="s">
        <v>68</v>
      </c>
      <c r="F115" s="339">
        <f>AVERAGE(F108:F113)</f>
        <v>0.69816421261803363</v>
      </c>
    </row>
    <row r="116" spans="1:11" ht="27" customHeight="1" thickBot="1" x14ac:dyDescent="0.35">
      <c r="A116" s="228" t="s">
        <v>97</v>
      </c>
      <c r="B116" s="254">
        <f>(B115/B114)*(B113/B112)*(B111/B110)*(B109/B108)*B107</f>
        <v>1000</v>
      </c>
      <c r="C116" s="340"/>
      <c r="D116" s="341"/>
      <c r="E116" s="211" t="s">
        <v>80</v>
      </c>
      <c r="F116" s="342">
        <f>STDEV(F108:F113)/F115</f>
        <v>6.7573818276976533E-2</v>
      </c>
    </row>
    <row r="117" spans="1:11" ht="19.5" customHeight="1" thickBot="1" x14ac:dyDescent="0.35">
      <c r="A117" s="667" t="s">
        <v>75</v>
      </c>
      <c r="B117" s="671"/>
      <c r="C117" s="343"/>
      <c r="D117" s="344"/>
      <c r="E117" s="345" t="s">
        <v>19</v>
      </c>
      <c r="F117" s="346">
        <f>COUNT(F108:F113)</f>
        <v>6</v>
      </c>
      <c r="I117" s="322"/>
    </row>
    <row r="118" spans="1:11" ht="19.5" customHeight="1" thickBot="1" x14ac:dyDescent="0.35">
      <c r="A118" s="669"/>
      <c r="B118" s="672"/>
      <c r="C118" s="205"/>
      <c r="D118" s="205"/>
      <c r="E118" s="205"/>
      <c r="F118" s="237"/>
      <c r="G118" s="205"/>
      <c r="H118" s="205"/>
    </row>
    <row r="119" spans="1:11" ht="18.75" x14ac:dyDescent="0.3">
      <c r="A119" s="224"/>
      <c r="B119" s="224"/>
      <c r="C119" s="205"/>
      <c r="D119" s="205"/>
      <c r="E119" s="205"/>
      <c r="F119" s="237"/>
      <c r="G119" s="205"/>
      <c r="H119" s="205"/>
    </row>
    <row r="120" spans="1:11" ht="18.75" x14ac:dyDescent="0.3">
      <c r="A120" s="347" t="s">
        <v>136</v>
      </c>
      <c r="B120" s="347" t="s">
        <v>147</v>
      </c>
      <c r="C120" s="240"/>
      <c r="D120" s="240"/>
      <c r="E120" s="240"/>
      <c r="F120" s="240"/>
      <c r="G120" s="240"/>
      <c r="H120" s="240"/>
    </row>
    <row r="121" spans="1:11" ht="18.75" x14ac:dyDescent="0.3">
      <c r="A121" s="347"/>
      <c r="B121" s="347"/>
      <c r="C121" s="240"/>
      <c r="D121" s="240"/>
      <c r="E121" s="240"/>
      <c r="F121" s="240"/>
      <c r="G121" s="240"/>
      <c r="H121" s="240"/>
    </row>
    <row r="122" spans="1:11" ht="26.25" x14ac:dyDescent="0.4">
      <c r="A122" s="348" t="s">
        <v>4</v>
      </c>
      <c r="B122" s="636" t="s">
        <v>152</v>
      </c>
      <c r="C122" s="636"/>
      <c r="D122" s="240"/>
      <c r="E122" s="240"/>
      <c r="F122" s="240"/>
      <c r="G122" s="240"/>
      <c r="H122" s="240"/>
    </row>
    <row r="123" spans="1:11" ht="26.25" x14ac:dyDescent="0.4">
      <c r="A123" s="350" t="s">
        <v>47</v>
      </c>
      <c r="B123" s="445" t="s">
        <v>153</v>
      </c>
      <c r="C123" s="432"/>
      <c r="D123" s="240"/>
      <c r="E123" s="240"/>
      <c r="F123" s="240"/>
      <c r="G123" s="240"/>
      <c r="H123" s="240"/>
    </row>
    <row r="124" spans="1:11" ht="19.5" customHeight="1" thickBot="1" x14ac:dyDescent="0.45">
      <c r="A124" s="350" t="s">
        <v>6</v>
      </c>
      <c r="B124" s="445">
        <v>99.4</v>
      </c>
      <c r="C124" s="432"/>
      <c r="D124" s="240"/>
      <c r="E124" s="240"/>
      <c r="F124" s="240"/>
      <c r="G124" s="240"/>
      <c r="H124" s="240"/>
    </row>
    <row r="125" spans="1:11" s="216" customFormat="1" ht="15.75" customHeight="1" thickBot="1" x14ac:dyDescent="0.35">
      <c r="A125" s="350" t="s">
        <v>48</v>
      </c>
      <c r="B125" s="349">
        <v>0</v>
      </c>
      <c r="C125" s="677" t="s">
        <v>49</v>
      </c>
      <c r="D125" s="678"/>
      <c r="E125" s="678"/>
      <c r="F125" s="678"/>
      <c r="G125" s="679"/>
      <c r="I125" s="215"/>
      <c r="J125" s="215"/>
      <c r="K125" s="215"/>
    </row>
    <row r="126" spans="1:11" s="216" customFormat="1" ht="19.5" customHeight="1" thickBot="1" x14ac:dyDescent="0.35">
      <c r="A126" s="350" t="s">
        <v>50</v>
      </c>
      <c r="B126" s="351">
        <f>B124-B125</f>
        <v>99.4</v>
      </c>
      <c r="C126" s="352"/>
      <c r="D126" s="352"/>
      <c r="E126" s="352"/>
      <c r="F126" s="352"/>
      <c r="G126" s="353"/>
      <c r="I126" s="215"/>
      <c r="J126" s="215"/>
      <c r="K126" s="215"/>
    </row>
    <row r="127" spans="1:11" s="216" customFormat="1" ht="27" customHeight="1" thickBot="1" x14ac:dyDescent="0.3">
      <c r="A127" s="211" t="s">
        <v>51</v>
      </c>
      <c r="B127" s="220">
        <v>1</v>
      </c>
      <c r="C127" s="680" t="s">
        <v>52</v>
      </c>
      <c r="D127" s="681"/>
      <c r="E127" s="681"/>
      <c r="F127" s="681"/>
      <c r="G127" s="681"/>
      <c r="H127" s="682"/>
      <c r="I127" s="215"/>
      <c r="J127" s="215"/>
      <c r="K127" s="215"/>
    </row>
    <row r="128" spans="1:11" s="216" customFormat="1" ht="27" customHeight="1" thickBot="1" x14ac:dyDescent="0.3">
      <c r="A128" s="211" t="s">
        <v>53</v>
      </c>
      <c r="B128" s="220">
        <v>1</v>
      </c>
      <c r="C128" s="680" t="s">
        <v>54</v>
      </c>
      <c r="D128" s="681"/>
      <c r="E128" s="681"/>
      <c r="F128" s="681"/>
      <c r="G128" s="681"/>
      <c r="H128" s="682"/>
      <c r="I128" s="215"/>
      <c r="J128" s="215"/>
      <c r="K128" s="215"/>
    </row>
    <row r="129" spans="1:11" s="216" customFormat="1" ht="18.75" x14ac:dyDescent="0.25">
      <c r="A129" s="211"/>
      <c r="B129" s="223"/>
      <c r="C129" s="224"/>
      <c r="D129" s="224"/>
      <c r="E129" s="224"/>
      <c r="F129" s="224"/>
      <c r="G129" s="224"/>
      <c r="H129" s="224"/>
      <c r="I129" s="215"/>
      <c r="J129" s="215"/>
      <c r="K129" s="215"/>
    </row>
    <row r="130" spans="1:11" ht="18.75" x14ac:dyDescent="0.3">
      <c r="A130" s="211" t="s">
        <v>55</v>
      </c>
      <c r="B130" s="225">
        <f>B127/B128</f>
        <v>1</v>
      </c>
      <c r="C130" s="205" t="s">
        <v>56</v>
      </c>
      <c r="H130" s="214"/>
    </row>
    <row r="131" spans="1:11" ht="19.5" customHeight="1" thickBot="1" x14ac:dyDescent="0.35">
      <c r="A131" s="347"/>
      <c r="B131" s="347"/>
      <c r="C131" s="240"/>
      <c r="D131" s="240"/>
      <c r="E131" s="240"/>
      <c r="F131" s="240"/>
      <c r="G131" s="240"/>
      <c r="H131" s="240"/>
    </row>
    <row r="132" spans="1:11" ht="27" customHeight="1" thickBot="1" x14ac:dyDescent="0.35">
      <c r="A132" s="354" t="s">
        <v>116</v>
      </c>
      <c r="B132" s="355">
        <v>50</v>
      </c>
      <c r="C132" s="240"/>
      <c r="D132" s="665" t="s">
        <v>57</v>
      </c>
      <c r="E132" s="666"/>
      <c r="F132" s="665" t="s">
        <v>58</v>
      </c>
      <c r="G132" s="666"/>
      <c r="H132" s="240"/>
    </row>
    <row r="133" spans="1:11" ht="26.25" customHeight="1" x14ac:dyDescent="0.3">
      <c r="A133" s="356" t="s">
        <v>59</v>
      </c>
      <c r="B133" s="357">
        <v>2</v>
      </c>
      <c r="C133" s="358" t="s">
        <v>134</v>
      </c>
      <c r="D133" s="359" t="s">
        <v>61</v>
      </c>
      <c r="E133" s="360" t="s">
        <v>62</v>
      </c>
      <c r="F133" s="359" t="s">
        <v>61</v>
      </c>
      <c r="G133" s="360" t="s">
        <v>62</v>
      </c>
      <c r="H133" s="240"/>
    </row>
    <row r="134" spans="1:11" ht="26.25" customHeight="1" x14ac:dyDescent="0.3">
      <c r="A134" s="356" t="s">
        <v>63</v>
      </c>
      <c r="B134" s="357">
        <v>20</v>
      </c>
      <c r="C134" s="361">
        <v>1</v>
      </c>
      <c r="D134" s="302">
        <v>7232069</v>
      </c>
      <c r="E134" s="362">
        <f>IF(ISBLANK(D134),"-",$D$144/$D$141*D134)</f>
        <v>6421644.6072729407</v>
      </c>
      <c r="F134" s="302">
        <v>8445952</v>
      </c>
      <c r="G134" s="362">
        <f>IF(ISBLANK(F134),"-",$D$144/$F$141*F134)</f>
        <v>6303363.2059418829</v>
      </c>
      <c r="H134" s="240"/>
    </row>
    <row r="135" spans="1:11" ht="26.25" customHeight="1" x14ac:dyDescent="0.3">
      <c r="A135" s="356" t="s">
        <v>64</v>
      </c>
      <c r="B135" s="357">
        <v>1</v>
      </c>
      <c r="C135" s="363">
        <v>2</v>
      </c>
      <c r="D135" s="281">
        <v>7230418</v>
      </c>
      <c r="E135" s="364">
        <f>IF(ISBLANK(D135),"-",$D$144/$D$141*D135)</f>
        <v>6420178.6180454306</v>
      </c>
      <c r="F135" s="281">
        <v>8449163</v>
      </c>
      <c r="G135" s="364">
        <f>IF(ISBLANK(F135),"-",$D$144/$F$141*F135)</f>
        <v>6305759.6319758315</v>
      </c>
      <c r="H135" s="240"/>
    </row>
    <row r="136" spans="1:11" ht="26.25" customHeight="1" x14ac:dyDescent="0.3">
      <c r="A136" s="356" t="s">
        <v>65</v>
      </c>
      <c r="B136" s="357">
        <v>1</v>
      </c>
      <c r="C136" s="363">
        <v>3</v>
      </c>
      <c r="D136" s="281">
        <v>7253511</v>
      </c>
      <c r="E136" s="364">
        <f>IF(ISBLANK(D136),"-",$D$144/$D$141*D136)</f>
        <v>6440683.8204869116</v>
      </c>
      <c r="F136" s="281">
        <v>8486318</v>
      </c>
      <c r="G136" s="364">
        <f>IF(ISBLANK(F136),"-",$D$144/$F$141*F136)</f>
        <v>6333489.06495352</v>
      </c>
      <c r="H136" s="240"/>
    </row>
    <row r="137" spans="1:11" ht="26.25" customHeight="1" x14ac:dyDescent="0.3">
      <c r="A137" s="356" t="s">
        <v>66</v>
      </c>
      <c r="B137" s="357">
        <v>1</v>
      </c>
      <c r="C137" s="365">
        <v>4</v>
      </c>
      <c r="D137" s="307"/>
      <c r="E137" s="366" t="str">
        <f>IF(ISBLANK(D137),"-",$D$144/$D$141*D137)</f>
        <v>-</v>
      </c>
      <c r="F137" s="307"/>
      <c r="G137" s="366" t="str">
        <f>IF(ISBLANK(F137),"-",$D$144/$D$141*F137)</f>
        <v>-</v>
      </c>
      <c r="H137" s="240"/>
    </row>
    <row r="138" spans="1:11" ht="27" customHeight="1" thickBot="1" x14ac:dyDescent="0.35">
      <c r="A138" s="356" t="s">
        <v>67</v>
      </c>
      <c r="B138" s="357">
        <v>1</v>
      </c>
      <c r="C138" s="350" t="s">
        <v>68</v>
      </c>
      <c r="D138" s="367">
        <f>AVERAGE(D134:D137)</f>
        <v>7238666</v>
      </c>
      <c r="E138" s="368">
        <f>AVERAGE(E134:E137)</f>
        <v>6427502.3486017613</v>
      </c>
      <c r="F138" s="367">
        <f>AVERAGE(F134:F137)</f>
        <v>8460477.666666666</v>
      </c>
      <c r="G138" s="369">
        <f>AVERAGE(G134:G137)</f>
        <v>6314203.9676237451</v>
      </c>
      <c r="H138" s="240"/>
    </row>
    <row r="139" spans="1:11" ht="26.25" customHeight="1" x14ac:dyDescent="0.3">
      <c r="A139" s="356" t="s">
        <v>69</v>
      </c>
      <c r="B139" s="357">
        <v>1</v>
      </c>
      <c r="C139" s="370" t="s">
        <v>104</v>
      </c>
      <c r="D139" s="229">
        <v>11.33</v>
      </c>
      <c r="E139" s="240"/>
      <c r="F139" s="371">
        <v>13.48</v>
      </c>
      <c r="G139" s="240"/>
      <c r="H139" s="240"/>
    </row>
    <row r="140" spans="1:11" ht="26.25" customHeight="1" x14ac:dyDescent="0.3">
      <c r="A140" s="356" t="s">
        <v>71</v>
      </c>
      <c r="B140" s="357">
        <v>1</v>
      </c>
      <c r="C140" s="372" t="s">
        <v>105</v>
      </c>
      <c r="D140" s="373">
        <f>D139*B130</f>
        <v>11.33</v>
      </c>
      <c r="E140" s="363"/>
      <c r="F140" s="374">
        <f>F139*B130</f>
        <v>13.48</v>
      </c>
      <c r="G140" s="240"/>
      <c r="H140" s="240"/>
    </row>
    <row r="141" spans="1:11" ht="19.5" customHeight="1" thickBot="1" x14ac:dyDescent="0.35">
      <c r="A141" s="356" t="s">
        <v>73</v>
      </c>
      <c r="B141" s="375">
        <f>(B140/B139)*(B138/B137)*(B136/B135)*(B134/B133)*B132</f>
        <v>500</v>
      </c>
      <c r="C141" s="372" t="s">
        <v>106</v>
      </c>
      <c r="D141" s="376">
        <f>D140*B126/100</f>
        <v>11.26202</v>
      </c>
      <c r="E141" s="377"/>
      <c r="F141" s="378">
        <f>F140*B126/100</f>
        <v>13.39912</v>
      </c>
      <c r="G141" s="240"/>
      <c r="H141" s="240"/>
    </row>
    <row r="142" spans="1:11" ht="19.5" customHeight="1" thickBot="1" x14ac:dyDescent="0.35">
      <c r="A142" s="667" t="s">
        <v>75</v>
      </c>
      <c r="B142" s="668"/>
      <c r="C142" s="372" t="s">
        <v>107</v>
      </c>
      <c r="D142" s="373">
        <f>D141/$B$141</f>
        <v>2.2524039999999999E-2</v>
      </c>
      <c r="E142" s="377"/>
      <c r="F142" s="379">
        <f>F141/$B$141</f>
        <v>2.6798240000000001E-2</v>
      </c>
      <c r="G142" s="216"/>
      <c r="H142" s="380"/>
    </row>
    <row r="143" spans="1:11" ht="19.5" customHeight="1" thickBot="1" x14ac:dyDescent="0.35">
      <c r="A143" s="669"/>
      <c r="B143" s="670"/>
      <c r="C143" s="372" t="s">
        <v>117</v>
      </c>
      <c r="D143" s="376">
        <f>$B$56/$B$159</f>
        <v>0.02</v>
      </c>
      <c r="E143" s="240"/>
      <c r="F143" s="381"/>
      <c r="G143" s="382"/>
      <c r="H143" s="380"/>
    </row>
    <row r="144" spans="1:11" ht="18.75" x14ac:dyDescent="0.3">
      <c r="A144" s="240"/>
      <c r="B144" s="240"/>
      <c r="C144" s="372" t="s">
        <v>77</v>
      </c>
      <c r="D144" s="373">
        <f>D143*$B$141</f>
        <v>10</v>
      </c>
      <c r="E144" s="240"/>
      <c r="F144" s="381"/>
      <c r="G144" s="216"/>
      <c r="H144" s="380"/>
    </row>
    <row r="145" spans="1:9" ht="19.5" customHeight="1" thickBot="1" x14ac:dyDescent="0.35">
      <c r="A145" s="240"/>
      <c r="B145" s="240"/>
      <c r="C145" s="383" t="s">
        <v>78</v>
      </c>
      <c r="D145" s="384">
        <f>D144/B130</f>
        <v>10</v>
      </c>
      <c r="E145" s="240"/>
      <c r="F145" s="385"/>
      <c r="G145" s="216"/>
      <c r="H145" s="380"/>
      <c r="I145" s="321"/>
    </row>
    <row r="146" spans="1:9" ht="18.75" x14ac:dyDescent="0.3">
      <c r="A146" s="240"/>
      <c r="B146" s="240"/>
      <c r="C146" s="386" t="s">
        <v>108</v>
      </c>
      <c r="D146" s="387">
        <f>AVERAGE(E134:E137,G134:G137)</f>
        <v>6370853.1581127532</v>
      </c>
      <c r="E146" s="240"/>
      <c r="F146" s="385"/>
      <c r="G146" s="382"/>
      <c r="H146" s="380"/>
      <c r="I146" s="322"/>
    </row>
    <row r="147" spans="1:9" ht="18.75" x14ac:dyDescent="0.3">
      <c r="A147" s="240"/>
      <c r="B147" s="240"/>
      <c r="C147" s="388" t="s">
        <v>80</v>
      </c>
      <c r="D147" s="389">
        <f>STDEV(E134:E137,G134:G137)/D146</f>
        <v>9.946477381055318E-3</v>
      </c>
      <c r="E147" s="240"/>
      <c r="F147" s="385"/>
      <c r="G147" s="216"/>
      <c r="H147" s="380"/>
      <c r="I147" s="322"/>
    </row>
    <row r="148" spans="1:9" ht="19.5" customHeight="1" thickBot="1" x14ac:dyDescent="0.35">
      <c r="A148" s="240"/>
      <c r="B148" s="240"/>
      <c r="C148" s="390" t="s">
        <v>19</v>
      </c>
      <c r="D148" s="391">
        <f>COUNT(E134:E137,G134:G137)</f>
        <v>6</v>
      </c>
      <c r="E148" s="240"/>
      <c r="F148" s="385"/>
      <c r="G148" s="216"/>
      <c r="H148" s="380"/>
      <c r="I148" s="322"/>
    </row>
    <row r="149" spans="1:9" ht="19.5" customHeight="1" thickBot="1" x14ac:dyDescent="0.35">
      <c r="A149" s="392"/>
      <c r="B149" s="392"/>
      <c r="C149" s="392"/>
      <c r="D149" s="392"/>
      <c r="E149" s="392"/>
      <c r="F149" s="240"/>
      <c r="G149" s="240"/>
      <c r="H149" s="240"/>
    </row>
    <row r="150" spans="1:9" ht="17.25" customHeight="1" x14ac:dyDescent="0.3">
      <c r="A150" s="354" t="s">
        <v>109</v>
      </c>
      <c r="B150" s="355">
        <v>1000</v>
      </c>
      <c r="C150" s="393" t="s">
        <v>132</v>
      </c>
      <c r="D150" s="394" t="s">
        <v>61</v>
      </c>
      <c r="E150" s="395" t="s">
        <v>110</v>
      </c>
      <c r="F150" s="396" t="s">
        <v>111</v>
      </c>
      <c r="G150" s="240"/>
      <c r="H150" s="240"/>
    </row>
    <row r="151" spans="1:9" ht="26.25" customHeight="1" x14ac:dyDescent="0.3">
      <c r="A151" s="356" t="s">
        <v>112</v>
      </c>
      <c r="B151" s="357">
        <v>1</v>
      </c>
      <c r="C151" s="397">
        <v>1</v>
      </c>
      <c r="D151" s="398">
        <v>4789367</v>
      </c>
      <c r="E151" s="399">
        <f t="shared" ref="E151:E156" si="3">IF(ISBLANK(D151),"-",D151/$D$146*$D$143*$B$159)</f>
        <v>15.035245299606814</v>
      </c>
      <c r="F151" s="400">
        <f t="shared" ref="F151:F156" si="4">IF(ISBLANK(D151), "-", E151/$B$56)</f>
        <v>0.75176226498034071</v>
      </c>
      <c r="G151" s="240"/>
      <c r="H151" s="240"/>
    </row>
    <row r="152" spans="1:9" ht="26.25" customHeight="1" x14ac:dyDescent="0.3">
      <c r="A152" s="356" t="s">
        <v>89</v>
      </c>
      <c r="B152" s="357">
        <v>1</v>
      </c>
      <c r="C152" s="397">
        <v>2</v>
      </c>
      <c r="D152" s="401">
        <v>6189319</v>
      </c>
      <c r="E152" s="402">
        <f t="shared" si="3"/>
        <v>19.430110367929029</v>
      </c>
      <c r="F152" s="403">
        <f t="shared" si="4"/>
        <v>0.97150551839645138</v>
      </c>
      <c r="G152" s="240"/>
      <c r="H152" s="240"/>
    </row>
    <row r="153" spans="1:9" ht="26.25" customHeight="1" x14ac:dyDescent="0.3">
      <c r="A153" s="356" t="s">
        <v>90</v>
      </c>
      <c r="B153" s="357">
        <v>1</v>
      </c>
      <c r="C153" s="397">
        <v>3</v>
      </c>
      <c r="D153" s="401">
        <v>5937614</v>
      </c>
      <c r="E153" s="402">
        <f t="shared" si="3"/>
        <v>18.639933624710658</v>
      </c>
      <c r="F153" s="403">
        <f t="shared" si="4"/>
        <v>0.93199668123553292</v>
      </c>
      <c r="G153" s="240"/>
      <c r="H153" s="240"/>
    </row>
    <row r="154" spans="1:9" ht="26.25" customHeight="1" x14ac:dyDescent="0.3">
      <c r="A154" s="356" t="s">
        <v>91</v>
      </c>
      <c r="B154" s="357">
        <v>1</v>
      </c>
      <c r="C154" s="397">
        <v>4</v>
      </c>
      <c r="D154" s="401">
        <v>5415270</v>
      </c>
      <c r="E154" s="402">
        <f t="shared" si="3"/>
        <v>17.000140689490237</v>
      </c>
      <c r="F154" s="403">
        <f t="shared" si="4"/>
        <v>0.85000703447451187</v>
      </c>
      <c r="G154" s="240"/>
      <c r="H154" s="240"/>
    </row>
    <row r="155" spans="1:9" ht="26.25" customHeight="1" x14ac:dyDescent="0.3">
      <c r="A155" s="356" t="s">
        <v>92</v>
      </c>
      <c r="B155" s="357">
        <v>1</v>
      </c>
      <c r="C155" s="397">
        <v>5</v>
      </c>
      <c r="D155" s="401">
        <v>5980094</v>
      </c>
      <c r="E155" s="402">
        <f t="shared" si="3"/>
        <v>18.773290959892385</v>
      </c>
      <c r="F155" s="403">
        <f t="shared" si="4"/>
        <v>0.93866454799461929</v>
      </c>
      <c r="G155" s="240"/>
      <c r="H155" s="240"/>
    </row>
    <row r="156" spans="1:9" ht="26.25" customHeight="1" x14ac:dyDescent="0.3">
      <c r="A156" s="356" t="s">
        <v>94</v>
      </c>
      <c r="B156" s="357">
        <v>1</v>
      </c>
      <c r="C156" s="404">
        <v>6</v>
      </c>
      <c r="D156" s="405">
        <v>6014081</v>
      </c>
      <c r="E156" s="406">
        <f t="shared" si="3"/>
        <v>18.879986245928666</v>
      </c>
      <c r="F156" s="407">
        <f t="shared" si="4"/>
        <v>0.9439993122964333</v>
      </c>
      <c r="G156" s="240"/>
      <c r="H156" s="240"/>
    </row>
    <row r="157" spans="1:9" ht="26.25" customHeight="1" x14ac:dyDescent="0.3">
      <c r="A157" s="356" t="s">
        <v>95</v>
      </c>
      <c r="B157" s="357">
        <v>1</v>
      </c>
      <c r="C157" s="397"/>
      <c r="D157" s="363"/>
      <c r="E157" s="240"/>
      <c r="F157" s="408"/>
      <c r="G157" s="240"/>
      <c r="H157" s="694" t="s">
        <v>160</v>
      </c>
    </row>
    <row r="158" spans="1:9" ht="26.25" customHeight="1" x14ac:dyDescent="0.4">
      <c r="A158" s="356" t="s">
        <v>96</v>
      </c>
      <c r="B158" s="357">
        <v>1</v>
      </c>
      <c r="C158" s="397"/>
      <c r="D158" s="409"/>
      <c r="E158" s="410" t="s">
        <v>68</v>
      </c>
      <c r="F158" s="411">
        <f>AVERAGE(F151:F156)</f>
        <v>0.89798922656298164</v>
      </c>
      <c r="G158" s="410" t="s">
        <v>68</v>
      </c>
      <c r="H158" s="411">
        <f>AVERAGE('Tadalafil Assay Diss S1'!F126:F131,F151:F156)</f>
        <v>0.79807671959050763</v>
      </c>
    </row>
    <row r="159" spans="1:9" ht="27" customHeight="1" thickBot="1" x14ac:dyDescent="0.45">
      <c r="A159" s="356" t="s">
        <v>97</v>
      </c>
      <c r="B159" s="375">
        <f>(B158/B157)*(B156/B155)*(B154/B153)*(B152/B151)*B150</f>
        <v>1000</v>
      </c>
      <c r="C159" s="412"/>
      <c r="D159" s="240"/>
      <c r="E159" s="413" t="s">
        <v>80</v>
      </c>
      <c r="F159" s="414">
        <f>STDEV(F151:F156)/F158</f>
        <v>9.1852928249695487E-2</v>
      </c>
      <c r="G159" s="413" t="s">
        <v>80</v>
      </c>
      <c r="H159" s="414">
        <f>STDEV('Tadalafil Assay Diss S1'!F126:F131,F151:F156)/H158</f>
        <v>0.15343224721656964</v>
      </c>
    </row>
    <row r="160" spans="1:9" ht="27" customHeight="1" thickBot="1" x14ac:dyDescent="0.45">
      <c r="A160" s="667" t="s">
        <v>75</v>
      </c>
      <c r="B160" s="671"/>
      <c r="C160" s="415"/>
      <c r="D160" s="416"/>
      <c r="E160" s="417" t="s">
        <v>19</v>
      </c>
      <c r="F160" s="418">
        <f>COUNT(F151:F156)</f>
        <v>6</v>
      </c>
      <c r="G160" s="417" t="s">
        <v>19</v>
      </c>
      <c r="H160" s="418">
        <f>COUNT('Tadalafil Assay Diss S1'!F126:F131,F151:F156)</f>
        <v>12</v>
      </c>
      <c r="I160" s="322"/>
    </row>
    <row r="161" spans="1:8" ht="19.5" customHeight="1" thickBot="1" x14ac:dyDescent="0.35">
      <c r="A161" s="669"/>
      <c r="B161" s="672"/>
      <c r="C161" s="240"/>
      <c r="D161" s="240"/>
      <c r="E161" s="240"/>
      <c r="F161" s="363"/>
      <c r="G161" s="240"/>
      <c r="H161" s="240"/>
    </row>
    <row r="162" spans="1:8" ht="18.75" x14ac:dyDescent="0.3">
      <c r="A162" s="224"/>
      <c r="B162" s="224"/>
      <c r="C162" s="240"/>
      <c r="D162" s="240"/>
      <c r="E162" s="240"/>
      <c r="F162" s="363"/>
      <c r="G162" s="240"/>
      <c r="H162" s="240"/>
    </row>
    <row r="163" spans="1:8" ht="18.75" x14ac:dyDescent="0.3">
      <c r="A163" s="347" t="s">
        <v>136</v>
      </c>
      <c r="B163" s="209" t="s">
        <v>148</v>
      </c>
      <c r="C163" s="240"/>
      <c r="D163" s="240"/>
      <c r="E163" s="240"/>
      <c r="F163" s="363"/>
      <c r="G163" s="240"/>
      <c r="H163" s="240"/>
    </row>
    <row r="164" spans="1:8" ht="19.5" customHeight="1" thickBot="1" x14ac:dyDescent="0.35">
      <c r="A164" s="224"/>
      <c r="B164" s="224"/>
      <c r="C164" s="240"/>
      <c r="D164" s="240"/>
      <c r="E164" s="240"/>
      <c r="F164" s="363"/>
      <c r="G164" s="240"/>
      <c r="H164" s="240"/>
    </row>
    <row r="165" spans="1:8" ht="26.25" customHeight="1" x14ac:dyDescent="0.4">
      <c r="A165" s="419" t="s">
        <v>68</v>
      </c>
      <c r="B165" s="420">
        <f>AVERAGE(F108:F113,F151:F156)</f>
        <v>0.79807671959050763</v>
      </c>
      <c r="C165" s="240"/>
      <c r="D165" s="240"/>
      <c r="E165" s="240"/>
      <c r="F165" s="363"/>
      <c r="G165" s="240"/>
      <c r="H165" s="240"/>
    </row>
    <row r="166" spans="1:8" ht="26.25" customHeight="1" x14ac:dyDescent="0.4">
      <c r="A166" s="356" t="s">
        <v>80</v>
      </c>
      <c r="B166" s="421">
        <f>STDEV(F108:F113,F151:F156)/B165</f>
        <v>0.15343224721656964</v>
      </c>
      <c r="C166" s="240"/>
      <c r="D166" s="240"/>
      <c r="E166" s="240"/>
      <c r="F166" s="363"/>
      <c r="G166" s="240"/>
      <c r="H166" s="240"/>
    </row>
    <row r="167" spans="1:8" ht="27" customHeight="1" thickBot="1" x14ac:dyDescent="0.45">
      <c r="A167" s="422" t="s">
        <v>19</v>
      </c>
      <c r="B167" s="423">
        <f>COUNT(F108:F113,F151:F156)</f>
        <v>12</v>
      </c>
      <c r="C167" s="240"/>
      <c r="D167" s="240"/>
      <c r="E167" s="240"/>
      <c r="F167" s="363"/>
      <c r="G167" s="240"/>
      <c r="H167" s="240"/>
    </row>
    <row r="168" spans="1:8" ht="26.25" customHeight="1" x14ac:dyDescent="0.3">
      <c r="A168" s="210" t="s">
        <v>125</v>
      </c>
      <c r="B168" s="211" t="s">
        <v>113</v>
      </c>
      <c r="C168" s="673" t="str">
        <f>B20</f>
        <v>Tadalfil 20 mg</v>
      </c>
      <c r="D168" s="673"/>
      <c r="E168" s="205" t="s">
        <v>114</v>
      </c>
      <c r="F168" s="205"/>
      <c r="G168" s="298">
        <f>B165</f>
        <v>0.79807671959050763</v>
      </c>
      <c r="H168" s="205"/>
    </row>
    <row r="169" spans="1:8" ht="19.5" customHeight="1" thickBot="1" x14ac:dyDescent="0.35">
      <c r="A169" s="424"/>
      <c r="B169" s="424"/>
      <c r="C169" s="425"/>
      <c r="D169" s="425"/>
      <c r="E169" s="425"/>
      <c r="F169" s="425"/>
      <c r="G169" s="425"/>
      <c r="H169" s="425"/>
    </row>
    <row r="170" spans="1:8" ht="18.75" x14ac:dyDescent="0.3">
      <c r="B170" s="674" t="s">
        <v>25</v>
      </c>
      <c r="C170" s="674"/>
      <c r="E170" s="230" t="s">
        <v>26</v>
      </c>
      <c r="F170" s="426"/>
      <c r="G170" s="674" t="s">
        <v>27</v>
      </c>
      <c r="H170" s="674"/>
    </row>
    <row r="171" spans="1:8" ht="83.25" customHeight="1" x14ac:dyDescent="0.3">
      <c r="A171" s="210" t="s">
        <v>28</v>
      </c>
      <c r="B171" s="427"/>
      <c r="C171" s="427" t="s">
        <v>142</v>
      </c>
      <c r="E171" s="428" t="s">
        <v>156</v>
      </c>
      <c r="F171" s="205"/>
      <c r="G171" s="428"/>
      <c r="H171" s="428"/>
    </row>
    <row r="172" spans="1:8" ht="84" customHeight="1" x14ac:dyDescent="0.3">
      <c r="A172" s="210" t="s">
        <v>29</v>
      </c>
      <c r="B172" s="429"/>
      <c r="C172" s="429"/>
      <c r="E172" s="430"/>
      <c r="F172" s="205"/>
      <c r="G172" s="431"/>
      <c r="H172" s="431"/>
    </row>
    <row r="173" spans="1:8" ht="18.75" x14ac:dyDescent="0.3">
      <c r="A173" s="237"/>
      <c r="B173" s="237"/>
      <c r="C173" s="237"/>
      <c r="D173" s="237"/>
      <c r="E173" s="237"/>
      <c r="F173" s="256"/>
      <c r="G173" s="237"/>
      <c r="H173" s="237"/>
    </row>
    <row r="174" spans="1:8" ht="18.75" x14ac:dyDescent="0.3">
      <c r="A174" s="237"/>
      <c r="B174" s="237"/>
      <c r="C174" s="237"/>
      <c r="D174" s="237"/>
      <c r="E174" s="237"/>
      <c r="F174" s="256"/>
      <c r="G174" s="237"/>
      <c r="H174" s="237"/>
    </row>
    <row r="175" spans="1:8" ht="18.75" x14ac:dyDescent="0.3">
      <c r="A175" s="237"/>
      <c r="B175" s="237"/>
      <c r="C175" s="237"/>
      <c r="D175" s="237"/>
      <c r="E175" s="237"/>
      <c r="F175" s="256"/>
      <c r="G175" s="237"/>
      <c r="H175" s="237"/>
    </row>
    <row r="176" spans="1:8" ht="18.75" x14ac:dyDescent="0.3">
      <c r="A176" s="237"/>
      <c r="B176" s="237"/>
      <c r="C176" s="237"/>
      <c r="D176" s="237"/>
      <c r="E176" s="237"/>
      <c r="F176" s="256"/>
      <c r="G176" s="237"/>
      <c r="H176" s="237"/>
    </row>
    <row r="177" spans="1:8" ht="18.75" x14ac:dyDescent="0.3">
      <c r="A177" s="237"/>
      <c r="B177" s="237"/>
      <c r="C177" s="237"/>
      <c r="D177" s="237"/>
      <c r="E177" s="237"/>
      <c r="F177" s="256"/>
      <c r="G177" s="237"/>
      <c r="H177" s="237"/>
    </row>
    <row r="178" spans="1:8" ht="18.75" x14ac:dyDescent="0.3">
      <c r="A178" s="237"/>
      <c r="B178" s="237"/>
      <c r="C178" s="237"/>
      <c r="D178" s="237"/>
      <c r="E178" s="237"/>
      <c r="F178" s="256"/>
      <c r="G178" s="237"/>
      <c r="H178" s="237"/>
    </row>
    <row r="179" spans="1:8" ht="18.75" x14ac:dyDescent="0.3">
      <c r="A179" s="237"/>
      <c r="B179" s="237"/>
      <c r="C179" s="237"/>
      <c r="D179" s="237"/>
      <c r="E179" s="237"/>
      <c r="F179" s="256"/>
      <c r="G179" s="237"/>
      <c r="H179" s="237"/>
    </row>
    <row r="180" spans="1:8" ht="18.75" x14ac:dyDescent="0.3">
      <c r="A180" s="237"/>
      <c r="B180" s="237"/>
      <c r="C180" s="237"/>
      <c r="D180" s="237"/>
      <c r="E180" s="237"/>
      <c r="F180" s="256"/>
      <c r="G180" s="237"/>
      <c r="H180" s="237"/>
    </row>
    <row r="181" spans="1:8" ht="18.75" x14ac:dyDescent="0.3">
      <c r="A181" s="237"/>
      <c r="B181" s="237"/>
      <c r="C181" s="237"/>
      <c r="D181" s="237"/>
      <c r="E181" s="237"/>
      <c r="F181" s="256"/>
      <c r="G181" s="237"/>
      <c r="H181" s="237"/>
    </row>
    <row r="250" spans="1:1" x14ac:dyDescent="0.3">
      <c r="A250" s="20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9">
    <mergeCell ref="A46:B47"/>
    <mergeCell ref="A1:H7"/>
    <mergeCell ref="A8:H14"/>
    <mergeCell ref="A16:H16"/>
    <mergeCell ref="A17:H17"/>
    <mergeCell ref="B18:C18"/>
    <mergeCell ref="B26:C26"/>
    <mergeCell ref="C29:G29"/>
    <mergeCell ref="C31:H31"/>
    <mergeCell ref="C32:H32"/>
    <mergeCell ref="D36:E36"/>
    <mergeCell ref="F36:G36"/>
    <mergeCell ref="C60:C63"/>
    <mergeCell ref="D60:D63"/>
    <mergeCell ref="C64:C67"/>
    <mergeCell ref="D64:D67"/>
    <mergeCell ref="C68:C71"/>
    <mergeCell ref="D68:D71"/>
    <mergeCell ref="C125:G125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17:B118"/>
    <mergeCell ref="B122:C122"/>
    <mergeCell ref="C168:D168"/>
    <mergeCell ref="B170:C170"/>
    <mergeCell ref="G170:H170"/>
    <mergeCell ref="C127:H127"/>
    <mergeCell ref="C128:H128"/>
    <mergeCell ref="D132:E132"/>
    <mergeCell ref="F132:G132"/>
    <mergeCell ref="A142:B143"/>
    <mergeCell ref="A160:B161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32" fitToHeight="2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Uniformity</vt:lpstr>
      <vt:lpstr>SST </vt:lpstr>
      <vt:lpstr>SST  Diss S2</vt:lpstr>
      <vt:lpstr>Tadalafil CU</vt:lpstr>
      <vt:lpstr>Tadalafil Assay Diss S1</vt:lpstr>
      <vt:lpstr>Tadalafil Diss S2 10 min</vt:lpstr>
      <vt:lpstr>Tadalafil Diss S2 30 min </vt:lpstr>
      <vt:lpstr>'Tadalafil Assay Diss S1'!Print_Area</vt:lpstr>
      <vt:lpstr>'Tadalafil CU'!Print_Area</vt:lpstr>
      <vt:lpstr>'Tadalafil Diss S2 10 min'!Print_Area</vt:lpstr>
      <vt:lpstr>'Tadalafil Diss S2 30 min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2016-02-26T09:56:49Z</cp:lastPrinted>
  <dcterms:created xsi:type="dcterms:W3CDTF">2005-07-05T10:19:27Z</dcterms:created>
  <dcterms:modified xsi:type="dcterms:W3CDTF">2016-03-02T13:01:04Z</dcterms:modified>
</cp:coreProperties>
</file>