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Artesunate " sheetId="4" r:id="rId3"/>
    <sheet name="SODIUM CHLORIDE" sheetId="6" r:id="rId4"/>
    <sheet name="SODIUM BICARBONATE" sheetId="8" r:id="rId5"/>
  </sheets>
  <externalReferences>
    <externalReference r:id="rId6"/>
  </externalReferences>
  <definedNames>
    <definedName name="_xlnm.Print_Area" localSheetId="2">'Artesunate '!$A$1:$J$90</definedName>
    <definedName name="_xlnm.Print_Area" localSheetId="4">'SODIUM BICARBONATE'!$A$1:$I$63</definedName>
    <definedName name="_xlnm.Print_Area" localSheetId="3">'SODIUM CHLORIDE'!$A$1:$I$63</definedName>
  </definedNames>
  <calcPr calcId="144525"/>
</workbook>
</file>

<file path=xl/calcChain.xml><?xml version="1.0" encoding="utf-8"?>
<calcChain xmlns="http://schemas.openxmlformats.org/spreadsheetml/2006/main">
  <c r="H51" i="6" l="1"/>
  <c r="G51" i="6"/>
  <c r="F51" i="6"/>
  <c r="C34" i="6"/>
  <c r="I51" i="8" l="1"/>
  <c r="G36" i="8" l="1"/>
  <c r="G34" i="8"/>
  <c r="F34" i="8"/>
  <c r="D57" i="8"/>
  <c r="B57" i="8"/>
  <c r="D55" i="8"/>
  <c r="D56" i="8" s="1"/>
  <c r="I54" i="8"/>
  <c r="H54" i="8"/>
  <c r="G54" i="8"/>
  <c r="F54" i="8"/>
  <c r="E54" i="8"/>
  <c r="E53" i="8"/>
  <c r="E52" i="8"/>
  <c r="E51" i="8"/>
  <c r="E47" i="8"/>
  <c r="B47" i="8"/>
  <c r="E45" i="8"/>
  <c r="G37" i="8"/>
  <c r="F37" i="8"/>
  <c r="E37" i="8"/>
  <c r="C37" i="8"/>
  <c r="C36" i="8"/>
  <c r="E36" i="8" s="1"/>
  <c r="C35" i="8"/>
  <c r="E35" i="8" s="1"/>
  <c r="G35" i="8" s="1"/>
  <c r="C34" i="8"/>
  <c r="E34" i="8" s="1"/>
  <c r="F36" i="8" l="1"/>
  <c r="E40" i="8"/>
  <c r="E38" i="8"/>
  <c r="E39" i="8" s="1"/>
  <c r="F35" i="8"/>
  <c r="D57" i="6"/>
  <c r="B57" i="6"/>
  <c r="D55" i="6"/>
  <c r="D56" i="6" s="1"/>
  <c r="I54" i="6"/>
  <c r="H54" i="6"/>
  <c r="G54" i="6"/>
  <c r="F54" i="6"/>
  <c r="E54" i="6"/>
  <c r="E53" i="6"/>
  <c r="E52" i="6"/>
  <c r="E51" i="6"/>
  <c r="E47" i="6"/>
  <c r="B47" i="6"/>
  <c r="E45" i="6"/>
  <c r="G37" i="6"/>
  <c r="F37" i="6"/>
  <c r="E37" i="6"/>
  <c r="C37" i="6"/>
  <c r="E36" i="6"/>
  <c r="G36" i="6" s="1"/>
  <c r="C36" i="6"/>
  <c r="E35" i="6"/>
  <c r="F35" i="6" s="1"/>
  <c r="C35" i="6"/>
  <c r="E34" i="6"/>
  <c r="G34" i="6" s="1"/>
  <c r="B20" i="1"/>
  <c r="B19" i="1"/>
  <c r="B18" i="1"/>
  <c r="C16" i="2"/>
  <c r="C15" i="2"/>
  <c r="C13" i="2"/>
  <c r="C42" i="2"/>
  <c r="B42" i="2"/>
  <c r="D39" i="2"/>
  <c r="D37" i="2"/>
  <c r="D35" i="2"/>
  <c r="D34" i="2"/>
  <c r="D32" i="2"/>
  <c r="D30" i="2"/>
  <c r="D28" i="2"/>
  <c r="D26" i="2"/>
  <c r="D24" i="2"/>
  <c r="D23" i="2"/>
  <c r="D21" i="2"/>
  <c r="C75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C43" i="2"/>
  <c r="B43" i="2"/>
  <c r="D40" i="2"/>
  <c r="D38" i="2"/>
  <c r="D36" i="2"/>
  <c r="D33" i="2"/>
  <c r="D31" i="2"/>
  <c r="D29" i="2"/>
  <c r="D27" i="2"/>
  <c r="D25" i="2"/>
  <c r="D22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4" l="1"/>
  <c r="D49" i="4"/>
  <c r="F38" i="8"/>
  <c r="G38" i="8"/>
  <c r="F51" i="8" s="1"/>
  <c r="G38" i="6"/>
  <c r="G35" i="6"/>
  <c r="E38" i="6"/>
  <c r="E39" i="6" s="1"/>
  <c r="E40" i="6"/>
  <c r="F34" i="6"/>
  <c r="F38" i="6" s="1"/>
  <c r="F36" i="6"/>
  <c r="D42" i="2"/>
  <c r="G38" i="4"/>
  <c r="G42" i="4" s="1"/>
  <c r="G40" i="4"/>
  <c r="F45" i="4"/>
  <c r="G39" i="4" s="1"/>
  <c r="F46" i="4"/>
  <c r="D45" i="4"/>
  <c r="D43" i="2"/>
  <c r="D46" i="4" l="1"/>
  <c r="B21" i="1" s="1"/>
  <c r="E38" i="4"/>
  <c r="D50" i="4" s="1"/>
  <c r="E40" i="4"/>
  <c r="E39" i="4"/>
  <c r="F52" i="6"/>
  <c r="G52" i="6" s="1"/>
  <c r="H52" i="6" s="1"/>
  <c r="I52" i="6" s="1"/>
  <c r="F53" i="6"/>
  <c r="G53" i="6" s="1"/>
  <c r="H53" i="6" s="1"/>
  <c r="I53" i="6" s="1"/>
  <c r="G51" i="8"/>
  <c r="F53" i="8"/>
  <c r="G53" i="8" s="1"/>
  <c r="H53" i="8" s="1"/>
  <c r="I53" i="8" s="1"/>
  <c r="F52" i="8"/>
  <c r="G52" i="8" s="1"/>
  <c r="H52" i="8" s="1"/>
  <c r="I52" i="8" s="1"/>
  <c r="D52" i="4"/>
  <c r="D48" i="2"/>
  <c r="B47" i="2"/>
  <c r="B57" i="4" s="1"/>
  <c r="E23" i="2"/>
  <c r="C48" i="2"/>
  <c r="E35" i="2"/>
  <c r="E25" i="2"/>
  <c r="D47" i="2"/>
  <c r="C47" i="2"/>
  <c r="E39" i="2"/>
  <c r="E37" i="2"/>
  <c r="E31" i="2"/>
  <c r="E29" i="2"/>
  <c r="E21" i="2"/>
  <c r="E33" i="2"/>
  <c r="E27" i="2"/>
  <c r="E38" i="2"/>
  <c r="E40" i="2"/>
  <c r="E24" i="2"/>
  <c r="E34" i="2"/>
  <c r="E36" i="2"/>
  <c r="E30" i="2"/>
  <c r="E32" i="2"/>
  <c r="E22" i="2"/>
  <c r="E26" i="2"/>
  <c r="E28" i="2"/>
  <c r="E42" i="4" l="1"/>
  <c r="G55" i="6"/>
  <c r="G57" i="6"/>
  <c r="H51" i="8"/>
  <c r="G55" i="8"/>
  <c r="G57" i="8"/>
  <c r="H57" i="6"/>
  <c r="H55" i="6"/>
  <c r="H56" i="6" s="1"/>
  <c r="I51" i="6"/>
  <c r="B69" i="4"/>
  <c r="G64" i="4"/>
  <c r="H64" i="4" s="1"/>
  <c r="G61" i="4"/>
  <c r="H61" i="4" s="1"/>
  <c r="G62" i="4"/>
  <c r="H62" i="4" s="1"/>
  <c r="G68" i="4"/>
  <c r="H68" i="4" s="1"/>
  <c r="G66" i="4"/>
  <c r="H66" i="4" s="1"/>
  <c r="G70" i="4"/>
  <c r="H70" i="4" s="1"/>
  <c r="G65" i="4"/>
  <c r="H65" i="4" s="1"/>
  <c r="G69" i="4"/>
  <c r="H69" i="4" s="1"/>
  <c r="D51" i="4"/>
  <c r="G60" i="4"/>
  <c r="H60" i="4" s="1"/>
  <c r="H57" i="8" l="1"/>
  <c r="H55" i="8"/>
  <c r="H56" i="8" s="1"/>
  <c r="I57" i="6"/>
  <c r="I55" i="6"/>
  <c r="I56" i="6" s="1"/>
  <c r="H71" i="4"/>
  <c r="G75" i="4" s="1"/>
  <c r="H73" i="4"/>
  <c r="I57" i="8" l="1"/>
  <c r="I55" i="8"/>
  <c r="I56" i="8" s="1"/>
  <c r="H72" i="4"/>
</calcChain>
</file>

<file path=xl/sharedStrings.xml><?xml version="1.0" encoding="utf-8"?>
<sst xmlns="http://schemas.openxmlformats.org/spreadsheetml/2006/main" count="317" uniqueCount="157">
  <si>
    <t>HPLC System Suitability Report</t>
  </si>
  <si>
    <t>Analysis Data</t>
  </si>
  <si>
    <t>Assay</t>
  </si>
  <si>
    <t>Sample(s)</t>
  </si>
  <si>
    <t>Reference Substance:</t>
  </si>
  <si>
    <t>ARTESUM 60 mg IV/IM INJECTION</t>
  </si>
  <si>
    <t>% age Purity:</t>
  </si>
  <si>
    <t>NDQA201512643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</si>
  <si>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</si>
  <si>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</si>
  <si>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</si>
  <si>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</si>
  <si>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</si>
  <si>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</si>
  <si>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</si>
  <si>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</si>
  <si>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</si>
  <si>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</si>
  <si>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</si>
  <si>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</si>
  <si>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</si>
  <si>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</si>
  <si>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</si>
  <si>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</si>
  <si>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</si>
  <si>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</si>
  <si>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</si>
  <si>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</si>
  <si>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</si>
  <si>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</si>
  <si>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</si>
  <si>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</si>
  <si>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</si>
  <si>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</si>
  <si>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</si>
  <si>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</si>
  <si>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</si>
  <si>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</si>
  <si>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</si>
  <si>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</si>
  <si>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</si>
  <si>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</si>
  <si>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</si>
  <si>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</si>
  <si>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</si>
  <si>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</si>
  <si>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</si>
  <si>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</si>
  <si>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</si>
  <si>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</si>
  <si>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</si>
  <si>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</si>
  <si>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</si>
  <si>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</si>
  <si>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</si>
  <si>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</si>
  <si>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</si>
  <si>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</si>
  <si>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</si>
  <si>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</si>
  <si>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</si>
  <si>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</si>
  <si>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</si>
  <si>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</si>
  <si>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</si>
  <si>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</si>
  <si>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</si>
  <si>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</si>
  <si>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</si>
  <si>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</si>
  <si>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</si>
  <si>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</si>
  <si>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</si>
  <si>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</si>
  <si>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</si>
  <si>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</si>
  <si>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</si>
  <si>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</si>
  <si>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</si>
  <si>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</si>
  <si>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</si>
  <si>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</si>
  <si>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</si>
  <si>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</si>
  <si>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</si>
  <si>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</si>
  <si>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</si>
  <si>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</si>
  <si>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</si>
  <si>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</si>
  <si>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</si>
  <si>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</si>
  <si>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</si>
  <si>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</si>
  <si>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</si>
  <si>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</si>
  <si>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</si>
  <si>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</si>
  <si>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</si>
  <si>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</si>
  <si>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</si>
  <si>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</si>
  <si>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</si>
  <si>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</si>
  <si>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   Standard dilution (mL):</t>
  </si>
  <si>
    <t>Determination of Content of Active Ingredient in the Sample</t>
  </si>
  <si>
    <t>Each Vial contains</t>
  </si>
  <si>
    <t>Average Vial Content Weight (mg):</t>
  </si>
  <si>
    <t>Sample Weight (mg)</t>
  </si>
  <si>
    <t>Desired Sample Weight (mg):</t>
  </si>
  <si>
    <t xml:space="preserve">ARTESUNATE </t>
  </si>
  <si>
    <t>JOYFRIDA</t>
  </si>
  <si>
    <t>Artesunate</t>
  </si>
  <si>
    <t>12th Jan 2016</t>
  </si>
  <si>
    <t xml:space="preserve">            A15-1</t>
  </si>
  <si>
    <t xml:space="preserve">Each vial contains 60mg  artesunate for injection </t>
  </si>
  <si>
    <t>14th Jan 2016</t>
  </si>
  <si>
    <t>National Quality Control Laoboratory</t>
  </si>
  <si>
    <t>ARTESUNATE INJECTION</t>
  </si>
  <si>
    <t>Sodium chloride</t>
  </si>
  <si>
    <t>14TH JAN 2016</t>
  </si>
  <si>
    <t>Standardisation of the Volumetric Solutions</t>
  </si>
  <si>
    <t>Volumetric Solution:</t>
  </si>
  <si>
    <t>0.1M Silver Nitrate</t>
  </si>
  <si>
    <t>SODIUM CHLORIDE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</si>
  <si>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</si>
  <si>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</si>
  <si>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</si>
  <si>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</si>
  <si>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</si>
  <si>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</si>
  <si>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</si>
  <si>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</si>
  <si>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</si>
  <si>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</si>
  <si>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</si>
  <si>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</si>
  <si>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</si>
  <si>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</si>
  <si>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</si>
  <si>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</si>
  <si>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 mL of</t>
  </si>
  <si>
    <t>is equivalent to</t>
  </si>
  <si>
    <t>Actual Amount (mg)</t>
  </si>
  <si>
    <t>Sample</t>
  </si>
  <si>
    <t>Weight/Volume (mg/mL)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</si>
  <si>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</si>
  <si>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</si>
  <si>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</si>
  <si>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</si>
  <si>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</si>
  <si>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</si>
  <si>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</si>
  <si>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O.5M HCL</t>
  </si>
  <si>
    <t>SODIUM CARBONATE</t>
  </si>
  <si>
    <t>18TH JAN 2016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</si>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</sst>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L&quot;"/>
    <numFmt numFmtId="173" formatCode="0\ &quot;mg&quot;"/>
    <numFmt numFmtId="174" formatCode="General\ &quot;VS&quot;"/>
    <numFmt numFmtId="175" formatCode="0.00\ &quot;M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1"/>
      <name val="Book Antiqua"/>
      <family val="1"/>
    </font>
    <font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7" fillId="2" borderId="0"/>
  </cellStyleXfs>
  <cellXfs count="4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20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5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4" fillId="3" borderId="40" xfId="0" applyFont="1" applyFill="1" applyBorder="1" applyAlignment="1" applyProtection="1">
      <alignment horizontal="center"/>
      <protection locked="0"/>
    </xf>
    <xf numFmtId="171" fontId="11" fillId="2" borderId="51" xfId="0" applyNumberFormat="1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52" xfId="0" applyNumberFormat="1" applyFont="1" applyFill="1" applyBorder="1" applyAlignment="1">
      <alignment horizontal="center"/>
    </xf>
    <xf numFmtId="171" fontId="11" fillId="2" borderId="41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171" fontId="11" fillId="2" borderId="53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54" xfId="0" applyNumberFormat="1" applyFont="1" applyFill="1" applyBorder="1" applyAlignment="1">
      <alignment horizontal="center"/>
    </xf>
    <xf numFmtId="171" fontId="12" fillId="6" borderId="4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4" fillId="3" borderId="47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2" fontId="11" fillId="2" borderId="46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left"/>
      <protection locked="0"/>
    </xf>
    <xf numFmtId="0" fontId="26" fillId="2" borderId="7" xfId="0" applyFont="1" applyFill="1" applyBorder="1"/>
    <xf numFmtId="0" fontId="24" fillId="2" borderId="7" xfId="0" applyFont="1" applyFill="1" applyBorder="1"/>
    <xf numFmtId="0" fontId="29" fillId="2" borderId="0" xfId="1" applyFont="1" applyFill="1"/>
    <xf numFmtId="0" fontId="27" fillId="2" borderId="0" xfId="1" applyFill="1"/>
    <xf numFmtId="0" fontId="31" fillId="2" borderId="0" xfId="1" applyFont="1" applyFill="1" applyAlignment="1">
      <alignment horizontal="center"/>
    </xf>
    <xf numFmtId="0" fontId="33" fillId="2" borderId="0" xfId="1" applyFont="1" applyFill="1" applyAlignment="1">
      <alignment vertical="center"/>
    </xf>
    <xf numFmtId="0" fontId="22" fillId="3" borderId="0" xfId="1" applyFont="1" applyFill="1" applyAlignment="1" applyProtection="1">
      <alignment vertical="center"/>
      <protection locked="0"/>
    </xf>
    <xf numFmtId="0" fontId="33" fillId="3" borderId="0" xfId="1" applyFont="1" applyFill="1" applyAlignment="1" applyProtection="1">
      <alignment vertical="center"/>
      <protection locked="0"/>
    </xf>
    <xf numFmtId="0" fontId="23" fillId="3" borderId="0" xfId="1" applyFont="1" applyFill="1" applyAlignment="1" applyProtection="1">
      <alignment horizontal="left" vertical="center"/>
      <protection locked="0"/>
    </xf>
    <xf numFmtId="0" fontId="24" fillId="2" borderId="0" xfId="1" applyFont="1" applyFill="1" applyAlignment="1">
      <alignment vertical="center"/>
    </xf>
    <xf numFmtId="170" fontId="23" fillId="3" borderId="0" xfId="1" applyNumberFormat="1" applyFont="1" applyFill="1" applyAlignment="1" applyProtection="1">
      <alignment horizontal="left" vertical="center"/>
      <protection locked="0"/>
    </xf>
    <xf numFmtId="170" fontId="24" fillId="2" borderId="0" xfId="1" applyNumberFormat="1" applyFont="1" applyFill="1" applyAlignment="1">
      <alignment horizontal="left" vertical="center"/>
    </xf>
    <xf numFmtId="0" fontId="31" fillId="2" borderId="0" xfId="1" applyFont="1" applyFill="1" applyAlignment="1">
      <alignment horizontal="left" vertical="center"/>
    </xf>
    <xf numFmtId="0" fontId="33" fillId="2" borderId="0" xfId="1" applyFont="1" applyFill="1" applyAlignment="1">
      <alignment horizontal="left" vertical="center"/>
    </xf>
    <xf numFmtId="0" fontId="33" fillId="2" borderId="0" xfId="1" applyFont="1" applyFill="1" applyAlignment="1">
      <alignment horizontal="right" vertical="center"/>
    </xf>
    <xf numFmtId="174" fontId="22" fillId="3" borderId="0" xfId="1" applyNumberFormat="1" applyFont="1" applyFill="1" applyAlignment="1" applyProtection="1">
      <alignment horizontal="left"/>
      <protection locked="0"/>
    </xf>
    <xf numFmtId="2" fontId="22" fillId="3" borderId="0" xfId="1" applyNumberFormat="1" applyFont="1" applyFill="1" applyAlignment="1" applyProtection="1">
      <alignment horizontal="center"/>
      <protection locked="0"/>
    </xf>
    <xf numFmtId="0" fontId="33" fillId="2" borderId="0" xfId="1" applyFont="1" applyFill="1" applyAlignment="1">
      <alignment horizontal="right"/>
    </xf>
    <xf numFmtId="2" fontId="22" fillId="3" borderId="0" xfId="1" applyNumberFormat="1" applyFont="1" applyFill="1" applyAlignment="1" applyProtection="1">
      <alignment horizontal="left"/>
      <protection locked="0"/>
    </xf>
    <xf numFmtId="0" fontId="24" fillId="2" borderId="0" xfId="1" applyFont="1" applyFill="1"/>
    <xf numFmtId="0" fontId="24" fillId="2" borderId="35" xfId="1" applyFont="1" applyFill="1" applyBorder="1" applyAlignment="1">
      <alignment horizontal="right" vertical="center"/>
    </xf>
    <xf numFmtId="2" fontId="22" fillId="2" borderId="0" xfId="1" applyNumberFormat="1" applyFont="1" applyFill="1" applyAlignment="1" applyProtection="1">
      <alignment horizontal="center"/>
      <protection locked="0"/>
    </xf>
    <xf numFmtId="0" fontId="32" fillId="2" borderId="0" xfId="1" applyFont="1" applyFill="1" applyAlignment="1">
      <alignment vertical="center" wrapText="1"/>
    </xf>
    <xf numFmtId="0" fontId="24" fillId="2" borderId="0" xfId="1" applyFont="1" applyFill="1" applyAlignment="1">
      <alignment horizontal="right" vertical="center"/>
    </xf>
    <xf numFmtId="175" fontId="22" fillId="3" borderId="0" xfId="1" applyNumberFormat="1" applyFont="1" applyFill="1" applyAlignment="1" applyProtection="1">
      <alignment horizontal="center"/>
      <protection locked="0"/>
    </xf>
    <xf numFmtId="2" fontId="24" fillId="2" borderId="0" xfId="1" applyNumberFormat="1" applyFont="1" applyFill="1" applyAlignment="1">
      <alignment horizontal="right"/>
    </xf>
    <xf numFmtId="2" fontId="33" fillId="2" borderId="0" xfId="1" applyNumberFormat="1" applyFont="1" applyFill="1" applyAlignment="1">
      <alignment horizontal="centerContinuous"/>
    </xf>
    <xf numFmtId="0" fontId="33" fillId="2" borderId="0" xfId="1" applyFont="1" applyFill="1" applyAlignment="1">
      <alignment horizontal="center" vertical="center"/>
    </xf>
    <xf numFmtId="2" fontId="33" fillId="2" borderId="31" xfId="1" applyNumberFormat="1" applyFont="1" applyFill="1" applyBorder="1" applyAlignment="1">
      <alignment horizontal="center" vertical="center"/>
    </xf>
    <xf numFmtId="2" fontId="33" fillId="2" borderId="10" xfId="1" applyNumberFormat="1" applyFont="1" applyFill="1" applyBorder="1" applyAlignment="1">
      <alignment horizontal="center" vertical="center"/>
    </xf>
    <xf numFmtId="2" fontId="33" fillId="2" borderId="34" xfId="1" applyNumberFormat="1" applyFont="1" applyFill="1" applyBorder="1" applyAlignment="1">
      <alignment horizontal="center" vertical="center"/>
    </xf>
    <xf numFmtId="0" fontId="24" fillId="2" borderId="28" xfId="1" applyFont="1" applyFill="1" applyBorder="1" applyAlignment="1">
      <alignment horizontal="center"/>
    </xf>
    <xf numFmtId="2" fontId="22" fillId="3" borderId="20" xfId="1" applyNumberFormat="1" applyFont="1" applyFill="1" applyBorder="1" applyAlignment="1" applyProtection="1">
      <alignment horizontal="center"/>
      <protection locked="0"/>
    </xf>
    <xf numFmtId="166" fontId="24" fillId="2" borderId="28" xfId="1" applyNumberFormat="1" applyFont="1" applyFill="1" applyBorder="1" applyAlignment="1">
      <alignment horizontal="center"/>
    </xf>
    <xf numFmtId="2" fontId="22" fillId="3" borderId="29" xfId="1" applyNumberFormat="1" applyFont="1" applyFill="1" applyBorder="1" applyAlignment="1" applyProtection="1">
      <alignment horizontal="center"/>
      <protection locked="0"/>
    </xf>
    <xf numFmtId="164" fontId="24" fillId="2" borderId="50" xfId="1" applyNumberFormat="1" applyFont="1" applyFill="1" applyBorder="1" applyAlignment="1">
      <alignment horizontal="center"/>
    </xf>
    <xf numFmtId="10" fontId="24" fillId="2" borderId="20" xfId="1" applyNumberFormat="1" applyFont="1" applyFill="1" applyBorder="1" applyAlignment="1">
      <alignment horizontal="center"/>
    </xf>
    <xf numFmtId="164" fontId="24" fillId="2" borderId="28" xfId="1" applyNumberFormat="1" applyFont="1" applyFill="1" applyBorder="1" applyAlignment="1">
      <alignment horizontal="center"/>
    </xf>
    <xf numFmtId="0" fontId="24" fillId="2" borderId="17" xfId="1" applyFont="1" applyFill="1" applyBorder="1" applyAlignment="1">
      <alignment horizontal="center"/>
    </xf>
    <xf numFmtId="2" fontId="22" fillId="3" borderId="45" xfId="1" applyNumberFormat="1" applyFont="1" applyFill="1" applyBorder="1" applyAlignment="1" applyProtection="1">
      <alignment horizontal="center"/>
      <protection locked="0"/>
    </xf>
    <xf numFmtId="166" fontId="24" fillId="2" borderId="17" xfId="1" applyNumberFormat="1" applyFont="1" applyFill="1" applyBorder="1" applyAlignment="1">
      <alignment horizontal="center"/>
    </xf>
    <xf numFmtId="2" fontId="22" fillId="3" borderId="16" xfId="1" applyNumberFormat="1" applyFont="1" applyFill="1" applyBorder="1" applyAlignment="1" applyProtection="1">
      <alignment horizontal="center"/>
      <protection locked="0"/>
    </xf>
    <xf numFmtId="164" fontId="24" fillId="2" borderId="11" xfId="1" applyNumberFormat="1" applyFont="1" applyFill="1" applyBorder="1" applyAlignment="1">
      <alignment horizontal="center"/>
    </xf>
    <xf numFmtId="10" fontId="24" fillId="2" borderId="45" xfId="1" applyNumberFormat="1" applyFont="1" applyFill="1" applyBorder="1" applyAlignment="1">
      <alignment horizontal="center"/>
    </xf>
    <xf numFmtId="164" fontId="24" fillId="2" borderId="17" xfId="1" applyNumberFormat="1" applyFont="1" applyFill="1" applyBorder="1" applyAlignment="1">
      <alignment horizontal="center"/>
    </xf>
    <xf numFmtId="0" fontId="24" fillId="2" borderId="18" xfId="1" applyFont="1" applyFill="1" applyBorder="1" applyAlignment="1">
      <alignment horizontal="center"/>
    </xf>
    <xf numFmtId="2" fontId="22" fillId="3" borderId="24" xfId="1" applyNumberFormat="1" applyFont="1" applyFill="1" applyBorder="1" applyAlignment="1" applyProtection="1">
      <alignment horizontal="center"/>
      <protection locked="0"/>
    </xf>
    <xf numFmtId="166" fontId="24" fillId="2" borderId="18" xfId="1" applyNumberFormat="1" applyFont="1" applyFill="1" applyBorder="1" applyAlignment="1">
      <alignment horizontal="center"/>
    </xf>
    <xf numFmtId="2" fontId="22" fillId="3" borderId="19" xfId="1" applyNumberFormat="1" applyFont="1" applyFill="1" applyBorder="1" applyAlignment="1" applyProtection="1">
      <alignment horizontal="center"/>
      <protection locked="0"/>
    </xf>
    <xf numFmtId="164" fontId="24" fillId="2" borderId="55" xfId="1" applyNumberFormat="1" applyFont="1" applyFill="1" applyBorder="1" applyAlignment="1">
      <alignment horizontal="center"/>
    </xf>
    <xf numFmtId="10" fontId="24" fillId="2" borderId="24" xfId="1" applyNumberFormat="1" applyFont="1" applyFill="1" applyBorder="1" applyAlignment="1">
      <alignment horizontal="center"/>
    </xf>
    <xf numFmtId="164" fontId="24" fillId="2" borderId="18" xfId="1" applyNumberFormat="1" applyFont="1" applyFill="1" applyBorder="1" applyAlignment="1">
      <alignment horizontal="center"/>
    </xf>
    <xf numFmtId="0" fontId="24" fillId="2" borderId="20" xfId="1" applyFont="1" applyFill="1" applyBorder="1" applyAlignment="1">
      <alignment horizontal="right"/>
    </xf>
    <xf numFmtId="164" fontId="33" fillId="7" borderId="28" xfId="1" applyNumberFormat="1" applyFont="1" applyFill="1" applyBorder="1" applyAlignment="1">
      <alignment horizontal="center"/>
    </xf>
    <xf numFmtId="10" fontId="33" fillId="7" borderId="48" xfId="1" applyNumberFormat="1" applyFont="1" applyFill="1" applyBorder="1" applyAlignment="1">
      <alignment horizontal="center"/>
    </xf>
    <xf numFmtId="166" fontId="33" fillId="7" borderId="32" xfId="1" applyNumberFormat="1" applyFont="1" applyFill="1" applyBorder="1" applyAlignment="1">
      <alignment horizontal="center"/>
    </xf>
    <xf numFmtId="2" fontId="24" fillId="2" borderId="56" xfId="1" applyNumberFormat="1" applyFont="1" applyFill="1" applyBorder="1"/>
    <xf numFmtId="164" fontId="24" fillId="8" borderId="56" xfId="1" applyNumberFormat="1" applyFont="1" applyFill="1" applyBorder="1"/>
    <xf numFmtId="0" fontId="24" fillId="2" borderId="45" xfId="1" applyFont="1" applyFill="1" applyBorder="1" applyAlignment="1">
      <alignment horizontal="right"/>
    </xf>
    <xf numFmtId="10" fontId="24" fillId="6" borderId="17" xfId="1" applyNumberFormat="1" applyFont="1" applyFill="1" applyBorder="1" applyAlignment="1">
      <alignment horizontal="center"/>
    </xf>
    <xf numFmtId="10" fontId="24" fillId="2" borderId="0" xfId="1" applyNumberFormat="1" applyFont="1" applyFill="1" applyAlignment="1">
      <alignment horizontal="center"/>
    </xf>
    <xf numFmtId="0" fontId="24" fillId="2" borderId="24" xfId="1" applyFont="1" applyFill="1" applyBorder="1" applyAlignment="1">
      <alignment horizontal="right"/>
    </xf>
    <xf numFmtId="0" fontId="24" fillId="7" borderId="18" xfId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0" fontId="31" fillId="2" borderId="0" xfId="1" applyFont="1" applyFill="1" applyAlignment="1">
      <alignment vertical="center"/>
    </xf>
    <xf numFmtId="172" fontId="33" fillId="3" borderId="0" xfId="1" applyNumberFormat="1" applyFont="1" applyFill="1" applyAlignment="1" applyProtection="1">
      <alignment horizontal="center" vertical="center"/>
      <protection locked="0"/>
    </xf>
    <xf numFmtId="168" fontId="33" fillId="3" borderId="0" xfId="1" applyNumberFormat="1" applyFont="1" applyFill="1" applyAlignment="1" applyProtection="1">
      <alignment horizontal="center" vertical="center"/>
      <protection locked="0"/>
    </xf>
    <xf numFmtId="0" fontId="24" fillId="2" borderId="0" xfId="1" applyFont="1" applyFill="1" applyAlignment="1">
      <alignment horizontal="center" vertical="center"/>
    </xf>
    <xf numFmtId="2" fontId="24" fillId="2" borderId="0" xfId="1" applyNumberFormat="1" applyFont="1" applyFill="1" applyAlignment="1">
      <alignment horizontal="center"/>
    </xf>
    <xf numFmtId="2" fontId="33" fillId="2" borderId="0" xfId="1" applyNumberFormat="1" applyFont="1" applyFill="1" applyAlignment="1">
      <alignment vertical="center"/>
    </xf>
    <xf numFmtId="2" fontId="33" fillId="2" borderId="12" xfId="1" applyNumberFormat="1" applyFont="1" applyFill="1" applyBorder="1" applyAlignment="1">
      <alignment horizontal="center" vertical="center"/>
    </xf>
    <xf numFmtId="2" fontId="33" fillId="2" borderId="33" xfId="1" applyNumberFormat="1" applyFont="1" applyFill="1" applyBorder="1" applyAlignment="1">
      <alignment horizontal="center" vertical="center"/>
    </xf>
    <xf numFmtId="2" fontId="33" fillId="2" borderId="31" xfId="1" applyNumberFormat="1" applyFont="1" applyFill="1" applyBorder="1" applyAlignment="1">
      <alignment vertical="center"/>
    </xf>
    <xf numFmtId="2" fontId="33" fillId="2" borderId="0" xfId="1" applyNumberFormat="1" applyFont="1" applyFill="1" applyAlignment="1">
      <alignment horizontal="center" vertical="center"/>
    </xf>
    <xf numFmtId="0" fontId="24" fillId="2" borderId="20" xfId="1" applyFont="1" applyFill="1" applyBorder="1" applyAlignment="1">
      <alignment horizontal="center"/>
    </xf>
    <xf numFmtId="0" fontId="24" fillId="2" borderId="57" xfId="1" applyFont="1" applyFill="1" applyBorder="1" applyAlignment="1">
      <alignment horizontal="center" vertical="center"/>
    </xf>
    <xf numFmtId="166" fontId="24" fillId="2" borderId="29" xfId="1" applyNumberFormat="1" applyFont="1" applyFill="1" applyBorder="1" applyAlignment="1">
      <alignment horizontal="center" vertical="center"/>
    </xf>
    <xf numFmtId="2" fontId="24" fillId="2" borderId="50" xfId="1" applyNumberFormat="1" applyFont="1" applyFill="1" applyBorder="1" applyAlignment="1">
      <alignment horizontal="center"/>
    </xf>
    <xf numFmtId="2" fontId="24" fillId="2" borderId="20" xfId="1" applyNumberFormat="1" applyFont="1" applyFill="1" applyBorder="1" applyAlignment="1">
      <alignment horizontal="center"/>
    </xf>
    <xf numFmtId="10" fontId="24" fillId="2" borderId="28" xfId="1" applyNumberFormat="1" applyFont="1" applyFill="1" applyBorder="1" applyAlignment="1">
      <alignment horizontal="center"/>
    </xf>
    <xf numFmtId="0" fontId="24" fillId="2" borderId="45" xfId="1" applyFont="1" applyFill="1" applyBorder="1" applyAlignment="1">
      <alignment horizontal="center"/>
    </xf>
    <xf numFmtId="0" fontId="24" fillId="2" borderId="58" xfId="1" applyFont="1" applyFill="1" applyBorder="1" applyAlignment="1">
      <alignment horizontal="center" vertical="center"/>
    </xf>
    <xf numFmtId="166" fontId="24" fillId="2" borderId="16" xfId="1" applyNumberFormat="1" applyFont="1" applyFill="1" applyBorder="1" applyAlignment="1">
      <alignment horizontal="center" vertical="center"/>
    </xf>
    <xf numFmtId="2" fontId="24" fillId="2" borderId="11" xfId="1" applyNumberFormat="1" applyFont="1" applyFill="1" applyBorder="1" applyAlignment="1">
      <alignment horizontal="center"/>
    </xf>
    <xf numFmtId="2" fontId="24" fillId="2" borderId="45" xfId="1" applyNumberFormat="1" applyFont="1" applyFill="1" applyBorder="1" applyAlignment="1">
      <alignment horizontal="center"/>
    </xf>
    <xf numFmtId="10" fontId="24" fillId="2" borderId="17" xfId="1" applyNumberFormat="1" applyFont="1" applyFill="1" applyBorder="1" applyAlignment="1">
      <alignment horizontal="center"/>
    </xf>
    <xf numFmtId="0" fontId="24" fillId="2" borderId="24" xfId="1" applyFont="1" applyFill="1" applyBorder="1" applyAlignment="1">
      <alignment horizontal="center"/>
    </xf>
    <xf numFmtId="0" fontId="24" fillId="2" borderId="59" xfId="1" applyFont="1" applyFill="1" applyBorder="1" applyAlignment="1">
      <alignment horizontal="center" vertical="center"/>
    </xf>
    <xf numFmtId="166" fontId="24" fillId="2" borderId="19" xfId="1" applyNumberFormat="1" applyFont="1" applyFill="1" applyBorder="1" applyAlignment="1">
      <alignment horizontal="center" vertical="center"/>
    </xf>
    <xf numFmtId="2" fontId="24" fillId="2" borderId="55" xfId="1" applyNumberFormat="1" applyFont="1" applyFill="1" applyBorder="1" applyAlignment="1">
      <alignment horizontal="center"/>
    </xf>
    <xf numFmtId="2" fontId="24" fillId="2" borderId="24" xfId="1" applyNumberFormat="1" applyFont="1" applyFill="1" applyBorder="1" applyAlignment="1">
      <alignment horizontal="center"/>
    </xf>
    <xf numFmtId="10" fontId="24" fillId="2" borderId="18" xfId="1" applyNumberFormat="1" applyFont="1" applyFill="1" applyBorder="1" applyAlignment="1">
      <alignment horizontal="center"/>
    </xf>
    <xf numFmtId="0" fontId="24" fillId="2" borderId="42" xfId="1" applyFont="1" applyFill="1" applyBorder="1" applyAlignment="1">
      <alignment horizontal="right"/>
    </xf>
    <xf numFmtId="166" fontId="33" fillId="7" borderId="14" xfId="1" applyNumberFormat="1" applyFont="1" applyFill="1" applyBorder="1" applyAlignment="1">
      <alignment horizontal="center"/>
    </xf>
    <xf numFmtId="2" fontId="22" fillId="7" borderId="14" xfId="1" applyNumberFormat="1" applyFont="1" applyFill="1" applyBorder="1" applyAlignment="1">
      <alignment horizontal="center"/>
    </xf>
    <xf numFmtId="10" fontId="22" fillId="7" borderId="14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10" fontId="23" fillId="2" borderId="17" xfId="1" applyNumberFormat="1" applyFont="1" applyFill="1" applyBorder="1" applyAlignment="1">
      <alignment horizontal="center"/>
    </xf>
    <xf numFmtId="10" fontId="23" fillId="6" borderId="17" xfId="1" applyNumberFormat="1" applyFont="1" applyFill="1" applyBorder="1" applyAlignment="1">
      <alignment horizontal="center"/>
    </xf>
    <xf numFmtId="10" fontId="23" fillId="2" borderId="0" xfId="1" applyNumberFormat="1" applyFont="1" applyFill="1" applyAlignment="1">
      <alignment horizontal="center"/>
    </xf>
    <xf numFmtId="0" fontId="23" fillId="7" borderId="18" xfId="1" applyFont="1" applyFill="1" applyBorder="1" applyAlignment="1">
      <alignment horizontal="center"/>
    </xf>
    <xf numFmtId="0" fontId="23" fillId="2" borderId="0" xfId="1" applyFont="1" applyFill="1" applyAlignment="1">
      <alignment horizontal="center"/>
    </xf>
    <xf numFmtId="0" fontId="32" fillId="2" borderId="9" xfId="1" applyFont="1" applyFill="1" applyBorder="1" applyAlignment="1">
      <alignment horizontal="left" vertical="center" wrapText="1"/>
    </xf>
    <xf numFmtId="0" fontId="24" fillId="2" borderId="9" xfId="1" applyFont="1" applyFill="1" applyBorder="1" applyAlignment="1">
      <alignment vertical="center"/>
    </xf>
    <xf numFmtId="0" fontId="33" fillId="2" borderId="10" xfId="1" applyFont="1" applyFill="1" applyBorder="1" applyAlignment="1">
      <alignment horizontal="center" vertical="center"/>
    </xf>
    <xf numFmtId="0" fontId="24" fillId="2" borderId="10" xfId="1" applyFont="1" applyFill="1" applyBorder="1" applyAlignment="1">
      <alignment horizontal="center" vertical="center"/>
    </xf>
    <xf numFmtId="0" fontId="24" fillId="2" borderId="7" xfId="1" applyFont="1" applyFill="1" applyBorder="1" applyAlignment="1" applyProtection="1">
      <alignment vertical="center"/>
      <protection locked="0"/>
    </xf>
    <xf numFmtId="0" fontId="24" fillId="2" borderId="7" xfId="1" applyFont="1" applyFill="1" applyBorder="1" applyAlignment="1">
      <alignment vertical="center"/>
    </xf>
    <xf numFmtId="0" fontId="24" fillId="2" borderId="11" xfId="1" applyFont="1" applyFill="1" applyBorder="1" applyAlignment="1">
      <alignment vertical="center"/>
    </xf>
    <xf numFmtId="2" fontId="24" fillId="2" borderId="0" xfId="1" applyNumberFormat="1" applyFont="1" applyFill="1" applyAlignment="1">
      <alignment horizontal="center" vertical="center"/>
    </xf>
    <xf numFmtId="15" fontId="12" fillId="2" borderId="11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5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46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4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7" fillId="2" borderId="49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47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33" fillId="2" borderId="10" xfId="1" applyFont="1" applyFill="1" applyBorder="1" applyAlignment="1">
      <alignment horizontal="center" vertical="center"/>
    </xf>
    <xf numFmtId="0" fontId="28" fillId="2" borderId="0" xfId="1" applyFont="1" applyFill="1" applyAlignment="1">
      <alignment horizontal="center" vertical="center"/>
    </xf>
    <xf numFmtId="0" fontId="30" fillId="2" borderId="0" xfId="1" applyFont="1" applyFill="1" applyAlignment="1">
      <alignment horizontal="center" vertical="center"/>
    </xf>
    <xf numFmtId="0" fontId="32" fillId="2" borderId="49" xfId="1" applyFont="1" applyFill="1" applyBorder="1" applyAlignment="1">
      <alignment horizontal="center" vertical="center"/>
    </xf>
    <xf numFmtId="0" fontId="32" fillId="2" borderId="30" xfId="1" applyFont="1" applyFill="1" applyBorder="1" applyAlignment="1">
      <alignment horizontal="center" vertical="center"/>
    </xf>
    <xf numFmtId="0" fontId="32" fillId="2" borderId="13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2" fontId="33" fillId="2" borderId="49" xfId="1" applyNumberFormat="1" applyFont="1" applyFill="1" applyBorder="1" applyAlignment="1">
      <alignment horizontal="center" vertical="center"/>
    </xf>
    <xf numFmtId="2" fontId="33" fillId="2" borderId="13" xfId="1" applyNumberFormat="1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right"/>
    </xf>
    <xf numFmtId="0" fontId="14" fillId="3" borderId="61" xfId="0" applyFont="1" applyFill="1" applyBorder="1" applyAlignment="1" applyProtection="1">
      <alignment horizontal="center"/>
      <protection locked="0"/>
    </xf>
    <xf numFmtId="0" fontId="11" fillId="2" borderId="62" xfId="0" applyFont="1" applyFill="1" applyBorder="1"/>
    <xf numFmtId="2" fontId="12" fillId="2" borderId="63" xfId="0" applyNumberFormat="1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  <xf numFmtId="0" fontId="11" fillId="2" borderId="65" xfId="0" applyFont="1" applyFill="1" applyBorder="1" applyAlignment="1">
      <alignment horizontal="right"/>
    </xf>
    <xf numFmtId="10" fontId="11" fillId="2" borderId="6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0" fontId="11" fillId="2" borderId="67" xfId="0" applyNumberFormat="1" applyFont="1" applyFill="1" applyBorder="1" applyAlignment="1">
      <alignment horizontal="center" vertical="center"/>
    </xf>
    <xf numFmtId="10" fontId="11" fillId="2" borderId="68" xfId="0" applyNumberFormat="1" applyFont="1" applyFill="1" applyBorder="1" applyAlignment="1">
      <alignment horizontal="center" vertical="center"/>
    </xf>
    <xf numFmtId="10" fontId="11" fillId="2" borderId="69" xfId="0" applyNumberFormat="1" applyFont="1" applyFill="1" applyBorder="1" applyAlignment="1">
      <alignment horizontal="center" vertical="center"/>
    </xf>
    <xf numFmtId="10" fontId="11" fillId="2" borderId="70" xfId="0" applyNumberFormat="1" applyFont="1" applyFill="1" applyBorder="1" applyAlignment="1">
      <alignment horizontal="center" vertical="center"/>
    </xf>
    <xf numFmtId="0" fontId="11" fillId="2" borderId="71" xfId="0" applyFont="1" applyFill="1" applyBorder="1" applyAlignment="1">
      <alignment horizontal="right"/>
    </xf>
    <xf numFmtId="0" fontId="17" fillId="2" borderId="72" xfId="0" applyFont="1" applyFill="1" applyBorder="1" applyAlignment="1">
      <alignment horizontal="left" vertical="center" wrapText="1"/>
    </xf>
    <xf numFmtId="0" fontId="17" fillId="2" borderId="73" xfId="0" applyFont="1" applyFill="1" applyBorder="1" applyAlignment="1">
      <alignment horizontal="left" vertical="center" wrapText="1"/>
    </xf>
    <xf numFmtId="0" fontId="12" fillId="2" borderId="74" xfId="0" applyFont="1" applyFill="1" applyBorder="1" applyAlignment="1">
      <alignment horizontal="center" vertical="center"/>
    </xf>
    <xf numFmtId="2" fontId="14" fillId="3" borderId="75" xfId="0" applyNumberFormat="1" applyFont="1" applyFill="1" applyBorder="1" applyAlignment="1" applyProtection="1">
      <alignment horizontal="center" vertical="center"/>
      <protection locked="0"/>
    </xf>
    <xf numFmtId="0" fontId="11" fillId="2" borderId="75" xfId="0" applyFont="1" applyFill="1" applyBorder="1" applyAlignment="1">
      <alignment horizontal="center"/>
    </xf>
    <xf numFmtId="0" fontId="14" fillId="3" borderId="76" xfId="0" applyFont="1" applyFill="1" applyBorder="1" applyAlignment="1" applyProtection="1">
      <alignment horizontal="center"/>
      <protection locked="0"/>
    </xf>
    <xf numFmtId="2" fontId="11" fillId="2" borderId="75" xfId="0" applyNumberFormat="1" applyFont="1" applyFill="1" applyBorder="1" applyAlignment="1">
      <alignment horizontal="center"/>
    </xf>
    <xf numFmtId="10" fontId="11" fillId="2" borderId="7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fridah\Downloads\NDQA201512643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 3"/>
      <sheetName val="Artesunate 4"/>
      <sheetName val="Artesunate 5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2" workbookViewId="0">
      <selection activeCell="E69" sqref="E6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6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40" t="s">
        <v>0</v>
      </c>
      <c r="B15" s="340"/>
      <c r="C15" s="340"/>
      <c r="D15" s="340"/>
      <c r="E15" s="3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tr">
        <f>'Artesunate '!B26:C26</f>
        <v xml:space="preserve">ARTESUNATE </v>
      </c>
      <c r="C18" s="10"/>
      <c r="D18" s="10"/>
      <c r="E18" s="10"/>
    </row>
    <row r="19" spans="1:6" ht="16.5" customHeight="1" x14ac:dyDescent="0.3">
      <c r="A19" s="11" t="s">
        <v>6</v>
      </c>
      <c r="B19" s="12">
        <f>'Artesunate '!B28</f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'Artesunate '!D43</f>
        <v>38.549999999999997</v>
      </c>
      <c r="C20" s="10"/>
      <c r="D20" s="10"/>
      <c r="E20" s="10"/>
    </row>
    <row r="21" spans="1:6" ht="16.5" customHeight="1" x14ac:dyDescent="0.3">
      <c r="A21" s="7" t="s">
        <v>9</v>
      </c>
      <c r="B21" s="13">
        <f>'Artesunate '!D46</f>
        <v>3.8434350000000004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30281715</v>
      </c>
      <c r="C24" s="18">
        <v>7343.89</v>
      </c>
      <c r="D24" s="19">
        <v>1.39</v>
      </c>
      <c r="E24" s="20">
        <v>11.4</v>
      </c>
    </row>
    <row r="25" spans="1:6" ht="16.5" customHeight="1" x14ac:dyDescent="0.3">
      <c r="A25" s="17">
        <v>2</v>
      </c>
      <c r="B25" s="18">
        <v>30356873</v>
      </c>
      <c r="C25" s="18">
        <v>7302.42</v>
      </c>
      <c r="D25" s="19">
        <v>1.4</v>
      </c>
      <c r="E25" s="19">
        <v>11.4</v>
      </c>
    </row>
    <row r="26" spans="1:6" ht="16.5" customHeight="1" x14ac:dyDescent="0.3">
      <c r="A26" s="17">
        <v>3</v>
      </c>
      <c r="B26" s="18">
        <v>30357246</v>
      </c>
      <c r="C26" s="18">
        <v>7290.35</v>
      </c>
      <c r="D26" s="19">
        <v>1.41</v>
      </c>
      <c r="E26" s="19">
        <v>11.4</v>
      </c>
    </row>
    <row r="27" spans="1:6" ht="16.5" customHeight="1" x14ac:dyDescent="0.3">
      <c r="A27" s="17">
        <v>4</v>
      </c>
      <c r="B27" s="18">
        <v>30410808</v>
      </c>
      <c r="C27" s="18">
        <v>7322.87</v>
      </c>
      <c r="D27" s="19">
        <v>1.38</v>
      </c>
      <c r="E27" s="19">
        <v>11.41</v>
      </c>
    </row>
    <row r="28" spans="1:6" ht="16.5" customHeight="1" x14ac:dyDescent="0.3">
      <c r="A28" s="17">
        <v>5</v>
      </c>
      <c r="B28" s="18">
        <v>30418117</v>
      </c>
      <c r="C28" s="18">
        <v>7272.52</v>
      </c>
      <c r="D28" s="19">
        <v>1.4</v>
      </c>
      <c r="E28" s="19">
        <v>11.41</v>
      </c>
    </row>
    <row r="29" spans="1:6" ht="16.5" customHeight="1" x14ac:dyDescent="0.3">
      <c r="A29" s="17">
        <v>6</v>
      </c>
      <c r="B29" s="21">
        <v>30312635</v>
      </c>
      <c r="C29" s="21">
        <v>7356.47</v>
      </c>
      <c r="D29" s="22">
        <v>1.38</v>
      </c>
      <c r="E29" s="22">
        <v>11.42</v>
      </c>
    </row>
    <row r="30" spans="1:6" ht="16.5" customHeight="1" x14ac:dyDescent="0.3">
      <c r="A30" s="23" t="s">
        <v>15</v>
      </c>
      <c r="B30" s="24">
        <f>AVERAGE(B24:B29)</f>
        <v>30356232.333333332</v>
      </c>
      <c r="C30" s="25">
        <f>AVERAGE(C24:C29)</f>
        <v>7314.753333333334</v>
      </c>
      <c r="D30" s="26">
        <f>AVERAGE(D24:D29)</f>
        <v>1.3933333333333333</v>
      </c>
      <c r="E30" s="26">
        <f>AVERAGE(E24:E29)</f>
        <v>11.406666666666666</v>
      </c>
    </row>
    <row r="31" spans="1:6" ht="16.5" customHeight="1" x14ac:dyDescent="0.3">
      <c r="A31" s="27" t="s">
        <v>16</v>
      </c>
      <c r="B31" s="28">
        <f>(STDEV(B24:B29)/B30)</f>
        <v>1.7594455269473344E-3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41" t="s">
        <v>23</v>
      </c>
      <c r="C59" s="341"/>
      <c r="E59" s="45" t="s">
        <v>24</v>
      </c>
      <c r="F59" s="46"/>
      <c r="G59" s="45" t="s">
        <v>25</v>
      </c>
    </row>
    <row r="60" spans="1:7" ht="19.5" customHeight="1" x14ac:dyDescent="0.3">
      <c r="A60" s="47" t="s">
        <v>26</v>
      </c>
      <c r="B60" s="48"/>
      <c r="C60" s="229" t="s">
        <v>111</v>
      </c>
      <c r="E60" s="229" t="s">
        <v>116</v>
      </c>
      <c r="F60" s="2"/>
      <c r="G60" s="49"/>
    </row>
    <row r="61" spans="1:7" ht="23.25" customHeight="1" x14ac:dyDescent="0.3">
      <c r="A61" s="47" t="s">
        <v>27</v>
      </c>
      <c r="B61" s="50"/>
      <c r="C61" s="224" t="s">
        <v>156</v>
      </c>
      <c r="D61" s="224"/>
      <c r="E61" s="339">
        <v>42390</v>
      </c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577" workbookViewId="0">
      <selection activeCell="A53" sqref="A53:XFD679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43" t="s">
        <v>28</v>
      </c>
      <c r="B8" s="343"/>
      <c r="C8" s="343"/>
      <c r="D8" s="343"/>
      <c r="E8" s="343"/>
      <c r="F8" s="343"/>
      <c r="G8" s="343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44" t="s">
        <v>29</v>
      </c>
      <c r="B10" s="344"/>
      <c r="C10" s="344"/>
      <c r="D10" s="344"/>
      <c r="E10" s="344"/>
      <c r="F10" s="344"/>
      <c r="G10" s="344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42" t="s">
        <v>30</v>
      </c>
      <c r="B11" s="342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42" t="s">
        <v>31</v>
      </c>
      <c r="B12" s="342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42" t="s">
        <v>32</v>
      </c>
      <c r="B13" s="342"/>
      <c r="C13" s="73" t="str">
        <f>'Artesunate '!B20</f>
        <v>Artesunate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42" t="s">
        <v>33</v>
      </c>
      <c r="B14" s="342"/>
      <c r="C14" s="345" t="s">
        <v>115</v>
      </c>
      <c r="D14" s="345"/>
      <c r="E14" s="345"/>
      <c r="F14" s="345"/>
      <c r="G14" s="345"/>
      <c r="H14" s="345"/>
      <c r="I14" s="345"/>
      <c r="J14" s="54"/>
      <c r="K14" s="61"/>
      <c r="L14" s="54"/>
      <c r="M14" s="61"/>
      <c r="N14" s="54"/>
      <c r="O14" s="61"/>
    </row>
    <row r="15" spans="1:15" ht="15" customHeight="1" x14ac:dyDescent="0.3">
      <c r="A15" s="342" t="s">
        <v>34</v>
      </c>
      <c r="B15" s="342"/>
      <c r="C15" s="74" t="str">
        <f>'Artesunate '!B22</f>
        <v>12th Jan 2016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42" t="s">
        <v>35</v>
      </c>
      <c r="B16" s="342"/>
      <c r="C16" s="74">
        <f>'Artesunate '!B23</f>
        <v>42383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46" t="s">
        <v>1</v>
      </c>
      <c r="B18" s="346"/>
      <c r="C18" s="75" t="s">
        <v>36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37</v>
      </c>
      <c r="B20" s="78" t="s">
        <v>38</v>
      </c>
      <c r="C20" s="79" t="s">
        <v>39</v>
      </c>
      <c r="D20" s="77" t="s">
        <v>40</v>
      </c>
      <c r="E20" s="80" t="s">
        <v>41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10396.799999999999</v>
      </c>
      <c r="C21" s="83">
        <v>10339.5</v>
      </c>
      <c r="D21" s="84">
        <f>B21-C21</f>
        <v>57.299999999999272</v>
      </c>
      <c r="E21" s="85">
        <f t="shared" ref="E21:E40" si="0">(D21-$D$43)/$D$43</f>
        <v>4.6462698342988164E-3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10459</v>
      </c>
      <c r="C22" s="88">
        <v>10399.9</v>
      </c>
      <c r="D22" s="89">
        <f t="shared" ref="D22:D40" si="1">B22-C22</f>
        <v>59.100000000000364</v>
      </c>
      <c r="E22" s="85">
        <f t="shared" si="0"/>
        <v>3.6205838520212558E-2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10292.799999999999</v>
      </c>
      <c r="C23" s="88">
        <v>10235.299999999999</v>
      </c>
      <c r="D23" s="89">
        <f>B23-C23</f>
        <v>57.5</v>
      </c>
      <c r="E23" s="85">
        <f t="shared" si="0"/>
        <v>8.1528885771887522E-3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10300.799999999999</v>
      </c>
      <c r="C24" s="88">
        <v>10243.1</v>
      </c>
      <c r="D24" s="89">
        <f>B24-C24</f>
        <v>57.699999999998909</v>
      </c>
      <c r="E24" s="85">
        <f t="shared" si="0"/>
        <v>1.1659507320046794E-2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10369.700000000001</v>
      </c>
      <c r="C25" s="88">
        <v>10314.1</v>
      </c>
      <c r="D25" s="89">
        <f t="shared" si="1"/>
        <v>55.600000000000364</v>
      </c>
      <c r="E25" s="85">
        <f t="shared" si="0"/>
        <v>-2.5159989480138062E-2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10498.6</v>
      </c>
      <c r="C26" s="88">
        <v>10440.299999999999</v>
      </c>
      <c r="D26" s="89">
        <f>B26-C26</f>
        <v>58.300000000001091</v>
      </c>
      <c r="E26" s="85">
        <f t="shared" si="0"/>
        <v>2.21793635487166E-2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10232.799999999999</v>
      </c>
      <c r="C27" s="88">
        <v>10171.4</v>
      </c>
      <c r="D27" s="89">
        <f t="shared" si="1"/>
        <v>61.399999999999636</v>
      </c>
      <c r="E27" s="85">
        <f t="shared" si="0"/>
        <v>7.6531954063287347E-2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10256.799999999999</v>
      </c>
      <c r="C28" s="88">
        <v>10201.4</v>
      </c>
      <c r="D28" s="89">
        <f>B28-C28</f>
        <v>55.399999999999636</v>
      </c>
      <c r="E28" s="85">
        <f t="shared" si="0"/>
        <v>-2.8666608223027999E-2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10448.799999999999</v>
      </c>
      <c r="C29" s="88">
        <v>10390.9</v>
      </c>
      <c r="D29" s="89">
        <f t="shared" si="1"/>
        <v>57.899999999999636</v>
      </c>
      <c r="E29" s="85">
        <f t="shared" si="0"/>
        <v>1.5166126062936729E-2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10382.9</v>
      </c>
      <c r="C30" s="88">
        <v>10327.4</v>
      </c>
      <c r="D30" s="89">
        <f>B30-C30</f>
        <v>55.5</v>
      </c>
      <c r="E30" s="85">
        <f t="shared" si="0"/>
        <v>-2.6913298851583032E-2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10405.200000000001</v>
      </c>
      <c r="C31" s="88">
        <v>10352.5</v>
      </c>
      <c r="D31" s="89">
        <f t="shared" si="1"/>
        <v>52.700000000000728</v>
      </c>
      <c r="E31" s="85">
        <f t="shared" si="0"/>
        <v>-7.6005961251850773E-2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10511.2</v>
      </c>
      <c r="C32" s="88">
        <v>10455.9</v>
      </c>
      <c r="D32" s="89">
        <f>B32-C32</f>
        <v>55.300000000001091</v>
      </c>
      <c r="E32" s="85">
        <f t="shared" si="0"/>
        <v>-3.0419917594441074E-2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10395.5</v>
      </c>
      <c r="C33" s="88">
        <v>10337.1</v>
      </c>
      <c r="D33" s="89">
        <f t="shared" si="1"/>
        <v>58.399999999999636</v>
      </c>
      <c r="E33" s="85">
        <f t="shared" si="0"/>
        <v>2.3932672920129676E-2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10542.1</v>
      </c>
      <c r="C34" s="88">
        <v>10483.5</v>
      </c>
      <c r="D34" s="89">
        <f>B34-C34</f>
        <v>58.600000000000364</v>
      </c>
      <c r="E34" s="85">
        <f t="shared" si="0"/>
        <v>2.7439291663019609E-2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10303.6</v>
      </c>
      <c r="C35" s="88">
        <v>10253.299999999999</v>
      </c>
      <c r="D35" s="89">
        <f>B35-C35</f>
        <v>50.300000000001091</v>
      </c>
      <c r="E35" s="85">
        <f t="shared" si="0"/>
        <v>-0.11808538616637053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10425.299999999999</v>
      </c>
      <c r="C36" s="88">
        <v>10367.4</v>
      </c>
      <c r="D36" s="89">
        <f t="shared" si="1"/>
        <v>57.899999999999636</v>
      </c>
      <c r="E36" s="85">
        <f t="shared" si="0"/>
        <v>1.5166126062936729E-2</v>
      </c>
      <c r="G36" s="66"/>
      <c r="H36" s="66"/>
    </row>
    <row r="37" spans="1:15" ht="15" x14ac:dyDescent="0.3">
      <c r="A37" s="86">
        <v>17</v>
      </c>
      <c r="B37" s="90">
        <v>10224.5</v>
      </c>
      <c r="C37" s="88">
        <v>10169</v>
      </c>
      <c r="D37" s="89">
        <f>B37-C37</f>
        <v>55.5</v>
      </c>
      <c r="E37" s="85">
        <f t="shared" si="0"/>
        <v>-2.6913298851583032E-2</v>
      </c>
    </row>
    <row r="38" spans="1:15" ht="15" x14ac:dyDescent="0.3">
      <c r="A38" s="86">
        <v>18</v>
      </c>
      <c r="B38" s="90">
        <v>10482.1</v>
      </c>
      <c r="C38" s="88">
        <v>10422</v>
      </c>
      <c r="D38" s="89">
        <f t="shared" si="1"/>
        <v>60.100000000000364</v>
      </c>
      <c r="E38" s="85">
        <f t="shared" si="0"/>
        <v>5.3738932234598448E-2</v>
      </c>
    </row>
    <row r="39" spans="1:15" ht="15" x14ac:dyDescent="0.3">
      <c r="A39" s="86">
        <v>19</v>
      </c>
      <c r="B39" s="90">
        <v>10550.8</v>
      </c>
      <c r="C39" s="88">
        <v>10494.1</v>
      </c>
      <c r="D39" s="89">
        <f>B39-C39</f>
        <v>56.699999999998909</v>
      </c>
      <c r="E39" s="85">
        <f t="shared" si="0"/>
        <v>-5.8735863943390971E-3</v>
      </c>
    </row>
    <row r="40" spans="1:15" ht="14.25" customHeight="1" x14ac:dyDescent="0.3">
      <c r="A40" s="91">
        <v>20</v>
      </c>
      <c r="B40" s="92">
        <v>10432.6</v>
      </c>
      <c r="C40" s="93">
        <v>10373.1</v>
      </c>
      <c r="D40" s="94">
        <f t="shared" si="1"/>
        <v>59.5</v>
      </c>
      <c r="E40" s="95">
        <f t="shared" si="0"/>
        <v>4.3219076005960533E-2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42</v>
      </c>
      <c r="B42" s="97">
        <f>SUM(B21:B40)</f>
        <v>207911.89999999997</v>
      </c>
      <c r="C42" s="98">
        <f>SUM(C21:C40)</f>
        <v>206771.19999999995</v>
      </c>
      <c r="D42" s="99">
        <f>SUM(D21:D40)</f>
        <v>1140.7000000000007</v>
      </c>
    </row>
    <row r="43" spans="1:15" ht="15.75" customHeight="1" x14ac:dyDescent="0.3">
      <c r="A43" s="100" t="s">
        <v>43</v>
      </c>
      <c r="B43" s="101">
        <f>AVERAGE(B21:B40)</f>
        <v>10395.594999999998</v>
      </c>
      <c r="C43" s="102">
        <f>AVERAGE(C21:C40)</f>
        <v>10338.559999999998</v>
      </c>
      <c r="D43" s="103">
        <f>AVERAGE(D21:D40)</f>
        <v>57.035000000000039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43</v>
      </c>
      <c r="C46" s="106" t="s">
        <v>44</v>
      </c>
    </row>
    <row r="47" spans="1:15" ht="15.75" customHeight="1" x14ac:dyDescent="0.3">
      <c r="B47" s="347">
        <f>D43</f>
        <v>57.035000000000039</v>
      </c>
      <c r="C47" s="107">
        <f>-(IF(D43&gt;300, 7.5%, 10%))</f>
        <v>-0.1</v>
      </c>
      <c r="D47" s="108">
        <f>IF(D43&lt;300, D43*0.9, D43*0.925)</f>
        <v>51.331500000000034</v>
      </c>
    </row>
    <row r="48" spans="1:15" ht="15.75" customHeight="1" x14ac:dyDescent="0.3">
      <c r="B48" s="348"/>
      <c r="C48" s="109">
        <f>+(IF(D43&gt;300, 7.5%, 10%))</f>
        <v>0.1</v>
      </c>
      <c r="D48" s="108">
        <f>IF(D43&lt;300, D43*1.1, D43*1.075)</f>
        <v>62.738500000000052</v>
      </c>
    </row>
    <row r="49" spans="1:7" ht="14.25" customHeight="1" x14ac:dyDescent="0.3">
      <c r="A49" s="110"/>
      <c r="D49" s="111"/>
    </row>
    <row r="50" spans="1:7" ht="15" customHeight="1" x14ac:dyDescent="0.3">
      <c r="B50" s="341" t="s">
        <v>23</v>
      </c>
      <c r="C50" s="341"/>
      <c r="D50" s="73"/>
      <c r="E50" s="112" t="s">
        <v>24</v>
      </c>
      <c r="F50" s="113"/>
      <c r="G50" s="112" t="s">
        <v>25</v>
      </c>
    </row>
    <row r="51" spans="1:7" ht="22.5" customHeight="1" x14ac:dyDescent="0.3">
      <c r="A51" s="114" t="s">
        <v>26</v>
      </c>
      <c r="B51" s="229" t="s">
        <v>111</v>
      </c>
      <c r="C51" s="115"/>
      <c r="D51" s="73"/>
      <c r="E51" s="229" t="s">
        <v>116</v>
      </c>
      <c r="F51" s="67"/>
      <c r="G51" s="116"/>
    </row>
    <row r="52" spans="1:7" ht="24" customHeight="1" x14ac:dyDescent="0.3">
      <c r="A52" s="114" t="s">
        <v>27</v>
      </c>
      <c r="B52" s="224" t="s">
        <v>156</v>
      </c>
      <c r="C52" s="224"/>
      <c r="D52" s="222"/>
      <c r="E52" s="339">
        <v>42390</v>
      </c>
      <c r="F52" s="67"/>
      <c r="G52" s="117"/>
    </row>
    <row r="53" spans="1:7" ht="113.25" customHeight="1" x14ac:dyDescent="0.3"/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A8:G8"/>
    <mergeCell ref="A10:G10"/>
    <mergeCell ref="A11:B11"/>
    <mergeCell ref="A12:B12"/>
    <mergeCell ref="A13:B13"/>
    <mergeCell ref="C14:I14"/>
  </mergeCells>
  <conditionalFormatting sqref="E21">
    <cfRule type="cellIs" dxfId="35" priority="1" operator="notBetween">
      <formula>IF(+$D$43&lt;300, -10.5%, -7.5%)</formula>
      <formula>IF(+$D$43&lt;300, 10.5%, 7.5%)</formula>
    </cfRule>
  </conditionalFormatting>
  <conditionalFormatting sqref="E22">
    <cfRule type="cellIs" dxfId="34" priority="2" operator="notBetween">
      <formula>IF(+$D$43&lt;300, -10.5%, -7.5%)</formula>
      <formula>IF(+$D$43&lt;300, 10.5%, 7.5%)</formula>
    </cfRule>
  </conditionalFormatting>
  <conditionalFormatting sqref="E23">
    <cfRule type="cellIs" dxfId="33" priority="3" operator="notBetween">
      <formula>IF(+$D$43&lt;300, -10.5%, -7.5%)</formula>
      <formula>IF(+$D$43&lt;300, 10.5%, 7.5%)</formula>
    </cfRule>
  </conditionalFormatting>
  <conditionalFormatting sqref="E24">
    <cfRule type="cellIs" dxfId="32" priority="4" operator="notBetween">
      <formula>IF(+$D$43&lt;300, -10.5%, -7.5%)</formula>
      <formula>IF(+$D$43&lt;300, 10.5%, 7.5%)</formula>
    </cfRule>
  </conditionalFormatting>
  <conditionalFormatting sqref="E25">
    <cfRule type="cellIs" dxfId="31" priority="5" operator="notBetween">
      <formula>IF(+$D$43&lt;300, -10.5%, -7.5%)</formula>
      <formula>IF(+$D$43&lt;300, 10.5%, 7.5%)</formula>
    </cfRule>
  </conditionalFormatting>
  <conditionalFormatting sqref="E26">
    <cfRule type="cellIs" dxfId="30" priority="6" operator="notBetween">
      <formula>IF(+$D$43&lt;300, -10.5%, -7.5%)</formula>
      <formula>IF(+$D$43&lt;300, 10.5%, 7.5%)</formula>
    </cfRule>
  </conditionalFormatting>
  <conditionalFormatting sqref="E27">
    <cfRule type="cellIs" dxfId="29" priority="7" operator="notBetween">
      <formula>IF(+$D$43&lt;300, -10.5%, -7.5%)</formula>
      <formula>IF(+$D$43&lt;300, 10.5%, 7.5%)</formula>
    </cfRule>
  </conditionalFormatting>
  <conditionalFormatting sqref="E28">
    <cfRule type="cellIs" dxfId="28" priority="8" operator="notBetween">
      <formula>IF(+$D$43&lt;300, -10.5%, -7.5%)</formula>
      <formula>IF(+$D$43&lt;300, 10.5%, 7.5%)</formula>
    </cfRule>
  </conditionalFormatting>
  <conditionalFormatting sqref="E29">
    <cfRule type="cellIs" dxfId="27" priority="9" operator="notBetween">
      <formula>IF(+$D$43&lt;300, -10.5%, -7.5%)</formula>
      <formula>IF(+$D$43&lt;300, 10.5%, 7.5%)</formula>
    </cfRule>
  </conditionalFormatting>
  <conditionalFormatting sqref="E30">
    <cfRule type="cellIs" dxfId="26" priority="10" operator="notBetween">
      <formula>IF(+$D$43&lt;300, -10.5%, -7.5%)</formula>
      <formula>IF(+$D$43&lt;300, 10.5%, 7.5%)</formula>
    </cfRule>
  </conditionalFormatting>
  <conditionalFormatting sqref="E31">
    <cfRule type="cellIs" dxfId="25" priority="11" operator="notBetween">
      <formula>IF(+$D$43&lt;300, -10.5%, -7.5%)</formula>
      <formula>IF(+$D$43&lt;300, 10.5%, 7.5%)</formula>
    </cfRule>
  </conditionalFormatting>
  <conditionalFormatting sqref="E32">
    <cfRule type="cellIs" dxfId="24" priority="12" operator="notBetween">
      <formula>IF(+$D$43&lt;300, -10.5%, -7.5%)</formula>
      <formula>IF(+$D$43&lt;300, 10.5%, 7.5%)</formula>
    </cfRule>
  </conditionalFormatting>
  <conditionalFormatting sqref="E33">
    <cfRule type="cellIs" dxfId="23" priority="13" operator="notBetween">
      <formula>IF(+$D$43&lt;300, -10.5%, -7.5%)</formula>
      <formula>IF(+$D$43&lt;300, 10.5%, 7.5%)</formula>
    </cfRule>
  </conditionalFormatting>
  <conditionalFormatting sqref="E34">
    <cfRule type="cellIs" dxfId="22" priority="14" operator="notBetween">
      <formula>IF(+$D$43&lt;300, -10.5%, -7.5%)</formula>
      <formula>IF(+$D$43&lt;300, 10.5%, 7.5%)</formula>
    </cfRule>
  </conditionalFormatting>
  <conditionalFormatting sqref="E35">
    <cfRule type="cellIs" dxfId="21" priority="15" operator="notBetween">
      <formula>IF(+$D$43&lt;300, -10.5%, -7.5%)</formula>
      <formula>IF(+$D$43&lt;300, 10.5%, 7.5%)</formula>
    </cfRule>
  </conditionalFormatting>
  <conditionalFormatting sqref="E36">
    <cfRule type="cellIs" dxfId="20" priority="16" operator="notBetween">
      <formula>IF(+$D$43&lt;300, -10.5%, -7.5%)</formula>
      <formula>IF(+$D$43&lt;300, 10.5%, 7.5%)</formula>
    </cfRule>
  </conditionalFormatting>
  <conditionalFormatting sqref="E37">
    <cfRule type="cellIs" dxfId="19" priority="17" operator="notBetween">
      <formula>IF(+$D$43&lt;300, -10.5%, -7.5%)</formula>
      <formula>IF(+$D$43&lt;300, 10.5%, 7.5%)</formula>
    </cfRule>
  </conditionalFormatting>
  <conditionalFormatting sqref="E38">
    <cfRule type="cellIs" dxfId="18" priority="18" operator="notBetween">
      <formula>IF(+$D$43&lt;300, -10.5%, -7.5%)</formula>
      <formula>IF(+$D$43&lt;300, 10.5%, 7.5%)</formula>
    </cfRule>
  </conditionalFormatting>
  <conditionalFormatting sqref="E39">
    <cfRule type="cellIs" dxfId="17" priority="19" operator="notBetween">
      <formula>IF(+$D$43&lt;300, -10.5%, -7.5%)</formula>
      <formula>IF(+$D$43&lt;300, 10.5%, 7.5%)</formula>
    </cfRule>
  </conditionalFormatting>
  <conditionalFormatting sqref="E40">
    <cfRule type="cellIs" dxfId="1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9"/>
  <sheetViews>
    <sheetView tabSelected="1" view="pageBreakPreview" topLeftCell="A57" zoomScale="60" zoomScaleNormal="78" workbookViewId="0">
      <selection activeCell="C72" sqref="C72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8.85546875" customWidth="1"/>
    <col min="5" max="5" width="24.5703125" customWidth="1"/>
    <col min="6" max="6" width="30.42578125" customWidth="1"/>
    <col min="7" max="7" width="32.42578125" customWidth="1"/>
    <col min="8" max="8" width="23" customWidth="1"/>
  </cols>
  <sheetData>
    <row r="1" spans="1:8" x14ac:dyDescent="0.2">
      <c r="A1" s="349" t="s">
        <v>45</v>
      </c>
      <c r="B1" s="349"/>
      <c r="C1" s="349"/>
      <c r="D1" s="349"/>
      <c r="E1" s="349"/>
      <c r="F1" s="349"/>
      <c r="G1" s="349"/>
      <c r="H1" s="349"/>
    </row>
    <row r="2" spans="1:8" x14ac:dyDescent="0.2">
      <c r="A2" s="349"/>
      <c r="B2" s="349"/>
      <c r="C2" s="349"/>
      <c r="D2" s="349"/>
      <c r="E2" s="349"/>
      <c r="F2" s="349"/>
      <c r="G2" s="349"/>
      <c r="H2" s="349"/>
    </row>
    <row r="3" spans="1:8" x14ac:dyDescent="0.2">
      <c r="A3" s="349"/>
      <c r="B3" s="349"/>
      <c r="C3" s="349"/>
      <c r="D3" s="349"/>
      <c r="E3" s="349"/>
      <c r="F3" s="349"/>
      <c r="G3" s="349"/>
      <c r="H3" s="349"/>
    </row>
    <row r="4" spans="1:8" x14ac:dyDescent="0.2">
      <c r="A4" s="349"/>
      <c r="B4" s="349"/>
      <c r="C4" s="349"/>
      <c r="D4" s="349"/>
      <c r="E4" s="349"/>
      <c r="F4" s="349"/>
      <c r="G4" s="349"/>
      <c r="H4" s="349"/>
    </row>
    <row r="5" spans="1:8" x14ac:dyDescent="0.2">
      <c r="A5" s="349"/>
      <c r="B5" s="349"/>
      <c r="C5" s="349"/>
      <c r="D5" s="349"/>
      <c r="E5" s="349"/>
      <c r="F5" s="349"/>
      <c r="G5" s="349"/>
      <c r="H5" s="349"/>
    </row>
    <row r="6" spans="1:8" x14ac:dyDescent="0.2">
      <c r="A6" s="349"/>
      <c r="B6" s="349"/>
      <c r="C6" s="349"/>
      <c r="D6" s="349"/>
      <c r="E6" s="349"/>
      <c r="F6" s="349"/>
      <c r="G6" s="349"/>
      <c r="H6" s="349"/>
    </row>
    <row r="7" spans="1:8" x14ac:dyDescent="0.2">
      <c r="A7" s="349"/>
      <c r="B7" s="349"/>
      <c r="C7" s="349"/>
      <c r="D7" s="349"/>
      <c r="E7" s="349"/>
      <c r="F7" s="349"/>
      <c r="G7" s="349"/>
      <c r="H7" s="349"/>
    </row>
    <row r="8" spans="1:8" x14ac:dyDescent="0.2">
      <c r="A8" s="350" t="s">
        <v>46</v>
      </c>
      <c r="B8" s="350"/>
      <c r="C8" s="350"/>
      <c r="D8" s="350"/>
      <c r="E8" s="350"/>
      <c r="F8" s="350"/>
      <c r="G8" s="350"/>
      <c r="H8" s="350"/>
    </row>
    <row r="9" spans="1:8" x14ac:dyDescent="0.2">
      <c r="A9" s="350"/>
      <c r="B9" s="350"/>
      <c r="C9" s="350"/>
      <c r="D9" s="350"/>
      <c r="E9" s="350"/>
      <c r="F9" s="350"/>
      <c r="G9" s="350"/>
      <c r="H9" s="350"/>
    </row>
    <row r="10" spans="1:8" x14ac:dyDescent="0.2">
      <c r="A10" s="350"/>
      <c r="B10" s="350"/>
      <c r="C10" s="350"/>
      <c r="D10" s="350"/>
      <c r="E10" s="350"/>
      <c r="F10" s="350"/>
      <c r="G10" s="350"/>
      <c r="H10" s="350"/>
    </row>
    <row r="11" spans="1:8" x14ac:dyDescent="0.2">
      <c r="A11" s="350"/>
      <c r="B11" s="350"/>
      <c r="C11" s="350"/>
      <c r="D11" s="350"/>
      <c r="E11" s="350"/>
      <c r="F11" s="350"/>
      <c r="G11" s="350"/>
      <c r="H11" s="350"/>
    </row>
    <row r="12" spans="1:8" x14ac:dyDescent="0.2">
      <c r="A12" s="350"/>
      <c r="B12" s="350"/>
      <c r="C12" s="350"/>
      <c r="D12" s="350"/>
      <c r="E12" s="350"/>
      <c r="F12" s="350"/>
      <c r="G12" s="350"/>
      <c r="H12" s="350"/>
    </row>
    <row r="13" spans="1:8" x14ac:dyDescent="0.2">
      <c r="A13" s="350"/>
      <c r="B13" s="350"/>
      <c r="C13" s="350"/>
      <c r="D13" s="350"/>
      <c r="E13" s="350"/>
      <c r="F13" s="350"/>
      <c r="G13" s="350"/>
      <c r="H13" s="350"/>
    </row>
    <row r="14" spans="1:8" x14ac:dyDescent="0.2">
      <c r="A14" s="350"/>
      <c r="B14" s="350"/>
      <c r="C14" s="350"/>
      <c r="D14" s="350"/>
      <c r="E14" s="350"/>
      <c r="F14" s="350"/>
      <c r="G14" s="350"/>
      <c r="H14" s="350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56" t="s">
        <v>28</v>
      </c>
      <c r="B16" s="357"/>
      <c r="C16" s="357"/>
      <c r="D16" s="357"/>
      <c r="E16" s="357"/>
      <c r="F16" s="357"/>
      <c r="G16" s="357"/>
      <c r="H16" s="358"/>
    </row>
    <row r="17" spans="1:8" ht="18.75" customHeight="1" x14ac:dyDescent="0.3">
      <c r="A17" s="120" t="s">
        <v>47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30</v>
      </c>
      <c r="B18" s="359" t="s">
        <v>5</v>
      </c>
      <c r="C18" s="359"/>
      <c r="D18" s="359"/>
      <c r="E18" s="359"/>
      <c r="F18" s="119"/>
      <c r="G18" s="119"/>
      <c r="H18" s="119"/>
    </row>
    <row r="19" spans="1:8" ht="26.25" customHeight="1" x14ac:dyDescent="0.4">
      <c r="A19" s="121" t="s">
        <v>31</v>
      </c>
      <c r="B19" s="228" t="s">
        <v>7</v>
      </c>
      <c r="C19" s="118">
        <v>6</v>
      </c>
      <c r="D19" s="227"/>
      <c r="E19" s="227"/>
      <c r="F19" s="119"/>
      <c r="G19" s="119"/>
      <c r="H19" s="119"/>
    </row>
    <row r="20" spans="1:8" ht="26.25" customHeight="1" x14ac:dyDescent="0.4">
      <c r="A20" s="121" t="s">
        <v>32</v>
      </c>
      <c r="B20" s="122" t="s">
        <v>112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33</v>
      </c>
      <c r="B21" s="360" t="s">
        <v>115</v>
      </c>
      <c r="C21" s="361"/>
      <c r="D21" s="361"/>
      <c r="E21" s="361"/>
      <c r="F21" s="361"/>
      <c r="G21" s="361"/>
      <c r="H21" s="361"/>
    </row>
    <row r="22" spans="1:8" ht="26.25" customHeight="1" x14ac:dyDescent="0.4">
      <c r="A22" s="121" t="s">
        <v>34</v>
      </c>
      <c r="B22" s="123" t="s">
        <v>113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35</v>
      </c>
      <c r="B23" s="123">
        <v>42383</v>
      </c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59" t="s">
        <v>110</v>
      </c>
      <c r="C26" s="359"/>
      <c r="D26" s="119"/>
      <c r="E26" s="119"/>
      <c r="F26" s="119"/>
      <c r="G26" s="119"/>
      <c r="H26" s="119"/>
    </row>
    <row r="27" spans="1:8" ht="26.25" customHeight="1" x14ac:dyDescent="0.4">
      <c r="A27" s="127" t="s">
        <v>48</v>
      </c>
      <c r="B27" s="362" t="s">
        <v>114</v>
      </c>
      <c r="C27" s="362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99.7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49</v>
      </c>
      <c r="B29" s="129">
        <v>0</v>
      </c>
      <c r="C29" s="363" t="s">
        <v>50</v>
      </c>
      <c r="D29" s="364"/>
      <c r="E29" s="364"/>
      <c r="F29" s="364"/>
      <c r="G29" s="364"/>
      <c r="H29" s="365"/>
    </row>
    <row r="30" spans="1:8" ht="19.5" customHeight="1" x14ac:dyDescent="0.3">
      <c r="A30" s="127" t="s">
        <v>51</v>
      </c>
      <c r="B30" s="130">
        <f>B28-B29</f>
        <v>99.7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52</v>
      </c>
      <c r="B31" s="133">
        <v>1</v>
      </c>
      <c r="C31" s="366" t="s">
        <v>53</v>
      </c>
      <c r="D31" s="367"/>
      <c r="E31" s="367"/>
      <c r="F31" s="367"/>
      <c r="G31" s="367"/>
      <c r="H31" s="368"/>
    </row>
    <row r="32" spans="1:8" ht="27" customHeight="1" x14ac:dyDescent="0.4">
      <c r="A32" s="127" t="s">
        <v>54</v>
      </c>
      <c r="B32" s="133">
        <v>1</v>
      </c>
      <c r="C32" s="366" t="s">
        <v>55</v>
      </c>
      <c r="D32" s="367"/>
      <c r="E32" s="367"/>
      <c r="F32" s="367"/>
      <c r="G32" s="367"/>
      <c r="H32" s="368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56</v>
      </c>
      <c r="B34" s="136">
        <f>B31/B32</f>
        <v>1</v>
      </c>
      <c r="C34" s="119" t="s">
        <v>57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104</v>
      </c>
      <c r="B36" s="139">
        <v>10</v>
      </c>
      <c r="C36" s="119"/>
      <c r="D36" s="369" t="s">
        <v>58</v>
      </c>
      <c r="E36" s="370"/>
      <c r="F36" s="369" t="s">
        <v>59</v>
      </c>
      <c r="G36" s="371"/>
      <c r="H36" s="137"/>
    </row>
    <row r="37" spans="1:8" ht="26.25" customHeight="1" x14ac:dyDescent="0.4">
      <c r="A37" s="140" t="s">
        <v>60</v>
      </c>
      <c r="B37" s="141">
        <v>1</v>
      </c>
      <c r="C37" s="142" t="s">
        <v>61</v>
      </c>
      <c r="D37" s="143" t="s">
        <v>62</v>
      </c>
      <c r="E37" s="144" t="s">
        <v>63</v>
      </c>
      <c r="F37" s="143" t="s">
        <v>62</v>
      </c>
      <c r="G37" s="145" t="s">
        <v>63</v>
      </c>
      <c r="H37" s="137"/>
    </row>
    <row r="38" spans="1:8" ht="26.25" customHeight="1" x14ac:dyDescent="0.4">
      <c r="A38" s="140" t="s">
        <v>64</v>
      </c>
      <c r="B38" s="141">
        <v>1</v>
      </c>
      <c r="C38" s="146">
        <v>1</v>
      </c>
      <c r="D38" s="147">
        <v>30197566</v>
      </c>
      <c r="E38" s="148">
        <f>IF(ISBLANK(D38),"-",$D$48/$D$45*D38)</f>
        <v>31427684.870434906</v>
      </c>
      <c r="F38" s="147">
        <v>32169299</v>
      </c>
      <c r="G38" s="149">
        <f>IF(ISBLANK(F38),"-",$D$48/$F$45*F38)</f>
        <v>31641183.909659844</v>
      </c>
      <c r="H38" s="137"/>
    </row>
    <row r="39" spans="1:8" ht="26.25" customHeight="1" x14ac:dyDescent="0.4">
      <c r="A39" s="140" t="s">
        <v>65</v>
      </c>
      <c r="B39" s="141">
        <v>1</v>
      </c>
      <c r="C39" s="150">
        <v>2</v>
      </c>
      <c r="D39" s="151">
        <v>30257482</v>
      </c>
      <c r="E39" s="152">
        <f>IF(ISBLANK(D39),"-",$D$48/$D$45*D39)</f>
        <v>31490041.590400249</v>
      </c>
      <c r="F39" s="151">
        <v>32220096</v>
      </c>
      <c r="G39" s="153">
        <f>IF(ISBLANK(F39),"-",$D$48/$F$45*F39)</f>
        <v>31691146.988403305</v>
      </c>
      <c r="H39" s="137"/>
    </row>
    <row r="40" spans="1:8" ht="26.25" customHeight="1" x14ac:dyDescent="0.4">
      <c r="A40" s="140" t="s">
        <v>66</v>
      </c>
      <c r="B40" s="141">
        <v>1</v>
      </c>
      <c r="C40" s="150">
        <v>3</v>
      </c>
      <c r="D40" s="151">
        <v>30274944</v>
      </c>
      <c r="E40" s="152">
        <f>IF(ISBLANK(D40),"-",$D$48/$D$45*D40)</f>
        <v>31508214.917124912</v>
      </c>
      <c r="F40" s="151">
        <v>32269944</v>
      </c>
      <c r="G40" s="153">
        <f>IF(ISBLANK(F40),"-",$D$48/$F$45*F40)</f>
        <v>31740176.646635171</v>
      </c>
      <c r="H40" s="119"/>
    </row>
    <row r="41" spans="1:8" ht="26.25" customHeight="1" x14ac:dyDescent="0.4">
      <c r="A41" s="140" t="s">
        <v>67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68</v>
      </c>
      <c r="B42" s="141">
        <v>1</v>
      </c>
      <c r="C42" s="158" t="s">
        <v>69</v>
      </c>
      <c r="D42" s="159">
        <f>AVERAGE(D38:D41)</f>
        <v>30243330.666666668</v>
      </c>
      <c r="E42" s="160">
        <f>AVERAGE(E38:E41)</f>
        <v>31475313.792653356</v>
      </c>
      <c r="F42" s="159">
        <f>AVERAGE(F38:F41)</f>
        <v>32219779.666666668</v>
      </c>
      <c r="G42" s="161">
        <f>AVERAGE(G38:G41)</f>
        <v>31690835.848232776</v>
      </c>
      <c r="H42" s="162"/>
    </row>
    <row r="43" spans="1:8" ht="26.25" customHeight="1" x14ac:dyDescent="0.4">
      <c r="A43" s="140" t="s">
        <v>70</v>
      </c>
      <c r="B43" s="141">
        <v>1</v>
      </c>
      <c r="C43" s="163" t="s">
        <v>71</v>
      </c>
      <c r="D43" s="164">
        <v>38.549999999999997</v>
      </c>
      <c r="E43" s="165"/>
      <c r="F43" s="164">
        <v>40.79</v>
      </c>
      <c r="G43" s="119"/>
      <c r="H43" s="162"/>
    </row>
    <row r="44" spans="1:8" ht="26.25" customHeight="1" x14ac:dyDescent="0.4">
      <c r="A44" s="140" t="s">
        <v>72</v>
      </c>
      <c r="B44" s="141">
        <v>1</v>
      </c>
      <c r="C44" s="166" t="s">
        <v>73</v>
      </c>
      <c r="D44" s="167">
        <f>D43*$B$34</f>
        <v>38.549999999999997</v>
      </c>
      <c r="E44" s="168"/>
      <c r="F44" s="167">
        <f>F43*$B$34</f>
        <v>40.79</v>
      </c>
      <c r="G44" s="119"/>
      <c r="H44" s="162"/>
    </row>
    <row r="45" spans="1:8" ht="19.5" customHeight="1" x14ac:dyDescent="0.3">
      <c r="A45" s="140" t="s">
        <v>74</v>
      </c>
      <c r="B45" s="169">
        <f>(B44/B43)*(B42/B41)*(B40/B39)*(B38/B37)*B36</f>
        <v>10</v>
      </c>
      <c r="C45" s="166" t="s">
        <v>75</v>
      </c>
      <c r="D45" s="170">
        <f>D44*$B$30/100</f>
        <v>38.434350000000002</v>
      </c>
      <c r="E45" s="171"/>
      <c r="F45" s="170">
        <f>F44*$B$30/100</f>
        <v>40.667630000000003</v>
      </c>
      <c r="G45" s="119"/>
      <c r="H45" s="162"/>
    </row>
    <row r="46" spans="1:8" ht="19.5" customHeight="1" x14ac:dyDescent="0.3">
      <c r="A46" s="372" t="s">
        <v>76</v>
      </c>
      <c r="B46" s="373"/>
      <c r="C46" s="166" t="s">
        <v>77</v>
      </c>
      <c r="D46" s="167">
        <f>D45/$B$45</f>
        <v>3.8434350000000004</v>
      </c>
      <c r="E46" s="171"/>
      <c r="F46" s="172">
        <f>F45/$B$45</f>
        <v>4.0667629999999999</v>
      </c>
      <c r="G46" s="119"/>
      <c r="H46" s="162"/>
    </row>
    <row r="47" spans="1:8" ht="27" customHeight="1" x14ac:dyDescent="0.4">
      <c r="A47" s="374"/>
      <c r="B47" s="375"/>
      <c r="C47" s="173" t="s">
        <v>78</v>
      </c>
      <c r="D47" s="174">
        <v>4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79</v>
      </c>
      <c r="D48" s="167">
        <f>D47*$B$45</f>
        <v>40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80</v>
      </c>
      <c r="D49" s="178">
        <f>D48/B34</f>
        <v>40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81</v>
      </c>
      <c r="D50" s="179">
        <f>AVERAGE(E38:E41,G38:G41)</f>
        <v>31583074.820443064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82</v>
      </c>
      <c r="D51" s="181">
        <f>STDEV(E38:E41,G38:G41)/D50</f>
        <v>3.9582584538806493E-3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17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105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83</v>
      </c>
      <c r="B55" s="185" t="str">
        <f>B21</f>
        <v xml:space="preserve">Each vial contains 60mg  artesunate for injection 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106</v>
      </c>
      <c r="B56" s="187">
        <v>60</v>
      </c>
      <c r="C56" s="119" t="str">
        <f>B20</f>
        <v>Artesunate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107</v>
      </c>
      <c r="B57" s="226">
        <f>Uniformity!B47</f>
        <v>57.035000000000039</v>
      </c>
      <c r="C57" s="119"/>
      <c r="D57" s="119"/>
      <c r="E57" s="119"/>
      <c r="F57" s="119"/>
      <c r="G57" s="119"/>
      <c r="H57" s="188"/>
    </row>
    <row r="58" spans="1:8" ht="19.5" customHeight="1" thickBot="1" x14ac:dyDescent="0.35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thickBot="1" x14ac:dyDescent="0.45">
      <c r="A59" s="387" t="s">
        <v>86</v>
      </c>
      <c r="B59" s="388">
        <v>20</v>
      </c>
      <c r="C59" s="389"/>
      <c r="D59" s="390" t="s">
        <v>108</v>
      </c>
      <c r="E59" s="391" t="s">
        <v>61</v>
      </c>
      <c r="F59" s="391" t="s">
        <v>62</v>
      </c>
      <c r="G59" s="391" t="s">
        <v>87</v>
      </c>
      <c r="H59" s="392" t="s">
        <v>88</v>
      </c>
    </row>
    <row r="60" spans="1:8" ht="26.25" customHeight="1" x14ac:dyDescent="0.4">
      <c r="A60" s="393" t="s">
        <v>89</v>
      </c>
      <c r="B60" s="141">
        <v>1</v>
      </c>
      <c r="C60" s="351" t="s">
        <v>90</v>
      </c>
      <c r="D60" s="353">
        <v>71.13</v>
      </c>
      <c r="E60" s="189">
        <v>1</v>
      </c>
      <c r="F60" s="190">
        <v>27969325</v>
      </c>
      <c r="G60" s="191">
        <f>IF(ISBLANK(F60),"-",(F60/$D$50*$D$47*$B$68)*($B$57/$D$60))</f>
        <v>56.807568448040008</v>
      </c>
      <c r="H60" s="394">
        <f t="shared" ref="H60:H70" si="0">IF(ISBLANK(F60),"-",G60/$B$56)</f>
        <v>0.94679280746733352</v>
      </c>
    </row>
    <row r="61" spans="1:8" ht="26.25" customHeight="1" x14ac:dyDescent="0.4">
      <c r="A61" s="393" t="s">
        <v>91</v>
      </c>
      <c r="B61" s="141">
        <v>1</v>
      </c>
      <c r="C61" s="395"/>
      <c r="D61" s="354"/>
      <c r="E61" s="192">
        <v>2</v>
      </c>
      <c r="F61" s="151">
        <v>27939110</v>
      </c>
      <c r="G61" s="193">
        <f>IF(ISBLANK(F61),"-",(F61/$D$50*$D$47*$B$68)*($B$57/$D$60))</f>
        <v>56.746199763573806</v>
      </c>
      <c r="H61" s="396">
        <f t="shared" si="0"/>
        <v>0.94576999605956347</v>
      </c>
    </row>
    <row r="62" spans="1:8" ht="26.25" customHeight="1" x14ac:dyDescent="0.4">
      <c r="A62" s="393" t="s">
        <v>92</v>
      </c>
      <c r="B62" s="141">
        <v>1</v>
      </c>
      <c r="C62" s="395"/>
      <c r="D62" s="354"/>
      <c r="E62" s="192">
        <v>3</v>
      </c>
      <c r="F62" s="151">
        <v>27906479</v>
      </c>
      <c r="G62" s="193">
        <f>IF(ISBLANK(F62),"-",(F62/$D$50*$D$47*$B$68)*($B$57/$D$60))</f>
        <v>56.679924021630519</v>
      </c>
      <c r="H62" s="396">
        <f t="shared" si="0"/>
        <v>0.94466540036050861</v>
      </c>
    </row>
    <row r="63" spans="1:8" ht="27" customHeight="1" thickBot="1" x14ac:dyDescent="0.45">
      <c r="A63" s="393" t="s">
        <v>93</v>
      </c>
      <c r="B63" s="141">
        <v>1</v>
      </c>
      <c r="C63" s="352"/>
      <c r="D63" s="355"/>
      <c r="E63" s="194">
        <v>4</v>
      </c>
      <c r="F63" s="195"/>
      <c r="G63" s="193" t="str">
        <f>IF(ISBLANK(F63),"-",(F63/$D$50*$D$47*$B$68)*($B$57/$D$60))</f>
        <v>-</v>
      </c>
      <c r="H63" s="396" t="str">
        <f t="shared" si="0"/>
        <v>-</v>
      </c>
    </row>
    <row r="64" spans="1:8" ht="26.25" customHeight="1" x14ac:dyDescent="0.4">
      <c r="A64" s="393" t="s">
        <v>94</v>
      </c>
      <c r="B64" s="141">
        <v>1</v>
      </c>
      <c r="C64" s="351" t="s">
        <v>95</v>
      </c>
      <c r="D64" s="353">
        <v>73.59</v>
      </c>
      <c r="E64" s="189">
        <v>1</v>
      </c>
      <c r="F64" s="190">
        <v>28867408</v>
      </c>
      <c r="G64" s="196">
        <f>IF(ISBLANK(F64),"-",(F64/$D$50*$D$47*$B$68)*($B$57/$D$64))</f>
        <v>56.671670074848187</v>
      </c>
      <c r="H64" s="397">
        <f t="shared" si="0"/>
        <v>0.94452783458080314</v>
      </c>
    </row>
    <row r="65" spans="1:8" ht="26.25" customHeight="1" x14ac:dyDescent="0.4">
      <c r="A65" s="393" t="s">
        <v>96</v>
      </c>
      <c r="B65" s="141">
        <v>1</v>
      </c>
      <c r="C65" s="395"/>
      <c r="D65" s="354"/>
      <c r="E65" s="192">
        <v>2</v>
      </c>
      <c r="F65" s="151">
        <v>28947429</v>
      </c>
      <c r="G65" s="197">
        <f>IF(ISBLANK(F65),"-",(F65/$D$50*$D$47*$B$68)*($B$57/$D$64))</f>
        <v>56.828765014271205</v>
      </c>
      <c r="H65" s="398">
        <f t="shared" si="0"/>
        <v>0.94714608357118679</v>
      </c>
    </row>
    <row r="66" spans="1:8" ht="26.25" customHeight="1" x14ac:dyDescent="0.4">
      <c r="A66" s="393" t="s">
        <v>97</v>
      </c>
      <c r="B66" s="141">
        <v>1</v>
      </c>
      <c r="C66" s="395"/>
      <c r="D66" s="354"/>
      <c r="E66" s="192">
        <v>3</v>
      </c>
      <c r="F66" s="151">
        <v>28813647</v>
      </c>
      <c r="G66" s="197">
        <f>IF(ISBLANK(F66),"-",(F66/$D$50*$D$47*$B$68)*($B$57/$D$64))</f>
        <v>56.566128016659448</v>
      </c>
      <c r="H66" s="398">
        <f t="shared" si="0"/>
        <v>0.94276880027765741</v>
      </c>
    </row>
    <row r="67" spans="1:8" ht="27" customHeight="1" thickBot="1" x14ac:dyDescent="0.45">
      <c r="A67" s="393" t="s">
        <v>98</v>
      </c>
      <c r="B67" s="141">
        <v>1</v>
      </c>
      <c r="C67" s="352"/>
      <c r="D67" s="355"/>
      <c r="E67" s="194">
        <v>4</v>
      </c>
      <c r="F67" s="195"/>
      <c r="G67" s="198" t="str">
        <f>IF(ISBLANK(F67),"-",(F67/$D$50*$D$47*$B$68)*($B$57/$D$64))</f>
        <v>-</v>
      </c>
      <c r="H67" s="399" t="str">
        <f t="shared" si="0"/>
        <v>-</v>
      </c>
    </row>
    <row r="68" spans="1:8" ht="26.25" customHeight="1" x14ac:dyDescent="0.4">
      <c r="A68" s="393" t="s">
        <v>99</v>
      </c>
      <c r="B68" s="199">
        <f>(B67/B66)*(B65/B64)*(B63/B62)*(B61/B60)*B59</f>
        <v>20</v>
      </c>
      <c r="C68" s="351" t="s">
        <v>100</v>
      </c>
      <c r="D68" s="353">
        <v>76.180000000000007</v>
      </c>
      <c r="E68" s="189">
        <v>1</v>
      </c>
      <c r="F68" s="190">
        <v>29946879</v>
      </c>
      <c r="G68" s="196">
        <f>IF(ISBLANK(F68),"-",(F68/$D$50*$D$47*$B$68)*($B$57/$D$68))</f>
        <v>56.792060161491136</v>
      </c>
      <c r="H68" s="396">
        <f t="shared" si="0"/>
        <v>0.94653433602485226</v>
      </c>
    </row>
    <row r="69" spans="1:8" ht="27" customHeight="1" thickBot="1" x14ac:dyDescent="0.45">
      <c r="A69" s="400" t="s">
        <v>109</v>
      </c>
      <c r="B69" s="200">
        <f>(D47*B68)/B56*B57</f>
        <v>76.046666666666709</v>
      </c>
      <c r="C69" s="395"/>
      <c r="D69" s="354"/>
      <c r="E69" s="192">
        <v>2</v>
      </c>
      <c r="F69" s="151">
        <v>29938182</v>
      </c>
      <c r="G69" s="197">
        <f>IF(ISBLANK(F69),"-",(F69/$D$50*$D$47*$B$68)*($B$57/$D$68))</f>
        <v>56.77556693870072</v>
      </c>
      <c r="H69" s="396">
        <f t="shared" si="0"/>
        <v>0.94625944897834535</v>
      </c>
    </row>
    <row r="70" spans="1:8" ht="26.25" customHeight="1" thickBot="1" x14ac:dyDescent="0.45">
      <c r="A70" s="401" t="s">
        <v>76</v>
      </c>
      <c r="B70" s="402"/>
      <c r="C70" s="403"/>
      <c r="D70" s="404"/>
      <c r="E70" s="405">
        <v>3</v>
      </c>
      <c r="F70" s="406">
        <v>29931341</v>
      </c>
      <c r="G70" s="407">
        <f>IF(ISBLANK(F70),"-",(F70/$D$50*$D$47*$B$68)*($B$57/$D$68))</f>
        <v>56.762593483818669</v>
      </c>
      <c r="H70" s="408">
        <f t="shared" si="0"/>
        <v>0.94604322473031111</v>
      </c>
    </row>
    <row r="71" spans="1:8" ht="26.25" customHeight="1" x14ac:dyDescent="0.4">
      <c r="A71" s="201"/>
      <c r="B71" s="201"/>
      <c r="C71" s="201"/>
      <c r="D71" s="201"/>
      <c r="E71" s="201"/>
      <c r="F71" s="202"/>
      <c r="G71" s="203" t="s">
        <v>69</v>
      </c>
      <c r="H71" s="204">
        <f>AVERAGE(H60:H70)</f>
        <v>0.94561199245006244</v>
      </c>
    </row>
    <row r="72" spans="1:8" ht="26.25" customHeight="1" x14ac:dyDescent="0.4">
      <c r="A72" s="119"/>
      <c r="B72" s="119"/>
      <c r="C72" s="201"/>
      <c r="D72" s="201"/>
      <c r="E72" s="201"/>
      <c r="F72" s="202"/>
      <c r="G72" s="205" t="s">
        <v>82</v>
      </c>
      <c r="H72" s="206">
        <f>STDEV(H60:H70)/H71</f>
        <v>1.466471306591994E-3</v>
      </c>
    </row>
    <row r="73" spans="1:8" ht="27" customHeight="1" x14ac:dyDescent="0.4">
      <c r="A73" s="201"/>
      <c r="B73" s="201"/>
      <c r="C73" s="202"/>
      <c r="D73" s="202"/>
      <c r="E73" s="207"/>
      <c r="F73" s="202"/>
      <c r="G73" s="208" t="s">
        <v>17</v>
      </c>
      <c r="H73" s="209">
        <f>COUNT(H60:H70)</f>
        <v>9</v>
      </c>
    </row>
    <row r="74" spans="1:8" ht="18.75" customHeight="1" x14ac:dyDescent="0.3">
      <c r="A74" s="210"/>
      <c r="B74" s="210"/>
      <c r="C74" s="168"/>
      <c r="D74" s="168"/>
      <c r="E74" s="171"/>
      <c r="F74" s="168"/>
      <c r="G74" s="211"/>
      <c r="H74" s="212"/>
    </row>
    <row r="75" spans="1:8" ht="26.25" customHeight="1" x14ac:dyDescent="0.4">
      <c r="A75" s="126" t="s">
        <v>101</v>
      </c>
      <c r="B75" s="213" t="s">
        <v>102</v>
      </c>
      <c r="C75" s="377" t="str">
        <f>B20</f>
        <v>Artesunate</v>
      </c>
      <c r="D75" s="377"/>
      <c r="E75" s="214" t="s">
        <v>103</v>
      </c>
      <c r="F75" s="214"/>
      <c r="G75" s="215">
        <f>H71</f>
        <v>0.94561199245006244</v>
      </c>
      <c r="H75" s="212"/>
    </row>
    <row r="76" spans="1:8" ht="19.5" customHeight="1" x14ac:dyDescent="0.3">
      <c r="A76" s="216"/>
      <c r="B76" s="216"/>
      <c r="C76" s="217"/>
      <c r="D76" s="217"/>
      <c r="E76" s="217"/>
      <c r="F76" s="217"/>
      <c r="G76" s="217"/>
      <c r="H76" s="217"/>
    </row>
    <row r="77" spans="1:8" ht="18.75" customHeight="1" x14ac:dyDescent="0.3">
      <c r="A77" s="119"/>
      <c r="B77" s="376" t="s">
        <v>23</v>
      </c>
      <c r="C77" s="376"/>
      <c r="D77" s="119"/>
      <c r="E77" s="218" t="s">
        <v>24</v>
      </c>
      <c r="F77" s="219"/>
      <c r="G77" s="376" t="s">
        <v>25</v>
      </c>
      <c r="H77" s="376"/>
    </row>
    <row r="78" spans="1:8" ht="42.75" customHeight="1" x14ac:dyDescent="0.3">
      <c r="A78" s="220" t="s">
        <v>26</v>
      </c>
      <c r="B78" s="221" t="s">
        <v>111</v>
      </c>
      <c r="C78" s="221"/>
      <c r="D78" s="119"/>
      <c r="E78" s="230" t="s">
        <v>116</v>
      </c>
      <c r="F78" s="222"/>
      <c r="G78" s="223"/>
      <c r="H78" s="223"/>
    </row>
    <row r="79" spans="1:8" ht="36" customHeight="1" x14ac:dyDescent="0.3">
      <c r="A79" s="220" t="s">
        <v>27</v>
      </c>
      <c r="B79" s="224" t="s">
        <v>156</v>
      </c>
      <c r="C79" s="224"/>
      <c r="D79" s="119"/>
      <c r="E79" s="339">
        <v>42390</v>
      </c>
      <c r="F79" s="222"/>
      <c r="G79" s="225"/>
      <c r="H79" s="225"/>
    </row>
    <row r="249" spans="1:1" x14ac:dyDescent="0.2">
      <c r="A24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B77:C77"/>
    <mergeCell ref="G77:H77"/>
    <mergeCell ref="C64:C67"/>
    <mergeCell ref="D64:D67"/>
    <mergeCell ref="C68:C70"/>
    <mergeCell ref="D68:D70"/>
    <mergeCell ref="A70:B70"/>
    <mergeCell ref="C75:D75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5" priority="1" operator="greaterThan">
      <formula>0.02</formula>
    </cfRule>
  </conditionalFormatting>
  <conditionalFormatting sqref="H72">
    <cfRule type="cellIs" dxfId="14" priority="2" operator="greaterThan">
      <formula>0.02</formula>
    </cfRule>
  </conditionalFormatting>
  <pageMargins left="0.7" right="0.7" top="0.75" bottom="0.75" header="0.3" footer="0.3"/>
  <pageSetup paperSize="9" scale="30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46" zoomScale="60" zoomScaleNormal="60" zoomScalePageLayoutView="85" workbookViewId="0">
      <selection activeCell="H51" sqref="H51"/>
    </sheetView>
  </sheetViews>
  <sheetFormatPr defaultRowHeight="18.75" x14ac:dyDescent="0.3"/>
  <cols>
    <col min="1" max="1" width="42.85546875" style="233" customWidth="1"/>
    <col min="2" max="2" width="34.85546875" style="233" customWidth="1"/>
    <col min="3" max="3" width="33.28515625" style="233" customWidth="1"/>
    <col min="4" max="4" width="30.5703125" style="233" customWidth="1"/>
    <col min="5" max="5" width="33.5703125" style="233" customWidth="1"/>
    <col min="6" max="6" width="39.85546875" style="233" customWidth="1"/>
    <col min="7" max="7" width="31.7109375" style="233" customWidth="1"/>
    <col min="8" max="8" width="31.140625" style="233" customWidth="1"/>
    <col min="9" max="9" width="32.28515625" style="231" customWidth="1"/>
    <col min="10" max="10" width="22.28515625" style="231" customWidth="1"/>
    <col min="11" max="11" width="19.5703125" style="231" customWidth="1"/>
    <col min="12" max="12" width="21.140625" style="231" customWidth="1"/>
    <col min="13" max="13" width="9.140625" style="231" customWidth="1"/>
    <col min="14" max="16384" width="9.140625" style="232"/>
  </cols>
  <sheetData>
    <row r="1" spans="1:9" ht="15" x14ac:dyDescent="0.3">
      <c r="A1" s="379" t="s">
        <v>117</v>
      </c>
      <c r="B1" s="379"/>
      <c r="C1" s="379"/>
      <c r="D1" s="379"/>
      <c r="E1" s="379"/>
      <c r="F1" s="379"/>
      <c r="G1" s="379"/>
      <c r="H1" s="379"/>
      <c r="I1" s="379"/>
    </row>
    <row r="2" spans="1:9" ht="15" x14ac:dyDescent="0.3">
      <c r="A2" s="379"/>
      <c r="B2" s="379"/>
      <c r="C2" s="379"/>
      <c r="D2" s="379"/>
      <c r="E2" s="379"/>
      <c r="F2" s="379"/>
      <c r="G2" s="379"/>
      <c r="H2" s="379"/>
      <c r="I2" s="379"/>
    </row>
    <row r="3" spans="1:9" ht="15" x14ac:dyDescent="0.3">
      <c r="A3" s="379"/>
      <c r="B3" s="379"/>
      <c r="C3" s="379"/>
      <c r="D3" s="379"/>
      <c r="E3" s="379"/>
      <c r="F3" s="379"/>
      <c r="G3" s="379"/>
      <c r="H3" s="379"/>
      <c r="I3" s="379"/>
    </row>
    <row r="4" spans="1:9" ht="15" x14ac:dyDescent="0.3">
      <c r="A4" s="379"/>
      <c r="B4" s="379"/>
      <c r="C4" s="379"/>
      <c r="D4" s="379"/>
      <c r="E4" s="379"/>
      <c r="F4" s="379"/>
      <c r="G4" s="379"/>
      <c r="H4" s="379"/>
      <c r="I4" s="379"/>
    </row>
    <row r="5" spans="1:9" ht="15" x14ac:dyDescent="0.3">
      <c r="A5" s="379"/>
      <c r="B5" s="379"/>
      <c r="C5" s="379"/>
      <c r="D5" s="379"/>
      <c r="E5" s="379"/>
      <c r="F5" s="379"/>
      <c r="G5" s="379"/>
      <c r="H5" s="379"/>
      <c r="I5" s="379"/>
    </row>
    <row r="6" spans="1:9" ht="15" x14ac:dyDescent="0.3">
      <c r="A6" s="379"/>
      <c r="B6" s="379"/>
      <c r="C6" s="379"/>
      <c r="D6" s="379"/>
      <c r="E6" s="379"/>
      <c r="F6" s="379"/>
      <c r="G6" s="379"/>
      <c r="H6" s="379"/>
      <c r="I6" s="379"/>
    </row>
    <row r="7" spans="1:9" ht="15" x14ac:dyDescent="0.3">
      <c r="A7" s="379"/>
      <c r="B7" s="379"/>
      <c r="C7" s="379"/>
      <c r="D7" s="379"/>
      <c r="E7" s="379"/>
      <c r="F7" s="379"/>
      <c r="G7" s="379"/>
      <c r="H7" s="379"/>
      <c r="I7" s="379"/>
    </row>
    <row r="8" spans="1:9" ht="15" x14ac:dyDescent="0.3">
      <c r="A8" s="380" t="s">
        <v>46</v>
      </c>
      <c r="B8" s="380"/>
      <c r="C8" s="380"/>
      <c r="D8" s="380"/>
      <c r="E8" s="380"/>
      <c r="F8" s="380"/>
      <c r="G8" s="380"/>
      <c r="H8" s="380"/>
      <c r="I8" s="380"/>
    </row>
    <row r="9" spans="1:9" ht="15" x14ac:dyDescent="0.3">
      <c r="A9" s="380"/>
      <c r="B9" s="380"/>
      <c r="C9" s="380"/>
      <c r="D9" s="380"/>
      <c r="E9" s="380"/>
      <c r="F9" s="380"/>
      <c r="G9" s="380"/>
      <c r="H9" s="380"/>
      <c r="I9" s="380"/>
    </row>
    <row r="10" spans="1:9" ht="15" x14ac:dyDescent="0.3">
      <c r="A10" s="380"/>
      <c r="B10" s="380"/>
      <c r="C10" s="380"/>
      <c r="D10" s="380"/>
      <c r="E10" s="380"/>
      <c r="F10" s="380"/>
      <c r="G10" s="380"/>
      <c r="H10" s="380"/>
      <c r="I10" s="380"/>
    </row>
    <row r="11" spans="1:9" ht="15" x14ac:dyDescent="0.3">
      <c r="A11" s="380"/>
      <c r="B11" s="380"/>
      <c r="C11" s="380"/>
      <c r="D11" s="380"/>
      <c r="E11" s="380"/>
      <c r="F11" s="380"/>
      <c r="G11" s="380"/>
      <c r="H11" s="380"/>
      <c r="I11" s="380"/>
    </row>
    <row r="12" spans="1:9" ht="15" x14ac:dyDescent="0.3">
      <c r="A12" s="380"/>
      <c r="B12" s="380"/>
      <c r="C12" s="380"/>
      <c r="D12" s="380"/>
      <c r="E12" s="380"/>
      <c r="F12" s="380"/>
      <c r="G12" s="380"/>
      <c r="H12" s="380"/>
      <c r="I12" s="380"/>
    </row>
    <row r="13" spans="1:9" ht="15" x14ac:dyDescent="0.3">
      <c r="A13" s="380"/>
      <c r="B13" s="380"/>
      <c r="C13" s="380"/>
      <c r="D13" s="380"/>
      <c r="E13" s="380"/>
      <c r="F13" s="380"/>
      <c r="G13" s="380"/>
      <c r="H13" s="380"/>
      <c r="I13" s="380"/>
    </row>
    <row r="14" spans="1:9" ht="15" x14ac:dyDescent="0.3">
      <c r="A14" s="380"/>
      <c r="B14" s="380"/>
      <c r="C14" s="380"/>
      <c r="D14" s="380"/>
      <c r="E14" s="380"/>
      <c r="F14" s="380"/>
      <c r="G14" s="380"/>
      <c r="H14" s="380"/>
      <c r="I14" s="380"/>
    </row>
    <row r="15" spans="1:9" ht="19.5" customHeight="1" thickBot="1" x14ac:dyDescent="0.35"/>
    <row r="16" spans="1:9" ht="19.5" customHeight="1" thickBot="1" x14ac:dyDescent="0.35">
      <c r="A16" s="381" t="s">
        <v>28</v>
      </c>
      <c r="B16" s="382"/>
      <c r="C16" s="382"/>
      <c r="D16" s="382"/>
      <c r="E16" s="382"/>
      <c r="F16" s="382"/>
      <c r="G16" s="382"/>
      <c r="H16" s="383"/>
    </row>
    <row r="17" spans="1:8" x14ac:dyDescent="0.3">
      <c r="A17" s="384" t="s">
        <v>47</v>
      </c>
      <c r="B17" s="384"/>
      <c r="C17" s="384"/>
      <c r="D17" s="384"/>
      <c r="E17" s="384"/>
      <c r="F17" s="384"/>
      <c r="G17" s="384"/>
      <c r="H17" s="384"/>
    </row>
    <row r="18" spans="1:8" ht="26.25" customHeight="1" x14ac:dyDescent="0.3">
      <c r="A18" s="234" t="s">
        <v>30</v>
      </c>
      <c r="B18" s="235" t="s">
        <v>118</v>
      </c>
      <c r="C18" s="236"/>
      <c r="D18" s="236"/>
      <c r="E18" s="236"/>
    </row>
    <row r="19" spans="1:8" ht="26.25" customHeight="1" x14ac:dyDescent="0.3">
      <c r="A19" s="234" t="s">
        <v>31</v>
      </c>
      <c r="B19" s="237" t="s">
        <v>7</v>
      </c>
      <c r="C19" s="238">
        <v>26</v>
      </c>
    </row>
    <row r="20" spans="1:8" ht="26.25" customHeight="1" x14ac:dyDescent="0.3">
      <c r="A20" s="234" t="s">
        <v>32</v>
      </c>
      <c r="B20" s="237" t="s">
        <v>119</v>
      </c>
    </row>
    <row r="21" spans="1:8" ht="26.25" customHeight="1" x14ac:dyDescent="0.3">
      <c r="A21" s="234" t="s">
        <v>34</v>
      </c>
      <c r="B21" s="239" t="s">
        <v>120</v>
      </c>
    </row>
    <row r="22" spans="1:8" ht="26.25" customHeight="1" x14ac:dyDescent="0.3">
      <c r="A22" s="234" t="s">
        <v>35</v>
      </c>
      <c r="B22" s="239" t="s">
        <v>120</v>
      </c>
    </row>
    <row r="23" spans="1:8" x14ac:dyDescent="0.3">
      <c r="A23" s="234"/>
      <c r="B23" s="240"/>
    </row>
    <row r="24" spans="1:8" x14ac:dyDescent="0.3">
      <c r="A24" s="241" t="s">
        <v>1</v>
      </c>
      <c r="B24" s="242" t="s">
        <v>121</v>
      </c>
    </row>
    <row r="25" spans="1:8" x14ac:dyDescent="0.3">
      <c r="A25" s="241"/>
      <c r="B25" s="242"/>
    </row>
    <row r="26" spans="1:8" ht="26.25" customHeight="1" x14ac:dyDescent="0.4">
      <c r="A26" s="243" t="s">
        <v>122</v>
      </c>
      <c r="B26" s="244" t="s">
        <v>123</v>
      </c>
      <c r="C26" s="245"/>
      <c r="D26" s="238"/>
      <c r="E26" s="238"/>
      <c r="F26" s="238"/>
    </row>
    <row r="27" spans="1:8" ht="26.25" customHeight="1" x14ac:dyDescent="0.4">
      <c r="A27" s="246" t="s">
        <v>4</v>
      </c>
      <c r="B27" s="247" t="s">
        <v>124</v>
      </c>
      <c r="C27" s="245"/>
      <c r="D27" s="248"/>
      <c r="E27" s="248"/>
      <c r="F27" s="248"/>
      <c r="G27" s="248"/>
    </row>
    <row r="28" spans="1:8" ht="26.25" customHeight="1" x14ac:dyDescent="0.4">
      <c r="A28" s="249" t="s">
        <v>125</v>
      </c>
      <c r="B28" s="245">
        <v>58.44</v>
      </c>
      <c r="C28" s="250"/>
      <c r="D28" s="251"/>
      <c r="E28" s="251"/>
      <c r="F28" s="251"/>
      <c r="G28" s="251"/>
    </row>
    <row r="29" spans="1:8" ht="26.25" customHeight="1" x14ac:dyDescent="0.4">
      <c r="A29" s="252" t="s">
        <v>126</v>
      </c>
      <c r="B29" s="253">
        <v>0.1</v>
      </c>
      <c r="C29" s="250"/>
      <c r="D29" s="251"/>
      <c r="E29" s="251"/>
      <c r="F29" s="251"/>
      <c r="G29" s="251"/>
    </row>
    <row r="30" spans="1:8" x14ac:dyDescent="0.3">
      <c r="A30" s="252"/>
      <c r="E30" s="251"/>
      <c r="F30" s="251"/>
      <c r="G30" s="251"/>
    </row>
    <row r="31" spans="1:8" ht="26.25" customHeight="1" x14ac:dyDescent="0.4">
      <c r="A31" s="254" t="s">
        <v>127</v>
      </c>
      <c r="B31" s="245">
        <v>1</v>
      </c>
      <c r="C31" s="255" t="s">
        <v>128</v>
      </c>
      <c r="D31" s="245">
        <v>1</v>
      </c>
      <c r="E31" s="248"/>
      <c r="F31" s="238"/>
    </row>
    <row r="32" spans="1:8" ht="19.5" customHeight="1" thickBot="1" x14ac:dyDescent="0.35">
      <c r="A32" s="252"/>
      <c r="B32" s="256"/>
      <c r="C32" s="238"/>
      <c r="D32" s="238"/>
      <c r="E32" s="238"/>
      <c r="F32" s="238"/>
    </row>
    <row r="33" spans="1:8" ht="19.5" customHeight="1" thickBot="1" x14ac:dyDescent="0.35">
      <c r="A33" s="257" t="s">
        <v>129</v>
      </c>
      <c r="B33" s="257" t="s">
        <v>130</v>
      </c>
      <c r="C33" s="258" t="s">
        <v>131</v>
      </c>
      <c r="D33" s="257" t="s">
        <v>132</v>
      </c>
      <c r="E33" s="259" t="s">
        <v>133</v>
      </c>
      <c r="F33" s="259" t="s">
        <v>134</v>
      </c>
      <c r="G33" s="257" t="s">
        <v>135</v>
      </c>
    </row>
    <row r="34" spans="1:8" ht="26.25" customHeight="1" x14ac:dyDescent="0.4">
      <c r="A34" s="260" t="s">
        <v>136</v>
      </c>
      <c r="B34" s="261">
        <v>103.42</v>
      </c>
      <c r="C34" s="262">
        <f>IF(ISBLANK(B34), "-",B34/$B$28*($B$31/$D$31))</f>
        <v>1.769678302532512</v>
      </c>
      <c r="D34" s="263">
        <v>17.765000000000001</v>
      </c>
      <c r="E34" s="264">
        <f>IF(ISBLANK(B34), "-",C34/D34)</f>
        <v>9.9616003519983787E-2</v>
      </c>
      <c r="F34" s="265">
        <f>IF(ISBLANK(B34), "-",(E34-$B$29)/$B$29)</f>
        <v>-3.8399648001621878E-3</v>
      </c>
      <c r="G34" s="266">
        <f>IF(ISBLANK(B34),"-",E34/$B$29)</f>
        <v>0.99616003519983787</v>
      </c>
    </row>
    <row r="35" spans="1:8" ht="26.25" customHeight="1" x14ac:dyDescent="0.4">
      <c r="A35" s="267" t="s">
        <v>137</v>
      </c>
      <c r="B35" s="268">
        <v>101.22</v>
      </c>
      <c r="C35" s="269">
        <f>IF(ISBLANK(B35), "-",B35/$B$28*($B$31/$D$31))</f>
        <v>1.7320328542094456</v>
      </c>
      <c r="D35" s="270">
        <v>17.300999999999998</v>
      </c>
      <c r="E35" s="271">
        <f>IF(ISBLANK(B35), "-",C35/D35)</f>
        <v>0.10011171921908825</v>
      </c>
      <c r="F35" s="272">
        <f>IF(ISBLANK(B35), "-",(E35-$B$29)/$B$29)</f>
        <v>1.1171921908824378E-3</v>
      </c>
      <c r="G35" s="273">
        <f>IF(ISBLANK(B35),"-",E35/$B$29)</f>
        <v>1.0011171921908824</v>
      </c>
    </row>
    <row r="36" spans="1:8" ht="26.25" customHeight="1" x14ac:dyDescent="0.4">
      <c r="A36" s="267" t="s">
        <v>138</v>
      </c>
      <c r="B36" s="268">
        <v>106.56</v>
      </c>
      <c r="C36" s="269">
        <f>IF(ISBLANK(B36), "-",B36/$B$28*($B$31/$D$31))</f>
        <v>1.8234086242299796</v>
      </c>
      <c r="D36" s="270">
        <v>18.239000000000001</v>
      </c>
      <c r="E36" s="271">
        <f>IF(ISBLANK(B36), "-",C36/D36)</f>
        <v>9.9973059061899197E-2</v>
      </c>
      <c r="F36" s="272">
        <f>IF(ISBLANK(B36), "-",(E36-$B$29)/$B$29)</f>
        <v>-2.6940938100808443E-4</v>
      </c>
      <c r="G36" s="273">
        <f>IF(ISBLANK(B36),"-",E36/$B$29)</f>
        <v>0.99973059061899194</v>
      </c>
    </row>
    <row r="37" spans="1:8" ht="27" customHeight="1" thickBot="1" x14ac:dyDescent="0.45">
      <c r="A37" s="274" t="s">
        <v>139</v>
      </c>
      <c r="B37" s="275"/>
      <c r="C37" s="276" t="str">
        <f>IF(ISBLANK(B37), "-",B37/$B$28*($B$31/$D$31))</f>
        <v>-</v>
      </c>
      <c r="D37" s="277"/>
      <c r="E37" s="278" t="str">
        <f>IF(ISBLANK(B37), "-",C37/D37)</f>
        <v>-</v>
      </c>
      <c r="F37" s="279" t="str">
        <f>IF(ISBLANK(B37), "-",(E37-$B$29)/$B$29)</f>
        <v>-</v>
      </c>
      <c r="G37" s="280" t="str">
        <f>IF(ISBLANK(B37),"-",E37/$B$29)</f>
        <v>-</v>
      </c>
    </row>
    <row r="38" spans="1:8" ht="19.5" customHeight="1" thickBot="1" x14ac:dyDescent="0.35">
      <c r="A38" s="248"/>
      <c r="B38" s="248"/>
      <c r="C38" s="248"/>
      <c r="D38" s="281" t="s">
        <v>140</v>
      </c>
      <c r="E38" s="282">
        <f>AVERAGE(E34:E37)</f>
        <v>9.990026060032374E-2</v>
      </c>
      <c r="F38" s="283">
        <f>AVERAGE(F34:F37)</f>
        <v>-9.9739399676261153E-4</v>
      </c>
      <c r="G38" s="284">
        <f>AVERAGE(G34:G37)</f>
        <v>0.99900260600323743</v>
      </c>
    </row>
    <row r="39" spans="1:8" x14ac:dyDescent="0.3">
      <c r="A39" s="248"/>
      <c r="B39" s="285"/>
      <c r="C39" s="286"/>
      <c r="D39" s="287" t="s">
        <v>82</v>
      </c>
      <c r="E39" s="288">
        <f>STDEV(E34:E36)/E38</f>
        <v>2.5600565735303307E-3</v>
      </c>
      <c r="F39" s="289"/>
      <c r="G39" s="248"/>
    </row>
    <row r="40" spans="1:8" ht="19.5" customHeight="1" thickBot="1" x14ac:dyDescent="0.35">
      <c r="A40" s="248"/>
      <c r="B40" s="285"/>
      <c r="C40" s="286"/>
      <c r="D40" s="290" t="s">
        <v>17</v>
      </c>
      <c r="E40" s="291">
        <f>COUNT(E34:E37)</f>
        <v>3</v>
      </c>
      <c r="F40" s="292"/>
      <c r="G40" s="248"/>
    </row>
    <row r="41" spans="1:8" x14ac:dyDescent="0.3">
      <c r="A41" s="241"/>
      <c r="B41" s="242"/>
    </row>
    <row r="42" spans="1:8" x14ac:dyDescent="0.3">
      <c r="A42" s="241"/>
      <c r="B42" s="242"/>
    </row>
    <row r="44" spans="1:8" x14ac:dyDescent="0.3">
      <c r="A44" s="293" t="s">
        <v>1</v>
      </c>
      <c r="B44" s="242" t="s">
        <v>105</v>
      </c>
    </row>
    <row r="45" spans="1:8" x14ac:dyDescent="0.3">
      <c r="A45" s="252" t="s">
        <v>84</v>
      </c>
      <c r="B45" s="294">
        <v>1</v>
      </c>
      <c r="C45" s="238" t="s">
        <v>85</v>
      </c>
      <c r="D45" s="295">
        <v>9</v>
      </c>
      <c r="E45" s="238" t="str">
        <f>B20</f>
        <v>Sodium chloride</v>
      </c>
      <c r="H45" s="296"/>
    </row>
    <row r="46" spans="1:8" x14ac:dyDescent="0.3">
      <c r="A46" s="252"/>
      <c r="H46" s="296"/>
    </row>
    <row r="47" spans="1:8" ht="26.25" customHeight="1" x14ac:dyDescent="0.4">
      <c r="A47" s="252" t="s">
        <v>141</v>
      </c>
      <c r="B47" s="297" t="str">
        <f>B26</f>
        <v>0.1M Silver Nitrate</v>
      </c>
      <c r="C47" s="292" t="s">
        <v>142</v>
      </c>
      <c r="D47" s="245">
        <v>5.8440000000000003</v>
      </c>
      <c r="E47" s="248" t="str">
        <f>B20</f>
        <v>Sodium chloride</v>
      </c>
      <c r="H47" s="296"/>
    </row>
    <row r="48" spans="1:8" ht="19.5" customHeight="1" thickBot="1" x14ac:dyDescent="0.35">
      <c r="A48" s="248"/>
      <c r="B48" s="248"/>
      <c r="C48" s="248"/>
      <c r="D48" s="248"/>
      <c r="H48" s="296"/>
    </row>
    <row r="49" spans="1:10" ht="19.5" customHeight="1" thickBot="1" x14ac:dyDescent="0.35">
      <c r="C49" s="248"/>
      <c r="D49" s="248"/>
      <c r="E49" s="248"/>
      <c r="F49" s="248"/>
      <c r="G49" s="385" t="s">
        <v>143</v>
      </c>
      <c r="H49" s="386"/>
      <c r="J49" s="298"/>
    </row>
    <row r="50" spans="1:10" ht="19.5" customHeight="1" thickBot="1" x14ac:dyDescent="0.35">
      <c r="A50" s="299" t="s">
        <v>144</v>
      </c>
      <c r="B50" s="257" t="s">
        <v>145</v>
      </c>
      <c r="C50" s="300" t="s">
        <v>146</v>
      </c>
      <c r="D50" s="257" t="s">
        <v>147</v>
      </c>
      <c r="E50" s="257" t="s">
        <v>148</v>
      </c>
      <c r="F50" s="300" t="s">
        <v>149</v>
      </c>
      <c r="G50" s="257" t="s">
        <v>150</v>
      </c>
      <c r="H50" s="257" t="s">
        <v>151</v>
      </c>
      <c r="I50" s="301" t="s">
        <v>152</v>
      </c>
      <c r="J50" s="302"/>
    </row>
    <row r="51" spans="1:10" ht="26.25" customHeight="1" x14ac:dyDescent="0.4">
      <c r="A51" s="303" t="s">
        <v>136</v>
      </c>
      <c r="B51" s="261">
        <v>11</v>
      </c>
      <c r="C51" s="261">
        <v>17.032</v>
      </c>
      <c r="D51" s="261">
        <v>0</v>
      </c>
      <c r="E51" s="304">
        <f t="shared" ref="E51:E53" si="0">IF(ISBLANK(B51),"-",C51-$D$55)</f>
        <v>17.032</v>
      </c>
      <c r="F51" s="305">
        <f>IF(ISBLANK(B51), "-",E51*$G$38)</f>
        <v>17.01501238544714</v>
      </c>
      <c r="G51" s="306">
        <f>IF(ISBLANK(B51),"-",F51*$D$47)</f>
        <v>99.435732380553091</v>
      </c>
      <c r="H51" s="307">
        <f>IF(ISBLANK(B51),"-",G51*$B$45/B51)</f>
        <v>9.039612034595736</v>
      </c>
      <c r="I51" s="308">
        <f>IF(ISBLANK(B51),"-",H51/$D$45)</f>
        <v>1.004401337177304</v>
      </c>
      <c r="J51" s="297"/>
    </row>
    <row r="52" spans="1:10" ht="26.25" customHeight="1" x14ac:dyDescent="0.4">
      <c r="A52" s="309" t="s">
        <v>137</v>
      </c>
      <c r="B52" s="268">
        <v>11</v>
      </c>
      <c r="C52" s="268">
        <v>17.184000000000001</v>
      </c>
      <c r="D52" s="268">
        <v>0</v>
      </c>
      <c r="E52" s="310">
        <f t="shared" si="0"/>
        <v>17.184000000000001</v>
      </c>
      <c r="F52" s="311">
        <f>IF(ISBLANK(B52), "-",E52*$G$38)</f>
        <v>17.166860781559635</v>
      </c>
      <c r="G52" s="312">
        <f>IF(ISBLANK(B52),"-",F52*$D$47)</f>
        <v>100.32313440743451</v>
      </c>
      <c r="H52" s="313">
        <f>IF(ISBLANK(B52),"-",G52*$B$45/B52)</f>
        <v>9.1202849461304094</v>
      </c>
      <c r="I52" s="314">
        <f>IF(ISBLANK(B52),"-",H52/$D$45)</f>
        <v>1.01336499401449</v>
      </c>
      <c r="J52" s="297"/>
    </row>
    <row r="53" spans="1:10" ht="26.25" customHeight="1" x14ac:dyDescent="0.4">
      <c r="A53" s="309" t="s">
        <v>138</v>
      </c>
      <c r="B53" s="268">
        <v>11</v>
      </c>
      <c r="C53" s="268">
        <v>17.023</v>
      </c>
      <c r="D53" s="268">
        <v>0</v>
      </c>
      <c r="E53" s="310">
        <f t="shared" si="0"/>
        <v>17.023</v>
      </c>
      <c r="F53" s="311">
        <f>IF(ISBLANK(B53), "-",E53*$G$38)</f>
        <v>17.00602136199311</v>
      </c>
      <c r="G53" s="312">
        <f>IF(ISBLANK(B53),"-",F53*$D$47)</f>
        <v>99.383188839487744</v>
      </c>
      <c r="H53" s="313">
        <f>IF(ISBLANK(B53),"-",G53*$B$45/B53)</f>
        <v>9.0348353490443412</v>
      </c>
      <c r="I53" s="314">
        <f>IF(ISBLANK(B53),"-",H53/$D$45)</f>
        <v>1.0038705943382602</v>
      </c>
      <c r="J53" s="297"/>
    </row>
    <row r="54" spans="1:10" ht="27" customHeight="1" thickBot="1" x14ac:dyDescent="0.45">
      <c r="A54" s="315" t="s">
        <v>139</v>
      </c>
      <c r="B54" s="275"/>
      <c r="C54" s="275"/>
      <c r="D54" s="275"/>
      <c r="E54" s="316" t="str">
        <f>IF(ISBLANK(B54),"-",C54-$D$55)</f>
        <v>-</v>
      </c>
      <c r="F54" s="317" t="str">
        <f>IF(ISBLANK(B54), "-",E54*$G$38)</f>
        <v>-</v>
      </c>
      <c r="G54" s="318" t="str">
        <f>IF(ISBLANK(B54),"-",F54*$D$47)</f>
        <v>-</v>
      </c>
      <c r="H54" s="319" t="str">
        <f>IF(ISBLANK(B54),"-",G54*$B$45/B54)</f>
        <v>-</v>
      </c>
      <c r="I54" s="320" t="str">
        <f>IF(ISBLANK(B54),"-",H54/$D$45)</f>
        <v>-</v>
      </c>
      <c r="J54" s="292"/>
    </row>
    <row r="55" spans="1:10" ht="26.25" customHeight="1" x14ac:dyDescent="0.4">
      <c r="C55" s="321" t="s">
        <v>140</v>
      </c>
      <c r="D55" s="322">
        <f>AVERAGE(D51:D54)</f>
        <v>0</v>
      </c>
      <c r="F55" s="321" t="s">
        <v>140</v>
      </c>
      <c r="G55" s="323">
        <f>AVERAGE(G51:G54)</f>
        <v>99.714018542491772</v>
      </c>
      <c r="H55" s="323">
        <f>AVERAGE(H51:H54)</f>
        <v>9.0649107765901622</v>
      </c>
      <c r="I55" s="324">
        <f>AVERAGE(I51:I54)</f>
        <v>1.0072123085100182</v>
      </c>
      <c r="J55" s="325"/>
    </row>
    <row r="56" spans="1:10" ht="26.25" customHeight="1" x14ac:dyDescent="0.4">
      <c r="C56" s="287" t="s">
        <v>82</v>
      </c>
      <c r="D56" s="288" t="str">
        <f>IF(D55=0,"-",STDEV(D51:D54)/D55)</f>
        <v>-</v>
      </c>
      <c r="F56" s="287" t="s">
        <v>82</v>
      </c>
      <c r="G56" s="326"/>
      <c r="H56" s="327">
        <f>STDEV(H51:H54)/H55</f>
        <v>5.2967840118736597E-3</v>
      </c>
      <c r="I56" s="327">
        <f>STDEV(I51:I54)/I55</f>
        <v>5.2967840118736771E-3</v>
      </c>
      <c r="J56" s="328"/>
    </row>
    <row r="57" spans="1:10" ht="27" customHeight="1" thickBot="1" x14ac:dyDescent="0.45">
      <c r="B57" s="233" t="str">
        <f>[1]Uniformity!C46</f>
        <v>% Deviation from mean</v>
      </c>
      <c r="C57" s="290" t="s">
        <v>17</v>
      </c>
      <c r="D57" s="291">
        <f>COUNT(D51:D54)</f>
        <v>3</v>
      </c>
      <c r="F57" s="290" t="s">
        <v>17</v>
      </c>
      <c r="G57" s="329">
        <f>COUNT(G51:G54)</f>
        <v>3</v>
      </c>
      <c r="H57" s="329">
        <f>COUNT(H51:H54)</f>
        <v>3</v>
      </c>
      <c r="I57" s="329">
        <f>COUNT(I51:I54)</f>
        <v>3</v>
      </c>
      <c r="J57" s="330"/>
    </row>
    <row r="58" spans="1:10" x14ac:dyDescent="0.3">
      <c r="H58" s="296"/>
      <c r="I58" s="297"/>
      <c r="J58" s="248"/>
    </row>
    <row r="59" spans="1:10" x14ac:dyDescent="0.3">
      <c r="H59" s="296"/>
    </row>
    <row r="60" spans="1:10" ht="19.5" customHeight="1" thickBot="1" x14ac:dyDescent="0.35">
      <c r="A60" s="331"/>
      <c r="B60" s="331"/>
      <c r="C60" s="332"/>
      <c r="D60" s="332"/>
      <c r="E60" s="332"/>
      <c r="F60" s="332"/>
      <c r="G60" s="332"/>
      <c r="H60" s="332"/>
    </row>
    <row r="61" spans="1:10" x14ac:dyDescent="0.3">
      <c r="B61" s="378" t="s">
        <v>23</v>
      </c>
      <c r="C61" s="378"/>
      <c r="E61" s="333" t="s">
        <v>24</v>
      </c>
      <c r="F61" s="334"/>
      <c r="G61" s="378" t="s">
        <v>25</v>
      </c>
      <c r="H61" s="378"/>
    </row>
    <row r="62" spans="1:10" ht="83.25" customHeight="1" x14ac:dyDescent="0.3">
      <c r="A62" s="243" t="s">
        <v>26</v>
      </c>
      <c r="B62" s="335" t="s">
        <v>111</v>
      </c>
      <c r="C62" s="335"/>
      <c r="E62" s="336"/>
      <c r="F62" s="238"/>
      <c r="G62" s="336"/>
      <c r="H62" s="336"/>
    </row>
    <row r="63" spans="1:10" ht="84" customHeight="1" x14ac:dyDescent="0.3">
      <c r="A63" s="243" t="s">
        <v>27</v>
      </c>
      <c r="B63" s="224" t="s">
        <v>156</v>
      </c>
      <c r="C63" s="224"/>
      <c r="D63" s="222"/>
      <c r="E63" s="339">
        <v>42390</v>
      </c>
      <c r="F63" s="238"/>
      <c r="G63" s="337"/>
      <c r="H63" s="337"/>
    </row>
    <row r="64" spans="1:10" x14ac:dyDescent="0.3">
      <c r="A64" s="296"/>
      <c r="B64" s="296"/>
      <c r="C64" s="296"/>
      <c r="D64" s="296"/>
      <c r="E64" s="296"/>
      <c r="F64" s="338"/>
      <c r="G64" s="296"/>
      <c r="H64" s="296"/>
      <c r="I64" s="248"/>
    </row>
    <row r="65" spans="1:9" x14ac:dyDescent="0.3">
      <c r="A65" s="296"/>
      <c r="B65" s="296"/>
      <c r="C65" s="296"/>
      <c r="D65" s="296"/>
      <c r="E65" s="296"/>
      <c r="F65" s="338"/>
      <c r="G65" s="296"/>
      <c r="H65" s="296"/>
      <c r="I65" s="248"/>
    </row>
    <row r="66" spans="1:9" x14ac:dyDescent="0.3">
      <c r="A66" s="296"/>
      <c r="B66" s="296"/>
      <c r="C66" s="296"/>
      <c r="D66" s="296"/>
      <c r="E66" s="296"/>
      <c r="F66" s="338"/>
      <c r="G66" s="296"/>
      <c r="H66" s="296"/>
      <c r="I66" s="248"/>
    </row>
    <row r="67" spans="1:9" x14ac:dyDescent="0.3">
      <c r="A67" s="296"/>
      <c r="B67" s="296"/>
      <c r="C67" s="296"/>
      <c r="D67" s="296"/>
      <c r="E67" s="296"/>
      <c r="F67" s="338"/>
      <c r="G67" s="296"/>
      <c r="H67" s="296"/>
      <c r="I67" s="248"/>
    </row>
    <row r="68" spans="1:9" x14ac:dyDescent="0.3">
      <c r="A68" s="296"/>
      <c r="B68" s="296"/>
      <c r="C68" s="296"/>
      <c r="D68" s="296"/>
      <c r="E68" s="296"/>
      <c r="F68" s="338"/>
      <c r="G68" s="296"/>
      <c r="H68" s="296"/>
      <c r="I68" s="248"/>
    </row>
    <row r="69" spans="1:9" x14ac:dyDescent="0.3">
      <c r="A69" s="296"/>
      <c r="B69" s="296"/>
      <c r="C69" s="296"/>
      <c r="D69" s="296"/>
      <c r="E69" s="296"/>
      <c r="F69" s="338"/>
      <c r="G69" s="296"/>
      <c r="H69" s="296"/>
      <c r="I69" s="248"/>
    </row>
    <row r="70" spans="1:9" x14ac:dyDescent="0.3">
      <c r="A70" s="296"/>
      <c r="B70" s="296"/>
      <c r="C70" s="296"/>
      <c r="D70" s="296"/>
      <c r="E70" s="296"/>
      <c r="F70" s="338"/>
      <c r="G70" s="296"/>
      <c r="H70" s="296"/>
      <c r="I70" s="248"/>
    </row>
    <row r="71" spans="1:9" x14ac:dyDescent="0.3">
      <c r="A71" s="296"/>
      <c r="B71" s="296"/>
      <c r="C71" s="296"/>
      <c r="D71" s="296"/>
      <c r="E71" s="296"/>
      <c r="F71" s="338"/>
      <c r="G71" s="296"/>
      <c r="H71" s="296"/>
      <c r="I71" s="248"/>
    </row>
    <row r="72" spans="1:9" x14ac:dyDescent="0.3">
      <c r="A72" s="296"/>
      <c r="B72" s="296"/>
      <c r="C72" s="296"/>
      <c r="D72" s="296"/>
      <c r="E72" s="296"/>
      <c r="F72" s="338"/>
      <c r="G72" s="296"/>
      <c r="H72" s="296"/>
      <c r="I72" s="248"/>
    </row>
    <row r="250" spans="1:1" x14ac:dyDescent="0.3">
      <c r="A250" s="23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13" priority="1" operator="greaterThan">
      <formula>0.02</formula>
    </cfRule>
  </conditionalFormatting>
  <conditionalFormatting sqref="H56">
    <cfRule type="cellIs" dxfId="12" priority="2" operator="greaterThan">
      <formula>0.02</formula>
    </cfRule>
  </conditionalFormatting>
  <conditionalFormatting sqref="I56">
    <cfRule type="cellIs" dxfId="11" priority="3" operator="greaterThan">
      <formula>0.02</formula>
    </cfRule>
  </conditionalFormatting>
  <conditionalFormatting sqref="J56">
    <cfRule type="cellIs" dxfId="10" priority="4" operator="greaterThan">
      <formula>0.02</formula>
    </cfRule>
  </conditionalFormatting>
  <conditionalFormatting sqref="F38">
    <cfRule type="cellIs" dxfId="9" priority="5" operator="greaterThan">
      <formula>0.1</formula>
    </cfRule>
  </conditionalFormatting>
  <conditionalFormatting sqref="E39">
    <cfRule type="cellIs" dxfId="8" priority="6" operator="greaterThan">
      <formula>0.002</formula>
    </cfRule>
  </conditionalFormatting>
  <conditionalFormatting sqref="F39">
    <cfRule type="cellIs" dxfId="7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&amp;LVer.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40" zoomScale="60" zoomScaleNormal="60" zoomScalePageLayoutView="85" workbookViewId="0">
      <selection activeCell="B63" sqref="B63:E63"/>
    </sheetView>
  </sheetViews>
  <sheetFormatPr defaultRowHeight="18.75" x14ac:dyDescent="0.3"/>
  <cols>
    <col min="1" max="1" width="42.85546875" style="233" customWidth="1"/>
    <col min="2" max="2" width="34.85546875" style="233" customWidth="1"/>
    <col min="3" max="3" width="33.28515625" style="233" customWidth="1"/>
    <col min="4" max="4" width="30.5703125" style="233" customWidth="1"/>
    <col min="5" max="5" width="33.5703125" style="233" customWidth="1"/>
    <col min="6" max="6" width="39.85546875" style="233" customWidth="1"/>
    <col min="7" max="7" width="31.7109375" style="233" customWidth="1"/>
    <col min="8" max="8" width="31.140625" style="233" customWidth="1"/>
    <col min="9" max="9" width="32.28515625" style="231" customWidth="1"/>
    <col min="10" max="10" width="22.28515625" style="231" customWidth="1"/>
    <col min="11" max="11" width="19.5703125" style="231" customWidth="1"/>
    <col min="12" max="12" width="21.140625" style="231" customWidth="1"/>
    <col min="13" max="13" width="9.140625" style="231" customWidth="1"/>
    <col min="14" max="16384" width="9.140625" style="232"/>
  </cols>
  <sheetData>
    <row r="1" spans="1:9" ht="15" x14ac:dyDescent="0.3">
      <c r="A1" s="379" t="s">
        <v>117</v>
      </c>
      <c r="B1" s="379"/>
      <c r="C1" s="379"/>
      <c r="D1" s="379"/>
      <c r="E1" s="379"/>
      <c r="F1" s="379"/>
      <c r="G1" s="379"/>
      <c r="H1" s="379"/>
      <c r="I1" s="379"/>
    </row>
    <row r="2" spans="1:9" ht="15" x14ac:dyDescent="0.3">
      <c r="A2" s="379"/>
      <c r="B2" s="379"/>
      <c r="C2" s="379"/>
      <c r="D2" s="379"/>
      <c r="E2" s="379"/>
      <c r="F2" s="379"/>
      <c r="G2" s="379"/>
      <c r="H2" s="379"/>
      <c r="I2" s="379"/>
    </row>
    <row r="3" spans="1:9" ht="15" x14ac:dyDescent="0.3">
      <c r="A3" s="379"/>
      <c r="B3" s="379"/>
      <c r="C3" s="379"/>
      <c r="D3" s="379"/>
      <c r="E3" s="379"/>
      <c r="F3" s="379"/>
      <c r="G3" s="379"/>
      <c r="H3" s="379"/>
      <c r="I3" s="379"/>
    </row>
    <row r="4" spans="1:9" ht="15" x14ac:dyDescent="0.3">
      <c r="A4" s="379"/>
      <c r="B4" s="379"/>
      <c r="C4" s="379"/>
      <c r="D4" s="379"/>
      <c r="E4" s="379"/>
      <c r="F4" s="379"/>
      <c r="G4" s="379"/>
      <c r="H4" s="379"/>
      <c r="I4" s="379"/>
    </row>
    <row r="5" spans="1:9" ht="15" x14ac:dyDescent="0.3">
      <c r="A5" s="379"/>
      <c r="B5" s="379"/>
      <c r="C5" s="379"/>
      <c r="D5" s="379"/>
      <c r="E5" s="379"/>
      <c r="F5" s="379"/>
      <c r="G5" s="379"/>
      <c r="H5" s="379"/>
      <c r="I5" s="379"/>
    </row>
    <row r="6" spans="1:9" ht="15" x14ac:dyDescent="0.3">
      <c r="A6" s="379"/>
      <c r="B6" s="379"/>
      <c r="C6" s="379"/>
      <c r="D6" s="379"/>
      <c r="E6" s="379"/>
      <c r="F6" s="379"/>
      <c r="G6" s="379"/>
      <c r="H6" s="379"/>
      <c r="I6" s="379"/>
    </row>
    <row r="7" spans="1:9" ht="15" x14ac:dyDescent="0.3">
      <c r="A7" s="379"/>
      <c r="B7" s="379"/>
      <c r="C7" s="379"/>
      <c r="D7" s="379"/>
      <c r="E7" s="379"/>
      <c r="F7" s="379"/>
      <c r="G7" s="379"/>
      <c r="H7" s="379"/>
      <c r="I7" s="379"/>
    </row>
    <row r="8" spans="1:9" ht="15" x14ac:dyDescent="0.3">
      <c r="A8" s="380" t="s">
        <v>46</v>
      </c>
      <c r="B8" s="380"/>
      <c r="C8" s="380"/>
      <c r="D8" s="380"/>
      <c r="E8" s="380"/>
      <c r="F8" s="380"/>
      <c r="G8" s="380"/>
      <c r="H8" s="380"/>
      <c r="I8" s="380"/>
    </row>
    <row r="9" spans="1:9" ht="15" x14ac:dyDescent="0.3">
      <c r="A9" s="380"/>
      <c r="B9" s="380"/>
      <c r="C9" s="380"/>
      <c r="D9" s="380"/>
      <c r="E9" s="380"/>
      <c r="F9" s="380"/>
      <c r="G9" s="380"/>
      <c r="H9" s="380"/>
      <c r="I9" s="380"/>
    </row>
    <row r="10" spans="1:9" ht="15" x14ac:dyDescent="0.3">
      <c r="A10" s="380"/>
      <c r="B10" s="380"/>
      <c r="C10" s="380"/>
      <c r="D10" s="380"/>
      <c r="E10" s="380"/>
      <c r="F10" s="380"/>
      <c r="G10" s="380"/>
      <c r="H10" s="380"/>
      <c r="I10" s="380"/>
    </row>
    <row r="11" spans="1:9" ht="15" x14ac:dyDescent="0.3">
      <c r="A11" s="380"/>
      <c r="B11" s="380"/>
      <c r="C11" s="380"/>
      <c r="D11" s="380"/>
      <c r="E11" s="380"/>
      <c r="F11" s="380"/>
      <c r="G11" s="380"/>
      <c r="H11" s="380"/>
      <c r="I11" s="380"/>
    </row>
    <row r="12" spans="1:9" ht="15" x14ac:dyDescent="0.3">
      <c r="A12" s="380"/>
      <c r="B12" s="380"/>
      <c r="C12" s="380"/>
      <c r="D12" s="380"/>
      <c r="E12" s="380"/>
      <c r="F12" s="380"/>
      <c r="G12" s="380"/>
      <c r="H12" s="380"/>
      <c r="I12" s="380"/>
    </row>
    <row r="13" spans="1:9" ht="15" x14ac:dyDescent="0.3">
      <c r="A13" s="380"/>
      <c r="B13" s="380"/>
      <c r="C13" s="380"/>
      <c r="D13" s="380"/>
      <c r="E13" s="380"/>
      <c r="F13" s="380"/>
      <c r="G13" s="380"/>
      <c r="H13" s="380"/>
      <c r="I13" s="380"/>
    </row>
    <row r="14" spans="1:9" ht="15" x14ac:dyDescent="0.3">
      <c r="A14" s="380"/>
      <c r="B14" s="380"/>
      <c r="C14" s="380"/>
      <c r="D14" s="380"/>
      <c r="E14" s="380"/>
      <c r="F14" s="380"/>
      <c r="G14" s="380"/>
      <c r="H14" s="380"/>
      <c r="I14" s="380"/>
    </row>
    <row r="15" spans="1:9" ht="19.5" customHeight="1" thickBot="1" x14ac:dyDescent="0.35"/>
    <row r="16" spans="1:9" ht="19.5" customHeight="1" thickBot="1" x14ac:dyDescent="0.35">
      <c r="A16" s="381" t="s">
        <v>28</v>
      </c>
      <c r="B16" s="382"/>
      <c r="C16" s="382"/>
      <c r="D16" s="382"/>
      <c r="E16" s="382"/>
      <c r="F16" s="382"/>
      <c r="G16" s="382"/>
      <c r="H16" s="383"/>
    </row>
    <row r="17" spans="1:8" x14ac:dyDescent="0.3">
      <c r="A17" s="384" t="s">
        <v>47</v>
      </c>
      <c r="B17" s="384"/>
      <c r="C17" s="384"/>
      <c r="D17" s="384"/>
      <c r="E17" s="384"/>
      <c r="F17" s="384"/>
      <c r="G17" s="384"/>
      <c r="H17" s="384"/>
    </row>
    <row r="18" spans="1:8" ht="26.25" customHeight="1" x14ac:dyDescent="0.3">
      <c r="A18" s="234" t="s">
        <v>30</v>
      </c>
      <c r="B18" s="235" t="s">
        <v>118</v>
      </c>
      <c r="C18" s="236"/>
      <c r="D18" s="236"/>
      <c r="E18" s="236"/>
    </row>
    <row r="19" spans="1:8" ht="26.25" customHeight="1" x14ac:dyDescent="0.3">
      <c r="A19" s="234" t="s">
        <v>31</v>
      </c>
      <c r="B19" s="237" t="s">
        <v>7</v>
      </c>
      <c r="C19" s="238">
        <v>26</v>
      </c>
    </row>
    <row r="20" spans="1:8" ht="26.25" customHeight="1" x14ac:dyDescent="0.3">
      <c r="A20" s="234" t="s">
        <v>32</v>
      </c>
      <c r="B20" s="237" t="s">
        <v>119</v>
      </c>
    </row>
    <row r="21" spans="1:8" ht="26.25" customHeight="1" x14ac:dyDescent="0.3">
      <c r="A21" s="234" t="s">
        <v>34</v>
      </c>
      <c r="B21" s="239" t="s">
        <v>120</v>
      </c>
    </row>
    <row r="22" spans="1:8" ht="26.25" customHeight="1" x14ac:dyDescent="0.3">
      <c r="A22" s="234" t="s">
        <v>35</v>
      </c>
      <c r="B22" s="239" t="s">
        <v>155</v>
      </c>
    </row>
    <row r="23" spans="1:8" x14ac:dyDescent="0.3">
      <c r="A23" s="234"/>
      <c r="B23" s="240"/>
    </row>
    <row r="24" spans="1:8" x14ac:dyDescent="0.3">
      <c r="A24" s="241" t="s">
        <v>1</v>
      </c>
      <c r="B24" s="242" t="s">
        <v>121</v>
      </c>
    </row>
    <row r="25" spans="1:8" x14ac:dyDescent="0.3">
      <c r="A25" s="241"/>
      <c r="B25" s="242"/>
    </row>
    <row r="26" spans="1:8" ht="26.25" customHeight="1" x14ac:dyDescent="0.4">
      <c r="A26" s="243" t="s">
        <v>122</v>
      </c>
      <c r="B26" s="244" t="s">
        <v>153</v>
      </c>
      <c r="C26" s="245"/>
      <c r="D26" s="238"/>
      <c r="E26" s="238"/>
      <c r="F26" s="238"/>
    </row>
    <row r="27" spans="1:8" ht="26.25" customHeight="1" x14ac:dyDescent="0.4">
      <c r="A27" s="246" t="s">
        <v>4</v>
      </c>
      <c r="B27" s="247" t="s">
        <v>154</v>
      </c>
      <c r="C27" s="245"/>
      <c r="D27" s="248"/>
      <c r="E27" s="248"/>
      <c r="F27" s="248"/>
      <c r="G27" s="248"/>
    </row>
    <row r="28" spans="1:8" ht="26.25" customHeight="1" x14ac:dyDescent="0.4">
      <c r="A28" s="249" t="s">
        <v>125</v>
      </c>
      <c r="B28" s="245">
        <v>105.989</v>
      </c>
      <c r="C28" s="250"/>
      <c r="D28" s="251"/>
      <c r="E28" s="251"/>
      <c r="F28" s="251"/>
      <c r="G28" s="251"/>
    </row>
    <row r="29" spans="1:8" ht="26.25" customHeight="1" x14ac:dyDescent="0.4">
      <c r="A29" s="252" t="s">
        <v>126</v>
      </c>
      <c r="B29" s="253">
        <v>0.5</v>
      </c>
      <c r="C29" s="250"/>
      <c r="D29" s="251"/>
      <c r="E29" s="251"/>
      <c r="F29" s="251"/>
      <c r="G29" s="251"/>
    </row>
    <row r="30" spans="1:8" x14ac:dyDescent="0.3">
      <c r="A30" s="252"/>
      <c r="E30" s="251"/>
      <c r="F30" s="251"/>
      <c r="G30" s="251"/>
    </row>
    <row r="31" spans="1:8" ht="26.25" customHeight="1" x14ac:dyDescent="0.4">
      <c r="A31" s="254" t="s">
        <v>127</v>
      </c>
      <c r="B31" s="245">
        <v>2</v>
      </c>
      <c r="C31" s="255" t="s">
        <v>128</v>
      </c>
      <c r="D31" s="245">
        <v>1</v>
      </c>
      <c r="E31" s="248"/>
      <c r="F31" s="238"/>
    </row>
    <row r="32" spans="1:8" ht="19.5" customHeight="1" thickBot="1" x14ac:dyDescent="0.35">
      <c r="A32" s="252"/>
      <c r="B32" s="256"/>
      <c r="C32" s="238"/>
      <c r="D32" s="238"/>
      <c r="E32" s="238"/>
      <c r="F32" s="238"/>
    </row>
    <row r="33" spans="1:8" ht="19.5" customHeight="1" thickBot="1" x14ac:dyDescent="0.35">
      <c r="A33" s="257" t="s">
        <v>129</v>
      </c>
      <c r="B33" s="257" t="s">
        <v>130</v>
      </c>
      <c r="C33" s="258" t="s">
        <v>131</v>
      </c>
      <c r="D33" s="257" t="s">
        <v>132</v>
      </c>
      <c r="E33" s="259" t="s">
        <v>133</v>
      </c>
      <c r="F33" s="259" t="s">
        <v>134</v>
      </c>
      <c r="G33" s="257" t="s">
        <v>135</v>
      </c>
    </row>
    <row r="34" spans="1:8" ht="26.25" customHeight="1" x14ac:dyDescent="0.4">
      <c r="A34" s="260" t="s">
        <v>136</v>
      </c>
      <c r="B34" s="261">
        <v>497.12</v>
      </c>
      <c r="C34" s="262">
        <f>IF(ISBLANK(B34), "-",B34/$B$28*($B$31/$D$31))</f>
        <v>9.3805960995952411</v>
      </c>
      <c r="D34" s="263">
        <v>19.600000000000001</v>
      </c>
      <c r="E34" s="264">
        <f>IF(ISBLANK(B34), "-",C34/D34)</f>
        <v>0.47860184181608367</v>
      </c>
      <c r="F34" s="265">
        <f>IF(ISBLANK(B34), "-",(E34-$B$29)/$B$29)</f>
        <v>-4.2796316367832654E-2</v>
      </c>
      <c r="G34" s="266">
        <f>IF(ISBLANK(B34),"-",E34/$B$29)</f>
        <v>0.95720368363216735</v>
      </c>
    </row>
    <row r="35" spans="1:8" ht="26.25" customHeight="1" x14ac:dyDescent="0.4">
      <c r="A35" s="267" t="s">
        <v>137</v>
      </c>
      <c r="B35" s="268">
        <v>501.1</v>
      </c>
      <c r="C35" s="269">
        <f>IF(ISBLANK(B35), "-",B35/$B$28*($B$31/$D$31))</f>
        <v>9.4556982328354824</v>
      </c>
      <c r="D35" s="270">
        <v>19.8</v>
      </c>
      <c r="E35" s="271">
        <f>IF(ISBLANK(B35), "-",C35/D35)</f>
        <v>0.47756051680987283</v>
      </c>
      <c r="F35" s="272">
        <f>IF(ISBLANK(B35), "-",(E35-$B$29)/$B$29)</f>
        <v>-4.4878966380254348E-2</v>
      </c>
      <c r="G35" s="273">
        <f>IF(ISBLANK(B35),"-",E35/$B$29)</f>
        <v>0.95512103361974565</v>
      </c>
    </row>
    <row r="36" spans="1:8" ht="26.25" customHeight="1" x14ac:dyDescent="0.4">
      <c r="A36" s="267" t="s">
        <v>138</v>
      </c>
      <c r="B36" s="268">
        <v>503.21</v>
      </c>
      <c r="C36" s="269">
        <f>IF(ISBLANK(B36), "-",B36/$B$28*($B$31/$D$31))</f>
        <v>9.4955136853824449</v>
      </c>
      <c r="D36" s="270">
        <v>19.899999999999999</v>
      </c>
      <c r="E36" s="271">
        <f>IF(ISBLANK(B36), "-",C36/D36)</f>
        <v>0.47716149172776107</v>
      </c>
      <c r="F36" s="272">
        <f>IF(ISBLANK(B36), "-",(E36-$B$29)/$B$29)</f>
        <v>-4.5677016544477866E-2</v>
      </c>
      <c r="G36" s="273">
        <f>IF(ISBLANK(B36),"-",E36/$B$29)</f>
        <v>0.95432298345552213</v>
      </c>
    </row>
    <row r="37" spans="1:8" ht="27" customHeight="1" thickBot="1" x14ac:dyDescent="0.45">
      <c r="A37" s="274" t="s">
        <v>139</v>
      </c>
      <c r="B37" s="275"/>
      <c r="C37" s="276" t="str">
        <f>IF(ISBLANK(B37), "-",B37/$B$28*($B$31/$D$31))</f>
        <v>-</v>
      </c>
      <c r="D37" s="277"/>
      <c r="E37" s="278" t="str">
        <f>IF(ISBLANK(B37), "-",C37/D37)</f>
        <v>-</v>
      </c>
      <c r="F37" s="279" t="str">
        <f>IF(ISBLANK(B37), "-",(E37-$B$29)/$B$29)</f>
        <v>-</v>
      </c>
      <c r="G37" s="280" t="str">
        <f>IF(ISBLANK(B37),"-",E37/$B$29)</f>
        <v>-</v>
      </c>
    </row>
    <row r="38" spans="1:8" ht="19.5" customHeight="1" thickBot="1" x14ac:dyDescent="0.35">
      <c r="A38" s="248"/>
      <c r="B38" s="248"/>
      <c r="C38" s="248"/>
      <c r="D38" s="281" t="s">
        <v>140</v>
      </c>
      <c r="E38" s="282">
        <f>AVERAGE(E34:E37)</f>
        <v>0.4777746167845725</v>
      </c>
      <c r="F38" s="283">
        <f>AVERAGE(F34:F37)</f>
        <v>-4.4450766430854959E-2</v>
      </c>
      <c r="G38" s="284">
        <f>AVERAGE(G34:G37)</f>
        <v>0.95554923356914501</v>
      </c>
    </row>
    <row r="39" spans="1:8" x14ac:dyDescent="0.3">
      <c r="A39" s="248"/>
      <c r="B39" s="285"/>
      <c r="C39" s="286"/>
      <c r="D39" s="287" t="s">
        <v>82</v>
      </c>
      <c r="E39" s="288">
        <f>STDEV(E34:E36)/E38</f>
        <v>1.5565093767751386E-3</v>
      </c>
      <c r="F39" s="289"/>
      <c r="G39" s="248"/>
    </row>
    <row r="40" spans="1:8" ht="19.5" customHeight="1" thickBot="1" x14ac:dyDescent="0.35">
      <c r="A40" s="248"/>
      <c r="B40" s="285"/>
      <c r="C40" s="286"/>
      <c r="D40" s="290" t="s">
        <v>17</v>
      </c>
      <c r="E40" s="291">
        <f>COUNT(E34:E37)</f>
        <v>3</v>
      </c>
      <c r="F40" s="292"/>
      <c r="G40" s="248"/>
    </row>
    <row r="41" spans="1:8" x14ac:dyDescent="0.3">
      <c r="A41" s="241"/>
      <c r="B41" s="242"/>
    </row>
    <row r="42" spans="1:8" x14ac:dyDescent="0.3">
      <c r="A42" s="241"/>
      <c r="B42" s="242"/>
    </row>
    <row r="44" spans="1:8" x14ac:dyDescent="0.3">
      <c r="A44" s="293" t="s">
        <v>1</v>
      </c>
      <c r="B44" s="242" t="s">
        <v>105</v>
      </c>
    </row>
    <row r="45" spans="1:8" x14ac:dyDescent="0.3">
      <c r="A45" s="252" t="s">
        <v>84</v>
      </c>
      <c r="B45" s="294">
        <v>1</v>
      </c>
      <c r="C45" s="238" t="s">
        <v>85</v>
      </c>
      <c r="D45" s="295">
        <v>50</v>
      </c>
      <c r="E45" s="238" t="str">
        <f>B20</f>
        <v>Sodium chloride</v>
      </c>
      <c r="H45" s="296"/>
    </row>
    <row r="46" spans="1:8" x14ac:dyDescent="0.3">
      <c r="A46" s="252"/>
      <c r="H46" s="296"/>
    </row>
    <row r="47" spans="1:8" ht="26.25" customHeight="1" x14ac:dyDescent="0.4">
      <c r="A47" s="252" t="s">
        <v>141</v>
      </c>
      <c r="B47" s="297" t="str">
        <f>B26</f>
        <v>O.5M HCL</v>
      </c>
      <c r="C47" s="292" t="s">
        <v>142</v>
      </c>
      <c r="D47" s="245">
        <v>26.5</v>
      </c>
      <c r="E47" s="248" t="str">
        <f>B20</f>
        <v>Sodium chloride</v>
      </c>
      <c r="H47" s="296"/>
    </row>
    <row r="48" spans="1:8" ht="19.5" customHeight="1" thickBot="1" x14ac:dyDescent="0.35">
      <c r="A48" s="248"/>
      <c r="B48" s="248"/>
      <c r="C48" s="248"/>
      <c r="D48" s="248"/>
      <c r="H48" s="296"/>
    </row>
    <row r="49" spans="1:10" ht="19.5" customHeight="1" thickBot="1" x14ac:dyDescent="0.35">
      <c r="C49" s="248"/>
      <c r="D49" s="248"/>
      <c r="E49" s="248"/>
      <c r="F49" s="248"/>
      <c r="G49" s="385" t="s">
        <v>143</v>
      </c>
      <c r="H49" s="386"/>
      <c r="J49" s="298"/>
    </row>
    <row r="50" spans="1:10" ht="19.5" customHeight="1" thickBot="1" x14ac:dyDescent="0.35">
      <c r="A50" s="299" t="s">
        <v>144</v>
      </c>
      <c r="B50" s="257" t="s">
        <v>145</v>
      </c>
      <c r="C50" s="300" t="s">
        <v>146</v>
      </c>
      <c r="D50" s="257" t="s">
        <v>147</v>
      </c>
      <c r="E50" s="257" t="s">
        <v>148</v>
      </c>
      <c r="F50" s="300" t="s">
        <v>149</v>
      </c>
      <c r="G50" s="257" t="s">
        <v>150</v>
      </c>
      <c r="H50" s="257" t="s">
        <v>151</v>
      </c>
      <c r="I50" s="301" t="s">
        <v>152</v>
      </c>
      <c r="J50" s="302"/>
    </row>
    <row r="51" spans="1:10" ht="26.25" customHeight="1" x14ac:dyDescent="0.4">
      <c r="A51" s="303" t="s">
        <v>136</v>
      </c>
      <c r="B51" s="261">
        <v>6</v>
      </c>
      <c r="C51" s="261">
        <v>11.8</v>
      </c>
      <c r="D51" s="261">
        <v>0</v>
      </c>
      <c r="E51" s="304">
        <f t="shared" ref="E51:E53" si="0">IF(ISBLANK(B51),"-",C51-$D$55)</f>
        <v>11.8</v>
      </c>
      <c r="F51" s="305">
        <f>IF(ISBLANK(B51), "-",E51*$G$38)</f>
        <v>11.275480956115912</v>
      </c>
      <c r="G51" s="306">
        <f>IF(ISBLANK(B51),"-",F51*$D$47)</f>
        <v>298.80024533707166</v>
      </c>
      <c r="H51" s="307">
        <f>IF(ISBLANK(B51),"-",G51*$B$45/B51)</f>
        <v>49.800040889511941</v>
      </c>
      <c r="I51" s="308">
        <f>IF(ISBLANK(B51),"-",H51/$D$45)</f>
        <v>0.99600081779023886</v>
      </c>
      <c r="J51" s="297"/>
    </row>
    <row r="52" spans="1:10" ht="26.25" customHeight="1" x14ac:dyDescent="0.4">
      <c r="A52" s="309" t="s">
        <v>137</v>
      </c>
      <c r="B52" s="268">
        <v>6</v>
      </c>
      <c r="C52" s="268">
        <v>11.7</v>
      </c>
      <c r="D52" s="268">
        <v>0</v>
      </c>
      <c r="E52" s="310">
        <f t="shared" si="0"/>
        <v>11.7</v>
      </c>
      <c r="F52" s="311">
        <f>IF(ISBLANK(B52), "-",E52*$G$38)</f>
        <v>11.179926032758996</v>
      </c>
      <c r="G52" s="312">
        <f>IF(ISBLANK(B52),"-",F52*$D$47)</f>
        <v>296.26803986811336</v>
      </c>
      <c r="H52" s="313">
        <f>IF(ISBLANK(B52),"-",G52*$B$45/B52)</f>
        <v>49.378006644685563</v>
      </c>
      <c r="I52" s="314">
        <f>IF(ISBLANK(B52),"-",H52/$D$45)</f>
        <v>0.98756013289371125</v>
      </c>
      <c r="J52" s="297"/>
    </row>
    <row r="53" spans="1:10" ht="26.25" customHeight="1" x14ac:dyDescent="0.4">
      <c r="A53" s="309" t="s">
        <v>138</v>
      </c>
      <c r="B53" s="268">
        <v>6</v>
      </c>
      <c r="C53" s="268">
        <v>11.9</v>
      </c>
      <c r="D53" s="268">
        <v>0</v>
      </c>
      <c r="E53" s="310">
        <f t="shared" si="0"/>
        <v>11.9</v>
      </c>
      <c r="F53" s="311">
        <f>IF(ISBLANK(B53), "-",E53*$G$38)</f>
        <v>11.371035879472826</v>
      </c>
      <c r="G53" s="312">
        <f>IF(ISBLANK(B53),"-",F53*$D$47)</f>
        <v>301.3324508060299</v>
      </c>
      <c r="H53" s="313">
        <f>IF(ISBLANK(B53),"-",G53*$B$45/B53)</f>
        <v>50.222075134338318</v>
      </c>
      <c r="I53" s="314">
        <f>IF(ISBLANK(B53),"-",H53/$D$45)</f>
        <v>1.0044415026867664</v>
      </c>
      <c r="J53" s="297"/>
    </row>
    <row r="54" spans="1:10" ht="27" customHeight="1" thickBot="1" x14ac:dyDescent="0.45">
      <c r="A54" s="315" t="s">
        <v>139</v>
      </c>
      <c r="B54" s="275"/>
      <c r="C54" s="275"/>
      <c r="D54" s="275"/>
      <c r="E54" s="316" t="str">
        <f>IF(ISBLANK(B54),"-",C54-$D$55)</f>
        <v>-</v>
      </c>
      <c r="F54" s="317" t="str">
        <f>IF(ISBLANK(B54), "-",E54*$G$38)</f>
        <v>-</v>
      </c>
      <c r="G54" s="318" t="str">
        <f>IF(ISBLANK(B54),"-",F54*$D$47)</f>
        <v>-</v>
      </c>
      <c r="H54" s="319" t="str">
        <f>IF(ISBLANK(B54),"-",G54*$B$45/B54)</f>
        <v>-</v>
      </c>
      <c r="I54" s="320" t="str">
        <f>IF(ISBLANK(B54),"-",H54/$D$45)</f>
        <v>-</v>
      </c>
      <c r="J54" s="292"/>
    </row>
    <row r="55" spans="1:10" ht="26.25" customHeight="1" x14ac:dyDescent="0.4">
      <c r="C55" s="321" t="s">
        <v>140</v>
      </c>
      <c r="D55" s="322">
        <f>AVERAGE(D51:D54)</f>
        <v>0</v>
      </c>
      <c r="F55" s="321" t="s">
        <v>140</v>
      </c>
      <c r="G55" s="323">
        <f>AVERAGE(G51:G54)</f>
        <v>298.80024533707166</v>
      </c>
      <c r="H55" s="323">
        <f>AVERAGE(H51:H54)</f>
        <v>49.800040889511941</v>
      </c>
      <c r="I55" s="324">
        <f>AVERAGE(I51:I54)</f>
        <v>0.99600081779023875</v>
      </c>
      <c r="J55" s="325"/>
    </row>
    <row r="56" spans="1:10" ht="26.25" customHeight="1" x14ac:dyDescent="0.4">
      <c r="C56" s="287" t="s">
        <v>82</v>
      </c>
      <c r="D56" s="288" t="str">
        <f>IF(D55=0,"-",STDEV(D51:D54)/D55)</f>
        <v>-</v>
      </c>
      <c r="F56" s="287" t="s">
        <v>82</v>
      </c>
      <c r="G56" s="326"/>
      <c r="H56" s="327">
        <f>STDEV(H51:H54)/H55</f>
        <v>8.4745762711865499E-3</v>
      </c>
      <c r="I56" s="327">
        <f>STDEV(I51:I54)/I55</f>
        <v>8.4745762711865447E-3</v>
      </c>
      <c r="J56" s="328"/>
    </row>
    <row r="57" spans="1:10" ht="27" customHeight="1" thickBot="1" x14ac:dyDescent="0.45">
      <c r="B57" s="233" t="str">
        <f>[1]Uniformity!C46</f>
        <v>% Deviation from mean</v>
      </c>
      <c r="C57" s="290" t="s">
        <v>17</v>
      </c>
      <c r="D57" s="291">
        <f>COUNT(D51:D54)</f>
        <v>3</v>
      </c>
      <c r="F57" s="290" t="s">
        <v>17</v>
      </c>
      <c r="G57" s="329">
        <f>COUNT(G51:G54)</f>
        <v>3</v>
      </c>
      <c r="H57" s="329">
        <f>COUNT(H51:H54)</f>
        <v>3</v>
      </c>
      <c r="I57" s="329">
        <f>COUNT(I51:I54)</f>
        <v>3</v>
      </c>
      <c r="J57" s="330"/>
    </row>
    <row r="58" spans="1:10" x14ac:dyDescent="0.3">
      <c r="H58" s="296"/>
      <c r="I58" s="297"/>
      <c r="J58" s="248"/>
    </row>
    <row r="59" spans="1:10" x14ac:dyDescent="0.3">
      <c r="H59" s="296"/>
    </row>
    <row r="60" spans="1:10" ht="19.5" customHeight="1" thickBot="1" x14ac:dyDescent="0.35">
      <c r="A60" s="331"/>
      <c r="B60" s="331"/>
      <c r="C60" s="332"/>
      <c r="D60" s="332"/>
      <c r="E60" s="332"/>
      <c r="F60" s="332"/>
      <c r="G60" s="332"/>
      <c r="H60" s="332"/>
    </row>
    <row r="61" spans="1:10" x14ac:dyDescent="0.3">
      <c r="B61" s="378" t="s">
        <v>23</v>
      </c>
      <c r="C61" s="378"/>
      <c r="E61" s="333" t="s">
        <v>24</v>
      </c>
      <c r="F61" s="334"/>
      <c r="G61" s="378" t="s">
        <v>25</v>
      </c>
      <c r="H61" s="378"/>
    </row>
    <row r="62" spans="1:10" ht="83.25" customHeight="1" x14ac:dyDescent="0.3">
      <c r="A62" s="243" t="s">
        <v>26</v>
      </c>
      <c r="B62" s="335" t="s">
        <v>111</v>
      </c>
      <c r="C62" s="335"/>
      <c r="E62" s="336"/>
      <c r="F62" s="238"/>
      <c r="G62" s="336"/>
      <c r="H62" s="336"/>
    </row>
    <row r="63" spans="1:10" ht="84" customHeight="1" x14ac:dyDescent="0.3">
      <c r="A63" s="243" t="s">
        <v>27</v>
      </c>
      <c r="B63" s="224" t="s">
        <v>156</v>
      </c>
      <c r="C63" s="224"/>
      <c r="D63" s="222"/>
      <c r="E63" s="339">
        <v>42390</v>
      </c>
      <c r="F63" s="238"/>
      <c r="G63" s="337"/>
      <c r="H63" s="337"/>
    </row>
    <row r="64" spans="1:10" x14ac:dyDescent="0.3">
      <c r="A64" s="296"/>
      <c r="B64" s="296"/>
      <c r="C64" s="296"/>
      <c r="D64" s="296"/>
      <c r="E64" s="296"/>
      <c r="F64" s="338"/>
      <c r="G64" s="296"/>
      <c r="H64" s="296"/>
      <c r="I64" s="248"/>
    </row>
    <row r="65" spans="1:9" x14ac:dyDescent="0.3">
      <c r="A65" s="296"/>
      <c r="B65" s="296"/>
      <c r="C65" s="296"/>
      <c r="D65" s="296"/>
      <c r="E65" s="296"/>
      <c r="F65" s="338"/>
      <c r="G65" s="296"/>
      <c r="H65" s="296"/>
      <c r="I65" s="248"/>
    </row>
    <row r="66" spans="1:9" x14ac:dyDescent="0.3">
      <c r="A66" s="296"/>
      <c r="B66" s="296"/>
      <c r="C66" s="296"/>
      <c r="D66" s="296"/>
      <c r="E66" s="296"/>
      <c r="F66" s="338"/>
      <c r="G66" s="296"/>
      <c r="H66" s="296"/>
      <c r="I66" s="248"/>
    </row>
    <row r="67" spans="1:9" x14ac:dyDescent="0.3">
      <c r="A67" s="296"/>
      <c r="B67" s="296"/>
      <c r="C67" s="296"/>
      <c r="D67" s="296"/>
      <c r="E67" s="296"/>
      <c r="F67" s="338"/>
      <c r="G67" s="296"/>
      <c r="H67" s="296"/>
      <c r="I67" s="248"/>
    </row>
    <row r="68" spans="1:9" x14ac:dyDescent="0.3">
      <c r="A68" s="296"/>
      <c r="B68" s="296"/>
      <c r="C68" s="296"/>
      <c r="D68" s="296"/>
      <c r="E68" s="296"/>
      <c r="F68" s="338"/>
      <c r="G68" s="296"/>
      <c r="H68" s="296"/>
      <c r="I68" s="248"/>
    </row>
    <row r="69" spans="1:9" x14ac:dyDescent="0.3">
      <c r="A69" s="296"/>
      <c r="B69" s="296"/>
      <c r="C69" s="296"/>
      <c r="D69" s="296"/>
      <c r="E69" s="296"/>
      <c r="F69" s="338"/>
      <c r="G69" s="296"/>
      <c r="H69" s="296"/>
      <c r="I69" s="248"/>
    </row>
    <row r="70" spans="1:9" x14ac:dyDescent="0.3">
      <c r="A70" s="296"/>
      <c r="B70" s="296"/>
      <c r="C70" s="296"/>
      <c r="D70" s="296"/>
      <c r="E70" s="296"/>
      <c r="F70" s="338"/>
      <c r="G70" s="296"/>
      <c r="H70" s="296"/>
      <c r="I70" s="248"/>
    </row>
    <row r="71" spans="1:9" x14ac:dyDescent="0.3">
      <c r="A71" s="296"/>
      <c r="B71" s="296"/>
      <c r="C71" s="296"/>
      <c r="D71" s="296"/>
      <c r="E71" s="296"/>
      <c r="F71" s="338"/>
      <c r="G71" s="296"/>
      <c r="H71" s="296"/>
      <c r="I71" s="248"/>
    </row>
    <row r="72" spans="1:9" x14ac:dyDescent="0.3">
      <c r="A72" s="296"/>
      <c r="B72" s="296"/>
      <c r="C72" s="296"/>
      <c r="D72" s="296"/>
      <c r="E72" s="296"/>
      <c r="F72" s="338"/>
      <c r="G72" s="296"/>
      <c r="H72" s="296"/>
      <c r="I72" s="248"/>
    </row>
    <row r="250" spans="1:1" x14ac:dyDescent="0.3">
      <c r="A250" s="23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Artesunate </vt:lpstr>
      <vt:lpstr>SODIUM CHLORIDE</vt:lpstr>
      <vt:lpstr>SODIUM BICARBONATE</vt:lpstr>
      <vt:lpstr>'Artesunate '!Print_Area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2016-01-19T08:11:45Z</cp:lastPrinted>
  <dcterms:created xsi:type="dcterms:W3CDTF">2005-07-05T10:19:27Z</dcterms:created>
  <dcterms:modified xsi:type="dcterms:W3CDTF">2016-01-21T07:31:15Z</dcterms:modified>
</cp:coreProperties>
</file>