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tabRatio="773"/>
  </bookViews>
  <sheets>
    <sheet name="SST Metformin HCL" sheetId="1" r:id="rId1"/>
    <sheet name="SST Glibenclamide" sheetId="7" r:id="rId2"/>
    <sheet name="Uniformity" sheetId="2" r:id="rId3"/>
    <sheet name="Metformin Hydrochloride WV" sheetId="3" r:id="rId4"/>
    <sheet name="Glibenclamide UC" sheetId="4" r:id="rId5"/>
    <sheet name="Metformin Hydrochloride Assay" sheetId="5" r:id="rId6"/>
    <sheet name="Glibenclamide Assay" sheetId="6" r:id="rId7"/>
  </sheets>
  <definedNames>
    <definedName name="_xlnm.Print_Area" localSheetId="6">'Glibenclamide Assay'!$A$1:$I$129</definedName>
    <definedName name="_xlnm.Print_Area" localSheetId="4">'Glibenclamide UC'!$A$1:$G$133</definedName>
    <definedName name="_xlnm.Print_Area" localSheetId="5">'Metformin Hydrochloride Assay'!$A$1:$I$129</definedName>
    <definedName name="_xlnm.Print_Area" localSheetId="3">'Metformin Hydrochloride WV'!$A$1:$G$49</definedName>
    <definedName name="_xlnm.Print_Area" localSheetId="1">'SST Glibenclamide'!$A$15:$H$62</definedName>
    <definedName name="_xlnm.Print_Area" localSheetId="0">'SST Metformin HCL'!$A$15:$G$61</definedName>
    <definedName name="_xlnm.Print_Area" localSheetId="2">Uniformity!$A$12:$I$54</definedName>
  </definedNames>
  <calcPr calcId="145621"/>
</workbook>
</file>

<file path=xl/calcChain.xml><?xml version="1.0" encoding="utf-8"?>
<calcChain xmlns="http://schemas.openxmlformats.org/spreadsheetml/2006/main">
  <c r="B21" i="7" l="1"/>
  <c r="B21" i="1"/>
  <c r="B53" i="7"/>
  <c r="F51" i="7"/>
  <c r="D51" i="7"/>
  <c r="C51" i="7"/>
  <c r="B51" i="7"/>
  <c r="B52" i="7" s="1"/>
  <c r="B32" i="7"/>
  <c r="F30" i="7"/>
  <c r="D30" i="7"/>
  <c r="C30" i="7"/>
  <c r="B30" i="7"/>
  <c r="B31" i="7" s="1"/>
  <c r="C124" i="6"/>
  <c r="B116" i="6"/>
  <c r="D100" i="6" s="1"/>
  <c r="B98" i="6"/>
  <c r="F95" i="6"/>
  <c r="D95" i="6"/>
  <c r="B87" i="6"/>
  <c r="F97" i="6" s="1"/>
  <c r="B83" i="6"/>
  <c r="B81" i="6"/>
  <c r="B80" i="6"/>
  <c r="B79" i="6"/>
  <c r="C76" i="6"/>
  <c r="B68" i="6"/>
  <c r="B69" i="6" s="1"/>
  <c r="B57" i="6"/>
  <c r="C56" i="6"/>
  <c r="B55" i="6"/>
  <c r="B45" i="6"/>
  <c r="D48" i="6" s="1"/>
  <c r="F42" i="6"/>
  <c r="D42" i="6"/>
  <c r="B34" i="6"/>
  <c r="F44" i="6" s="1"/>
  <c r="B30" i="6"/>
  <c r="C124" i="5"/>
  <c r="B116" i="5"/>
  <c r="D100" i="5" s="1"/>
  <c r="B98" i="5"/>
  <c r="F95" i="5"/>
  <c r="D95" i="5"/>
  <c r="I92" i="5"/>
  <c r="B87" i="5"/>
  <c r="F97" i="5" s="1"/>
  <c r="B81" i="5"/>
  <c r="B83" i="5" s="1"/>
  <c r="B80" i="5"/>
  <c r="B79" i="5"/>
  <c r="C76" i="5"/>
  <c r="B68" i="5"/>
  <c r="B57" i="5"/>
  <c r="C56" i="5"/>
  <c r="B55" i="5"/>
  <c r="B45" i="5"/>
  <c r="D48" i="5" s="1"/>
  <c r="F42" i="5"/>
  <c r="D42" i="5"/>
  <c r="B34" i="5"/>
  <c r="F44" i="5" s="1"/>
  <c r="B30" i="5"/>
  <c r="C129" i="4"/>
  <c r="B125" i="4"/>
  <c r="F122" i="4"/>
  <c r="E122" i="4"/>
  <c r="F121" i="4"/>
  <c r="E121" i="4"/>
  <c r="F120" i="4"/>
  <c r="E120" i="4"/>
  <c r="F119" i="4"/>
  <c r="E119" i="4"/>
  <c r="F118" i="4"/>
  <c r="F126" i="4" s="1"/>
  <c r="E118" i="4"/>
  <c r="F117" i="4"/>
  <c r="E117" i="4"/>
  <c r="D110" i="4"/>
  <c r="D111" i="4" s="1"/>
  <c r="D109" i="4"/>
  <c r="B107" i="4"/>
  <c r="D106" i="4"/>
  <c r="F104" i="4"/>
  <c r="D104" i="4"/>
  <c r="G103" i="4"/>
  <c r="E103" i="4"/>
  <c r="G102" i="4"/>
  <c r="E102" i="4"/>
  <c r="G101" i="4"/>
  <c r="E101" i="4"/>
  <c r="G100" i="4"/>
  <c r="G104" i="4" s="1"/>
  <c r="E100" i="4"/>
  <c r="B96" i="4"/>
  <c r="F106" i="4" s="1"/>
  <c r="F107" i="4" s="1"/>
  <c r="F108" i="4" s="1"/>
  <c r="B90" i="4"/>
  <c r="B89" i="4"/>
  <c r="B91" i="4" s="1"/>
  <c r="C74" i="4"/>
  <c r="B67" i="4"/>
  <c r="C56" i="4"/>
  <c r="B55" i="4"/>
  <c r="B45" i="4"/>
  <c r="D48" i="4" s="1"/>
  <c r="D49" i="4" s="1"/>
  <c r="F44" i="4"/>
  <c r="F42" i="4"/>
  <c r="D42" i="4"/>
  <c r="G41" i="4"/>
  <c r="E41" i="4"/>
  <c r="B34" i="4"/>
  <c r="D44" i="4" s="1"/>
  <c r="B30" i="4"/>
  <c r="B57" i="3"/>
  <c r="C43" i="3"/>
  <c r="C41" i="3"/>
  <c r="D37" i="3" s="1"/>
  <c r="C27" i="3"/>
  <c r="D49" i="2"/>
  <c r="C46" i="2"/>
  <c r="C49" i="2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0" i="3" l="1"/>
  <c r="D33" i="3"/>
  <c r="D38" i="3"/>
  <c r="D34" i="3"/>
  <c r="C42" i="3"/>
  <c r="D35" i="3"/>
  <c r="D31" i="3"/>
  <c r="D36" i="3"/>
  <c r="F124" i="4"/>
  <c r="D114" i="4"/>
  <c r="D45" i="4"/>
  <c r="D46" i="4" s="1"/>
  <c r="F45" i="4"/>
  <c r="G40" i="4" s="1"/>
  <c r="E38" i="4"/>
  <c r="D101" i="5"/>
  <c r="D102" i="5" s="1"/>
  <c r="I92" i="6"/>
  <c r="D101" i="6"/>
  <c r="D102" i="6" s="1"/>
  <c r="D97" i="6"/>
  <c r="D98" i="6" s="1"/>
  <c r="E92" i="6" s="1"/>
  <c r="I39" i="6"/>
  <c r="F45" i="6"/>
  <c r="G40" i="6" s="1"/>
  <c r="F98" i="6"/>
  <c r="F99" i="6" s="1"/>
  <c r="D49" i="6"/>
  <c r="D44" i="6"/>
  <c r="D45" i="6" s="1"/>
  <c r="E41" i="6" s="1"/>
  <c r="G94" i="6"/>
  <c r="B69" i="5"/>
  <c r="I39" i="5"/>
  <c r="F45" i="5"/>
  <c r="F46" i="5" s="1"/>
  <c r="G93" i="6"/>
  <c r="G91" i="6"/>
  <c r="E40" i="6"/>
  <c r="G38" i="6"/>
  <c r="G41" i="6"/>
  <c r="F98" i="5"/>
  <c r="F99" i="5" s="1"/>
  <c r="F125" i="4"/>
  <c r="G129" i="4"/>
  <c r="G39" i="5"/>
  <c r="D49" i="5"/>
  <c r="D107" i="4"/>
  <c r="D108" i="4" s="1"/>
  <c r="C50" i="2"/>
  <c r="D39" i="3"/>
  <c r="B57" i="4"/>
  <c r="E104" i="4"/>
  <c r="D97" i="5"/>
  <c r="D98" i="5" s="1"/>
  <c r="D99" i="5" s="1"/>
  <c r="D26" i="2"/>
  <c r="D30" i="2"/>
  <c r="D34" i="2"/>
  <c r="D38" i="2"/>
  <c r="D42" i="2"/>
  <c r="B49" i="2"/>
  <c r="D50" i="2"/>
  <c r="D112" i="4"/>
  <c r="D113" i="4" s="1"/>
  <c r="D44" i="5"/>
  <c r="D45" i="5" s="1"/>
  <c r="D46" i="5" s="1"/>
  <c r="D27" i="2"/>
  <c r="D31" i="2"/>
  <c r="D35" i="2"/>
  <c r="D39" i="2"/>
  <c r="D43" i="2"/>
  <c r="D32" i="3"/>
  <c r="G33" i="3" l="1"/>
  <c r="D41" i="3"/>
  <c r="G31" i="3" s="1"/>
  <c r="D43" i="3"/>
  <c r="G39" i="6"/>
  <c r="F46" i="6"/>
  <c r="G39" i="4"/>
  <c r="F46" i="4"/>
  <c r="E39" i="4"/>
  <c r="G38" i="4"/>
  <c r="G42" i="4" s="1"/>
  <c r="E40" i="4"/>
  <c r="G91" i="5"/>
  <c r="G92" i="5"/>
  <c r="G92" i="6"/>
  <c r="G95" i="6" s="1"/>
  <c r="E93" i="6"/>
  <c r="E94" i="6"/>
  <c r="D99" i="6"/>
  <c r="E91" i="6"/>
  <c r="E39" i="6"/>
  <c r="E38" i="6"/>
  <c r="E42" i="6" s="1"/>
  <c r="D46" i="6"/>
  <c r="G42" i="6"/>
  <c r="G93" i="5"/>
  <c r="G41" i="5"/>
  <c r="G40" i="5"/>
  <c r="G38" i="5"/>
  <c r="E93" i="5"/>
  <c r="E38" i="5"/>
  <c r="E91" i="5"/>
  <c r="G94" i="5"/>
  <c r="E92" i="5"/>
  <c r="E94" i="5"/>
  <c r="E41" i="5"/>
  <c r="E40" i="5"/>
  <c r="E39" i="5"/>
  <c r="D42" i="3" l="1"/>
  <c r="G34" i="3"/>
  <c r="G35" i="3" s="1"/>
  <c r="D52" i="4"/>
  <c r="E42" i="4"/>
  <c r="D50" i="4"/>
  <c r="G95" i="5"/>
  <c r="D103" i="6"/>
  <c r="E113" i="6" s="1"/>
  <c r="F113" i="6" s="1"/>
  <c r="D105" i="6"/>
  <c r="E95" i="6"/>
  <c r="D52" i="6"/>
  <c r="D50" i="6"/>
  <c r="D51" i="6" s="1"/>
  <c r="G42" i="5"/>
  <c r="G70" i="6"/>
  <c r="H70" i="6" s="1"/>
  <c r="G67" i="6"/>
  <c r="H67" i="6" s="1"/>
  <c r="G65" i="6"/>
  <c r="H65" i="6" s="1"/>
  <c r="G63" i="6"/>
  <c r="H63" i="6" s="1"/>
  <c r="G61" i="6"/>
  <c r="H61" i="6" s="1"/>
  <c r="G71" i="6"/>
  <c r="H71" i="6" s="1"/>
  <c r="G69" i="6"/>
  <c r="H69" i="6" s="1"/>
  <c r="G66" i="6"/>
  <c r="H66" i="6" s="1"/>
  <c r="G64" i="6"/>
  <c r="H64" i="6" s="1"/>
  <c r="G60" i="6"/>
  <c r="G68" i="6"/>
  <c r="H68" i="6" s="1"/>
  <c r="D104" i="6"/>
  <c r="D103" i="5"/>
  <c r="E95" i="5"/>
  <c r="D105" i="5"/>
  <c r="D50" i="5"/>
  <c r="E42" i="5"/>
  <c r="D52" i="5"/>
  <c r="G62" i="6" l="1"/>
  <c r="H62" i="6" s="1"/>
  <c r="D51" i="4"/>
  <c r="E68" i="4"/>
  <c r="G68" i="4" s="1"/>
  <c r="E66" i="4"/>
  <c r="E61" i="4"/>
  <c r="E65" i="4"/>
  <c r="E63" i="4"/>
  <c r="E60" i="4"/>
  <c r="E67" i="4"/>
  <c r="E59" i="4"/>
  <c r="E64" i="4"/>
  <c r="E62" i="4"/>
  <c r="E108" i="6"/>
  <c r="F108" i="6" s="1"/>
  <c r="E112" i="6"/>
  <c r="F112" i="6" s="1"/>
  <c r="E111" i="6"/>
  <c r="F111" i="6" s="1"/>
  <c r="E109" i="6"/>
  <c r="F109" i="6" s="1"/>
  <c r="E110" i="6"/>
  <c r="F110" i="6" s="1"/>
  <c r="G74" i="6"/>
  <c r="H60" i="6"/>
  <c r="E112" i="5"/>
  <c r="F112" i="5" s="1"/>
  <c r="E110" i="5"/>
  <c r="F110" i="5" s="1"/>
  <c r="E108" i="5"/>
  <c r="E111" i="5"/>
  <c r="F111" i="5" s="1"/>
  <c r="D104" i="5"/>
  <c r="E113" i="5"/>
  <c r="F113" i="5" s="1"/>
  <c r="E109" i="5"/>
  <c r="F109" i="5" s="1"/>
  <c r="G70" i="5"/>
  <c r="H70" i="5" s="1"/>
  <c r="G67" i="5"/>
  <c r="H67" i="5" s="1"/>
  <c r="G65" i="5"/>
  <c r="H65" i="5" s="1"/>
  <c r="G63" i="5"/>
  <c r="H63" i="5" s="1"/>
  <c r="G61" i="5"/>
  <c r="H61" i="5" s="1"/>
  <c r="D51" i="5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G72" i="6" l="1"/>
  <c r="G73" i="6" s="1"/>
  <c r="G59" i="4"/>
  <c r="E72" i="4"/>
  <c r="E70" i="4"/>
  <c r="F68" i="4" s="1"/>
  <c r="E71" i="4"/>
  <c r="G67" i="4"/>
  <c r="F67" i="4"/>
  <c r="G61" i="4"/>
  <c r="F61" i="4"/>
  <c r="G62" i="4"/>
  <c r="F62" i="4"/>
  <c r="G60" i="4"/>
  <c r="F60" i="4"/>
  <c r="G66" i="4"/>
  <c r="F66" i="4"/>
  <c r="G64" i="4"/>
  <c r="F64" i="4"/>
  <c r="G63" i="4"/>
  <c r="F63" i="4"/>
  <c r="G65" i="4"/>
  <c r="F65" i="4"/>
  <c r="E120" i="6"/>
  <c r="E119" i="6"/>
  <c r="E115" i="6"/>
  <c r="E116" i="6" s="1"/>
  <c r="E117" i="6"/>
  <c r="F125" i="6"/>
  <c r="F120" i="6"/>
  <c r="F117" i="6"/>
  <c r="D125" i="6"/>
  <c r="F115" i="6"/>
  <c r="F119" i="6"/>
  <c r="H74" i="6"/>
  <c r="H72" i="6"/>
  <c r="G74" i="5"/>
  <c r="G72" i="5"/>
  <c r="G73" i="5" s="1"/>
  <c r="H60" i="5"/>
  <c r="E120" i="5"/>
  <c r="E117" i="5"/>
  <c r="F108" i="5"/>
  <c r="E115" i="5"/>
  <c r="E116" i="5" s="1"/>
  <c r="E119" i="5"/>
  <c r="G70" i="4" l="1"/>
  <c r="F59" i="4"/>
  <c r="G72" i="4"/>
  <c r="C81" i="4"/>
  <c r="G71" i="4"/>
  <c r="G76" i="6"/>
  <c r="H73" i="6"/>
  <c r="G124" i="6"/>
  <c r="F116" i="6"/>
  <c r="D125" i="5"/>
  <c r="F115" i="5"/>
  <c r="F125" i="5"/>
  <c r="F119" i="5"/>
  <c r="F120" i="5"/>
  <c r="F117" i="5"/>
  <c r="H72" i="5"/>
  <c r="H74" i="5"/>
  <c r="C82" i="4" l="1"/>
  <c r="C83" i="4" s="1"/>
  <c r="C79" i="4"/>
  <c r="G74" i="4"/>
  <c r="F72" i="4"/>
  <c r="F70" i="4"/>
  <c r="F71" i="4" s="1"/>
  <c r="G76" i="5"/>
  <c r="H73" i="5"/>
  <c r="G124" i="5"/>
  <c r="F116" i="5"/>
</calcChain>
</file>

<file path=xl/sharedStrings.xml><?xml version="1.0" encoding="utf-8"?>
<sst xmlns="http://schemas.openxmlformats.org/spreadsheetml/2006/main" count="654" uniqueCount="167">
  <si>
    <t>HPLC System Suitability Report</t>
  </si>
  <si>
    <t>Analysis Data</t>
  </si>
  <si>
    <t>Assay</t>
  </si>
  <si>
    <t>Sample(s)</t>
  </si>
  <si>
    <t>Reference Substance:</t>
  </si>
  <si>
    <t>GLIFIL M FORTE</t>
  </si>
  <si>
    <t>% age Purity:</t>
  </si>
  <si>
    <t>NDQA201611206</t>
  </si>
  <si>
    <t>Weight (mg):</t>
  </si>
  <si>
    <t xml:space="preserve">Glibenclmide and Metformin Hydrochloride </t>
  </si>
  <si>
    <t>Standard Conc (mg/mL):</t>
  </si>
  <si>
    <t>Each uncoated tablet contains: Glibenclamide BP 5 mg and Metformin Hydrochloride BP 500 mg.</t>
  </si>
  <si>
    <t>2016-11-08 13:11:39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</si>
  <si>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</si>
  <si>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</si>
  <si>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</si>
  <si>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</si>
  <si>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</si>
  <si>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</si>
  <si>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</si>
  <si>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</si>
  <si>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</si>
  <si>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</si>
  <si>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</si>
  <si>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</si>
  <si>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</si>
  <si>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</si>
  <si>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</si>
  <si>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</si>
  <si>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</si>
  <si>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</si>
  <si>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</si>
  <si>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</si>
  <si>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</si>
  <si>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</si>
  <si>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</si>
  <si>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</si>
  <si>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</si>
  <si>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</si>
  <si>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</si>
  <si>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</si>
  <si>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</si>
  <si>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</si>
  <si>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</si>
  <si>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</si>
  <si>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</si>
  <si>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</si>
  <si>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</si>
  <si>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Determination of weight variation of the Sample</t>
  </si>
  <si>
    <t xml:space="preserve">Label Claim: </t>
  </si>
  <si>
    <t>Each Tablet/Capsule/vial contains</t>
  </si>
  <si>
    <t>Please enter the percentage amount determined from the Assay test</t>
  </si>
  <si>
    <t>Weight:</t>
  </si>
  <si>
    <t>Content as % of the average content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</si>
  <si>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</si>
  <si>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</si>
  <si>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</si>
  <si>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</si>
  <si>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</si>
  <si>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Average tablet:</t>
  </si>
  <si>
    <t>RSD:</t>
  </si>
  <si>
    <t>Each Tablet contains</t>
  </si>
  <si>
    <t>Average Tablet Content Weight (mg):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</si>
  <si>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</si>
  <si>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</si>
  <si>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</si>
  <si>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</si>
  <si>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</si>
  <si>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</si>
  <si>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</si>
  <si>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</si>
  <si>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</si>
  <si>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</si>
  <si>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</si>
  <si>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</si>
  <si>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</si>
  <si>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</si>
  <si>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</si>
  <si>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</si>
  <si>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</si>
  <si>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</si>
  <si>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</si>
  <si>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</si>
  <si>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</si>
  <si>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</si>
  <si>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</si>
  <si>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</si>
  <si>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</si>
  <si>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</si>
  <si>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</si>
  <si>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</si>
  <si>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</si>
  <si>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</si>
  <si>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</si>
  <si>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</si>
  <si>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</si>
  <si>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</si>
  <si>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</si>
  <si>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Determination of Content of Active Ingredient in the Sample</t>
  </si>
  <si>
    <t>Initial Sample dilution (mL):</t>
  </si>
  <si>
    <t>Tablet No.</t>
  </si>
  <si>
    <t>Peak Area:</t>
  </si>
  <si>
    <t>Actual Content</t>
  </si>
  <si>
    <t>Content as % of Label Claim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</si>
  <si>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</si>
  <si>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</si>
  <si>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</si>
  <si>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</si>
  <si>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</si>
  <si>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</si>
  <si>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</si>
  <si>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</si>
  <si>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</si>
  <si>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</si>
  <si>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</si>
  <si>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</si>
  <si>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</si>
  <si>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</si>
  <si>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</si>
  <si>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</si>
  <si>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</si>
  <si>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</si>
  <si>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</si>
  <si>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</si>
  <si>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</si>
  <si>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</si>
  <si>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</si>
  <si>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</si>
  <si>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</si>
  <si>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</si>
  <si>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</si>
  <si>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</si>
  <si>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</si>
  <si>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</si>
  <si>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</si>
  <si>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</si>
  <si>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</si>
  <si>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</si>
  <si>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</si>
  <si>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</si>
  <si>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</si>
  <si>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</si>
  <si>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</si>
  <si>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</si>
  <si>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</si>
  <si>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</si>
  <si>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</si>
  <si>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</si>
  <si>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</si>
  <si>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</si>
  <si>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</si>
  <si>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</si>
  <si>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</si>
  <si>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</si>
  <si>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</si>
  <si>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Metformin HCL</t>
  </si>
  <si>
    <t>M34-1</t>
  </si>
  <si>
    <t>Glibenclamide</t>
  </si>
  <si>
    <t>G23-1</t>
  </si>
  <si>
    <t xml:space="preserve">Glibenclamide </t>
  </si>
  <si>
    <t>Metformin Hydrochloride</t>
  </si>
  <si>
    <t xml:space="preserve"> </t>
  </si>
  <si>
    <t xml:space="preserve">Metformin Hydrochloride </t>
  </si>
  <si>
    <t>Resolution(USP)</t>
  </si>
  <si>
    <t>Resolution between Metformin HCL and Glibenclamide is NLT 5</t>
  </si>
  <si>
    <t>RUTTO KENNEDY</t>
  </si>
  <si>
    <t>27/01/2017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</si>
</sst>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\ &quot;%&quot;"/>
    <numFmt numFmtId="170" formatCode="0\ &quot;%&quot;"/>
    <numFmt numFmtId="171" formatCode="0.0000\ &quot;mg&quot;"/>
    <numFmt numFmtId="172" formatCode="0.000"/>
    <numFmt numFmtId="173" formatCode="0.0\ &quot;%&quot;"/>
    <numFmt numFmtId="174" formatCode="dd\-mmm\-yyyy"/>
    <numFmt numFmtId="175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i/>
      <sz val="14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b/>
      <sz val="36"/>
      <color rgb="FF000000"/>
      <name val="Book Antiqua"/>
    </font>
    <font>
      <sz val="14"/>
      <color rgb="FF000000"/>
      <name val="Calibri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1" fillId="2" borderId="21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9" fontId="12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" fontId="12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 applyProtection="1">
      <alignment horizontal="right"/>
      <protection locked="0"/>
    </xf>
    <xf numFmtId="0" fontId="6" fillId="2" borderId="25" xfId="0" applyFont="1" applyFill="1" applyBorder="1"/>
    <xf numFmtId="0" fontId="12" fillId="2" borderId="29" xfId="0" applyFont="1" applyFill="1" applyBorder="1" applyAlignment="1">
      <alignment horizontal="center"/>
    </xf>
    <xf numFmtId="169" fontId="11" fillId="2" borderId="23" xfId="0" applyNumberFormat="1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3" fillId="3" borderId="30" xfId="0" applyFont="1" applyFill="1" applyBorder="1" applyAlignment="1" applyProtection="1">
      <alignment horizontal="center" wrapText="1"/>
      <protection locked="0"/>
    </xf>
    <xf numFmtId="0" fontId="13" fillId="3" borderId="14" xfId="0" applyFont="1" applyFill="1" applyBorder="1" applyAlignment="1" applyProtection="1">
      <alignment horizontal="center" wrapText="1"/>
      <protection locked="0"/>
    </xf>
    <xf numFmtId="0" fontId="13" fillId="3" borderId="15" xfId="0" applyFont="1" applyFill="1" applyBorder="1" applyAlignment="1" applyProtection="1">
      <alignment horizontal="center" wrapText="1"/>
      <protection locked="0"/>
    </xf>
    <xf numFmtId="2" fontId="15" fillId="3" borderId="0" xfId="0" applyNumberFormat="1" applyFont="1" applyFill="1" applyAlignment="1" applyProtection="1">
      <alignment horizontal="center"/>
      <protection locked="0"/>
    </xf>
    <xf numFmtId="2" fontId="12" fillId="5" borderId="27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right"/>
    </xf>
    <xf numFmtId="2" fontId="11" fillId="2" borderId="27" xfId="0" applyNumberFormat="1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right"/>
    </xf>
    <xf numFmtId="170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0" fontId="12" fillId="2" borderId="0" xfId="0" applyFont="1" applyFill="1" applyAlignment="1">
      <alignment horizontal="center"/>
    </xf>
    <xf numFmtId="0" fontId="19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35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36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6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5" fillId="3" borderId="48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5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50" xfId="0" applyFont="1" applyFill="1" applyBorder="1" applyAlignment="1">
      <alignment horizontal="center"/>
    </xf>
    <xf numFmtId="0" fontId="12" fillId="6" borderId="51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52" xfId="0" applyFont="1" applyFill="1" applyBorder="1" applyAlignment="1">
      <alignment horizontal="center" wrapText="1"/>
    </xf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2" fontId="11" fillId="2" borderId="3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2" borderId="45" xfId="0" applyNumberFormat="1" applyFont="1" applyFill="1" applyBorder="1" applyAlignment="1">
      <alignment horizontal="center"/>
    </xf>
    <xf numFmtId="2" fontId="11" fillId="2" borderId="53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5" xfId="0" applyFont="1" applyFill="1" applyBorder="1"/>
    <xf numFmtId="0" fontId="11" fillId="2" borderId="21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5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5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7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0" fontId="20" fillId="2" borderId="0" xfId="0" applyFont="1" applyFill="1"/>
    <xf numFmtId="0" fontId="15" fillId="3" borderId="23" xfId="0" applyFont="1" applyFill="1" applyBorder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5" fillId="3" borderId="25" xfId="0" applyFont="1" applyFill="1" applyBorder="1" applyAlignment="1" applyProtection="1">
      <alignment horizontal="center"/>
      <protection locked="0"/>
    </xf>
    <xf numFmtId="172" fontId="11" fillId="2" borderId="4" xfId="0" applyNumberFormat="1" applyFont="1" applyFill="1" applyBorder="1" applyAlignment="1">
      <alignment horizontal="center"/>
    </xf>
    <xf numFmtId="0" fontId="15" fillId="3" borderId="54" xfId="0" applyFont="1" applyFill="1" applyBorder="1" applyAlignment="1" applyProtection="1">
      <alignment horizontal="center"/>
      <protection locked="0"/>
    </xf>
    <xf numFmtId="172" fontId="11" fillId="2" borderId="3" xfId="0" applyNumberFormat="1" applyFont="1" applyFill="1" applyBorder="1" applyAlignment="1">
      <alignment horizontal="center"/>
    </xf>
    <xf numFmtId="172" fontId="15" fillId="3" borderId="0" xfId="0" applyNumberFormat="1" applyFont="1" applyFill="1" applyAlignment="1" applyProtection="1">
      <alignment horizontal="center"/>
      <protection locked="0"/>
    </xf>
    <xf numFmtId="172" fontId="11" fillId="2" borderId="5" xfId="0" applyNumberFormat="1" applyFont="1" applyFill="1" applyBorder="1" applyAlignment="1">
      <alignment horizontal="center"/>
    </xf>
    <xf numFmtId="172" fontId="15" fillId="3" borderId="7" xfId="0" applyNumberFormat="1" applyFont="1" applyFill="1" applyBorder="1" applyAlignment="1" applyProtection="1">
      <alignment horizontal="center"/>
      <protection locked="0"/>
    </xf>
    <xf numFmtId="172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5" fillId="3" borderId="56" xfId="0" applyFont="1" applyFill="1" applyBorder="1" applyAlignment="1" applyProtection="1">
      <alignment horizontal="center"/>
      <protection locked="0"/>
    </xf>
    <xf numFmtId="2" fontId="11" fillId="7" borderId="27" xfId="0" applyNumberFormat="1" applyFont="1" applyFill="1" applyBorder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33" xfId="0" applyFont="1" applyFill="1" applyBorder="1" applyAlignment="1">
      <alignment horizontal="right"/>
    </xf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8" xfId="0" applyFont="1" applyFill="1" applyBorder="1" applyAlignment="1">
      <alignment horizontal="right"/>
    </xf>
    <xf numFmtId="10" fontId="12" fillId="7" borderId="48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6" borderId="17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52" xfId="0" applyFont="1" applyFill="1" applyBorder="1"/>
    <xf numFmtId="0" fontId="12" fillId="2" borderId="23" xfId="0" applyFont="1" applyFill="1" applyBorder="1" applyAlignment="1">
      <alignment horizontal="center" wrapText="1"/>
    </xf>
    <xf numFmtId="172" fontId="15" fillId="3" borderId="40" xfId="0" applyNumberFormat="1" applyFont="1" applyFill="1" applyBorder="1" applyAlignment="1" applyProtection="1">
      <alignment horizontal="center"/>
      <protection locked="0"/>
    </xf>
    <xf numFmtId="2" fontId="11" fillId="2" borderId="37" xfId="0" applyNumberFormat="1" applyFont="1" applyFill="1" applyBorder="1" applyAlignment="1">
      <alignment horizontal="center"/>
    </xf>
    <xf numFmtId="10" fontId="11" fillId="2" borderId="38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172" fontId="15" fillId="3" borderId="43" xfId="0" applyNumberFormat="1" applyFont="1" applyFill="1" applyBorder="1" applyAlignment="1" applyProtection="1">
      <alignment horizontal="center"/>
      <protection locked="0"/>
    </xf>
    <xf numFmtId="2" fontId="11" fillId="2" borderId="43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2" fontId="12" fillId="2" borderId="0" xfId="0" applyNumberFormat="1" applyFont="1" applyFill="1" applyAlignment="1">
      <alignment horizontal="center"/>
    </xf>
    <xf numFmtId="172" fontId="11" fillId="2" borderId="2" xfId="0" applyNumberFormat="1" applyFont="1" applyFill="1" applyBorder="1" applyAlignment="1">
      <alignment horizontal="right"/>
    </xf>
    <xf numFmtId="10" fontId="15" fillId="6" borderId="27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1" xfId="0" applyFont="1" applyFill="1" applyBorder="1"/>
    <xf numFmtId="0" fontId="11" fillId="2" borderId="6" xfId="0" applyFont="1" applyFill="1" applyBorder="1"/>
    <xf numFmtId="0" fontId="11" fillId="2" borderId="2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0" fontId="15" fillId="6" borderId="1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60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53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5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4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23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25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5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7" borderId="48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66" fontId="15" fillId="3" borderId="48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5" fontId="15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5" fillId="3" borderId="29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5" fillId="3" borderId="21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5" fillId="3" borderId="22" xfId="0" applyFont="1" applyFill="1" applyBorder="1" applyAlignment="1" applyProtection="1">
      <alignment horizontal="center"/>
      <protection locked="0"/>
    </xf>
    <xf numFmtId="0" fontId="13" fillId="2" borderId="25" xfId="0" applyFont="1" applyFill="1" applyBorder="1" applyAlignment="1">
      <alignment horizontal="center"/>
    </xf>
    <xf numFmtId="2" fontId="13" fillId="2" borderId="2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5" fillId="6" borderId="62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2" fontId="15" fillId="3" borderId="42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7" borderId="63" xfId="0" applyNumberFormat="1" applyFont="1" applyFill="1" applyBorder="1" applyAlignment="1">
      <alignment horizontal="center"/>
    </xf>
    <xf numFmtId="1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0" fontId="15" fillId="3" borderId="56" xfId="0" applyFont="1" applyFill="1" applyBorder="1" applyAlignment="1" applyProtection="1">
      <alignment horizontal="center"/>
      <protection locked="0"/>
    </xf>
    <xf numFmtId="0" fontId="11" fillId="2" borderId="33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166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7" borderId="48" xfId="0" applyNumberFormat="1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0" fontId="11" fillId="2" borderId="21" xfId="0" applyFont="1" applyFill="1" applyBorder="1"/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5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9" xfId="0" applyNumberFormat="1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5" fillId="7" borderId="65" xfId="0" applyNumberFormat="1" applyFont="1" applyFill="1" applyBorder="1" applyAlignment="1">
      <alignment horizontal="center"/>
    </xf>
    <xf numFmtId="2" fontId="15" fillId="6" borderId="41" xfId="0" applyNumberFormat="1" applyFont="1" applyFill="1" applyBorder="1" applyAlignment="1">
      <alignment horizontal="center"/>
    </xf>
    <xf numFmtId="0" fontId="13" fillId="2" borderId="0" xfId="0" applyFont="1" applyFill="1"/>
    <xf numFmtId="10" fontId="15" fillId="7" borderId="65" xfId="0" applyNumberFormat="1" applyFont="1" applyFill="1" applyBorder="1" applyAlignment="1">
      <alignment horizontal="center"/>
    </xf>
    <xf numFmtId="172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5" fillId="6" borderId="3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5" fillId="6" borderId="39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/>
    </xf>
    <xf numFmtId="2" fontId="15" fillId="7" borderId="65" xfId="0" applyNumberFormat="1" applyFont="1" applyFill="1" applyBorder="1" applyAlignment="1">
      <alignment horizontal="center"/>
    </xf>
    <xf numFmtId="2" fontId="15" fillId="6" borderId="62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9" fontId="11" fillId="2" borderId="13" xfId="0" applyNumberFormat="1" applyFont="1" applyFill="1" applyBorder="1" applyAlignment="1">
      <alignment horizontal="center" vertical="center"/>
    </xf>
    <xf numFmtId="169" fontId="11" fillId="2" borderId="14" xfId="0" applyNumberFormat="1" applyFont="1" applyFill="1" applyBorder="1" applyAlignment="1">
      <alignment horizontal="center" vertical="center"/>
    </xf>
    <xf numFmtId="169" fontId="11" fillId="2" borderId="15" xfId="0" applyNumberFormat="1" applyFont="1" applyFill="1" applyBorder="1" applyAlignment="1">
      <alignment horizontal="center" vertical="center"/>
    </xf>
    <xf numFmtId="169" fontId="15" fillId="6" borderId="41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5" fillId="3" borderId="14" xfId="0" applyNumberFormat="1" applyFont="1" applyFill="1" applyBorder="1" applyAlignment="1" applyProtection="1">
      <alignment horizontal="center"/>
      <protection locked="0"/>
    </xf>
    <xf numFmtId="1" fontId="15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5" fillId="3" borderId="13" xfId="0" applyNumberFormat="1" applyFont="1" applyFill="1" applyBorder="1" applyAlignment="1" applyProtection="1">
      <alignment horizontal="center"/>
      <protection locked="0"/>
    </xf>
    <xf numFmtId="169" fontId="11" fillId="2" borderId="23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173" fontId="15" fillId="6" borderId="56" xfId="0" applyNumberFormat="1" applyFont="1" applyFill="1" applyBorder="1" applyAlignment="1">
      <alignment horizontal="center"/>
    </xf>
    <xf numFmtId="173" fontId="15" fillId="7" borderId="65" xfId="0" applyNumberFormat="1" applyFont="1" applyFill="1" applyBorder="1" applyAlignment="1">
      <alignment horizontal="center"/>
    </xf>
    <xf numFmtId="173" fontId="15" fillId="6" borderId="62" xfId="0" applyNumberFormat="1" applyFont="1" applyFill="1" applyBorder="1" applyAlignment="1">
      <alignment horizontal="center"/>
    </xf>
    <xf numFmtId="170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4" fillId="2" borderId="18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4" fillId="2" borderId="29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60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justify" vertical="center" wrapText="1"/>
    </xf>
    <xf numFmtId="0" fontId="14" fillId="2" borderId="19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10" fontId="21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2" fontId="15" fillId="3" borderId="13" xfId="0" applyNumberFormat="1" applyFont="1" applyFill="1" applyBorder="1" applyAlignment="1" applyProtection="1">
      <alignment horizontal="center" vertical="center"/>
      <protection locked="0"/>
    </xf>
    <xf numFmtId="2" fontId="15" fillId="3" borderId="14" xfId="0" applyNumberFormat="1" applyFont="1" applyFill="1" applyBorder="1" applyAlignment="1" applyProtection="1">
      <alignment horizontal="center" vertical="center"/>
      <protection locked="0"/>
    </xf>
    <xf numFmtId="2" fontId="15" fillId="3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29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  <xf numFmtId="0" fontId="14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10" fontId="2" fillId="2" borderId="0" xfId="0" applyNumberFormat="1" applyFont="1" applyFill="1" applyBorder="1"/>
  </cellXfs>
  <cellStyles count="1">
    <cellStyle name="Normal" xfId="0" builtinId="0"/>
  </cellStyles>
  <dxfs count="4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A30" sqref="A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34" t="s">
        <v>0</v>
      </c>
      <c r="B15" s="534"/>
      <c r="C15" s="534"/>
      <c r="D15" s="534"/>
      <c r="E15" s="53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162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99.95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24.13</v>
      </c>
      <c r="C20" s="10"/>
      <c r="D20" s="10"/>
      <c r="E20" s="10"/>
    </row>
    <row r="21" spans="1:6" ht="16.5" customHeight="1" x14ac:dyDescent="0.3">
      <c r="A21" s="7" t="s">
        <v>10</v>
      </c>
      <c r="B21" s="13">
        <f>24.13/50*10/100</f>
        <v>4.8259999999999997E-2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4671114</v>
      </c>
      <c r="C24" s="18">
        <v>7429.96</v>
      </c>
      <c r="D24" s="19">
        <v>1.17</v>
      </c>
      <c r="E24" s="20">
        <v>2.31</v>
      </c>
    </row>
    <row r="25" spans="1:6" ht="16.5" customHeight="1" x14ac:dyDescent="0.3">
      <c r="A25" s="17">
        <v>2</v>
      </c>
      <c r="B25" s="18">
        <v>4644319</v>
      </c>
      <c r="C25" s="18">
        <v>7416.94</v>
      </c>
      <c r="D25" s="19">
        <v>1.1399999999999999</v>
      </c>
      <c r="E25" s="19">
        <v>2.31</v>
      </c>
    </row>
    <row r="26" spans="1:6" ht="16.5" customHeight="1" x14ac:dyDescent="0.3">
      <c r="A26" s="17">
        <v>3</v>
      </c>
      <c r="B26" s="18">
        <v>4675476</v>
      </c>
      <c r="C26" s="18">
        <v>7404.44</v>
      </c>
      <c r="D26" s="19">
        <v>1.1499999999999999</v>
      </c>
      <c r="E26" s="19">
        <v>2.31</v>
      </c>
    </row>
    <row r="27" spans="1:6" ht="16.5" customHeight="1" x14ac:dyDescent="0.3">
      <c r="A27" s="17">
        <v>4</v>
      </c>
      <c r="B27" s="18">
        <v>4649665</v>
      </c>
      <c r="C27" s="18">
        <v>7453.18</v>
      </c>
      <c r="D27" s="19">
        <v>1.1100000000000001</v>
      </c>
      <c r="E27" s="19">
        <v>2.3199999999999998</v>
      </c>
    </row>
    <row r="28" spans="1:6" ht="16.5" customHeight="1" x14ac:dyDescent="0.3">
      <c r="A28" s="17">
        <v>5</v>
      </c>
      <c r="B28" s="18">
        <v>4655345</v>
      </c>
      <c r="C28" s="18">
        <v>7454.31</v>
      </c>
      <c r="D28" s="19">
        <v>1.1100000000000001</v>
      </c>
      <c r="E28" s="19">
        <v>2.3199999999999998</v>
      </c>
    </row>
    <row r="29" spans="1:6" ht="16.5" customHeight="1" x14ac:dyDescent="0.3">
      <c r="A29" s="17">
        <v>6</v>
      </c>
      <c r="B29" s="21">
        <v>4656009</v>
      </c>
      <c r="C29" s="21">
        <v>7452.16</v>
      </c>
      <c r="D29" s="22">
        <v>1.1200000000000001</v>
      </c>
      <c r="E29" s="22">
        <v>2.3199999999999998</v>
      </c>
    </row>
    <row r="30" spans="1:6" ht="16.5" customHeight="1" x14ac:dyDescent="0.3">
      <c r="A30" s="23" t="s">
        <v>18</v>
      </c>
      <c r="B30" s="24">
        <f>AVERAGE(B24:B29)</f>
        <v>4658654.666666667</v>
      </c>
      <c r="C30" s="25">
        <f>AVERAGE(C24:C29)</f>
        <v>7435.1650000000009</v>
      </c>
      <c r="D30" s="26">
        <f>AVERAGE(D24:D29)</f>
        <v>1.1333333333333333</v>
      </c>
      <c r="E30" s="26">
        <f>AVERAGE(E24:E29)</f>
        <v>2.3149999999999999</v>
      </c>
    </row>
    <row r="31" spans="1:6" ht="16.5" customHeight="1" x14ac:dyDescent="0.3">
      <c r="A31" s="27" t="s">
        <v>19</v>
      </c>
      <c r="B31" s="28">
        <f>(STDEV(B24:B29)/B30)</f>
        <v>2.6157381462736076E-3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161</v>
      </c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35" t="s">
        <v>26</v>
      </c>
      <c r="C59" s="53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165</v>
      </c>
      <c r="C60" s="48"/>
      <c r="E60" s="48" t="s">
        <v>166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30" sqref="B30"/>
    </sheetView>
  </sheetViews>
  <sheetFormatPr defaultRowHeight="13.5" x14ac:dyDescent="0.25"/>
  <cols>
    <col min="1" max="1" width="27.5703125" style="463" customWidth="1"/>
    <col min="2" max="2" width="20.42578125" style="463" customWidth="1"/>
    <col min="3" max="3" width="31.85546875" style="463" customWidth="1"/>
    <col min="4" max="5" width="25.85546875" style="463" customWidth="1"/>
    <col min="6" max="6" width="25.7109375" style="463" customWidth="1"/>
    <col min="7" max="7" width="23.140625" style="463" customWidth="1"/>
    <col min="8" max="8" width="28.42578125" style="463" customWidth="1"/>
    <col min="9" max="9" width="21.5703125" style="463" customWidth="1"/>
    <col min="10" max="10" width="9.140625" style="463" customWidth="1"/>
    <col min="11" max="16384" width="9.140625" style="4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534" t="s">
        <v>0</v>
      </c>
      <c r="B15" s="534"/>
      <c r="C15" s="534"/>
      <c r="D15" s="534"/>
      <c r="E15" s="534"/>
      <c r="F15" s="534"/>
    </row>
    <row r="16" spans="1:7" ht="16.5" customHeight="1" x14ac:dyDescent="0.3">
      <c r="A16" s="228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229"/>
    </row>
    <row r="18" spans="1:6" ht="16.5" customHeight="1" x14ac:dyDescent="0.3">
      <c r="A18" s="75" t="s">
        <v>4</v>
      </c>
      <c r="B18" s="8" t="s">
        <v>159</v>
      </c>
      <c r="C18" s="229"/>
      <c r="D18" s="229"/>
      <c r="E18" s="229"/>
      <c r="F18" s="229"/>
    </row>
    <row r="19" spans="1:6" ht="16.5" customHeight="1" x14ac:dyDescent="0.3">
      <c r="A19" s="75" t="s">
        <v>6</v>
      </c>
      <c r="B19" s="12">
        <v>99.8</v>
      </c>
      <c r="C19" s="229"/>
      <c r="D19" s="229"/>
      <c r="E19" s="229"/>
      <c r="F19" s="229"/>
    </row>
    <row r="20" spans="1:6" ht="16.5" customHeight="1" x14ac:dyDescent="0.3">
      <c r="A20" s="8" t="s">
        <v>8</v>
      </c>
      <c r="B20" s="12">
        <v>11.99</v>
      </c>
      <c r="C20" s="229"/>
      <c r="D20" s="229"/>
      <c r="E20" s="229"/>
      <c r="F20" s="229"/>
    </row>
    <row r="21" spans="1:6" ht="16.5" customHeight="1" x14ac:dyDescent="0.3">
      <c r="A21" s="8" t="s">
        <v>10</v>
      </c>
      <c r="B21" s="13">
        <f>11.99/50*2/100</f>
        <v>4.7959999999999999E-3</v>
      </c>
      <c r="C21" s="229"/>
      <c r="D21" s="229"/>
      <c r="E21" s="229"/>
      <c r="F21" s="229"/>
    </row>
    <row r="22" spans="1:6" ht="15.75" customHeight="1" x14ac:dyDescent="0.25">
      <c r="A22" s="229"/>
      <c r="B22" s="229"/>
      <c r="C22" s="229"/>
      <c r="D22" s="229"/>
      <c r="E22" s="229"/>
      <c r="F22" s="229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163</v>
      </c>
      <c r="F23" s="16" t="s">
        <v>17</v>
      </c>
    </row>
    <row r="24" spans="1:6" ht="16.5" customHeight="1" x14ac:dyDescent="0.3">
      <c r="A24" s="17">
        <v>1</v>
      </c>
      <c r="B24" s="18">
        <v>549258</v>
      </c>
      <c r="C24" s="18">
        <v>9757.7099999999991</v>
      </c>
      <c r="D24" s="19">
        <v>1.03</v>
      </c>
      <c r="E24" s="19">
        <v>21.8</v>
      </c>
      <c r="F24" s="20">
        <v>6.23</v>
      </c>
    </row>
    <row r="25" spans="1:6" ht="16.5" customHeight="1" x14ac:dyDescent="0.3">
      <c r="A25" s="17">
        <v>2</v>
      </c>
      <c r="B25" s="18">
        <v>549031</v>
      </c>
      <c r="C25" s="18">
        <v>9744.93</v>
      </c>
      <c r="D25" s="19">
        <v>1.02</v>
      </c>
      <c r="E25" s="19">
        <v>21.78</v>
      </c>
      <c r="F25" s="19">
        <v>6.23</v>
      </c>
    </row>
    <row r="26" spans="1:6" ht="16.5" customHeight="1" x14ac:dyDescent="0.3">
      <c r="A26" s="17">
        <v>3</v>
      </c>
      <c r="B26" s="18">
        <v>549913</v>
      </c>
      <c r="C26" s="18">
        <v>9824.94</v>
      </c>
      <c r="D26" s="19">
        <v>1.04</v>
      </c>
      <c r="E26" s="19">
        <v>21.84</v>
      </c>
      <c r="F26" s="19">
        <v>6.23</v>
      </c>
    </row>
    <row r="27" spans="1:6" ht="16.5" customHeight="1" x14ac:dyDescent="0.3">
      <c r="A27" s="17">
        <v>4</v>
      </c>
      <c r="B27" s="18">
        <v>547028</v>
      </c>
      <c r="C27" s="18">
        <v>9771.75</v>
      </c>
      <c r="D27" s="19">
        <v>1.02</v>
      </c>
      <c r="E27" s="19">
        <v>21.79</v>
      </c>
      <c r="F27" s="19">
        <v>6.23</v>
      </c>
    </row>
    <row r="28" spans="1:6" ht="16.5" customHeight="1" x14ac:dyDescent="0.3">
      <c r="A28" s="17">
        <v>5</v>
      </c>
      <c r="B28" s="18">
        <v>545787</v>
      </c>
      <c r="C28" s="18">
        <v>9810.41</v>
      </c>
      <c r="D28" s="19">
        <v>1.02</v>
      </c>
      <c r="E28" s="19">
        <v>21.82</v>
      </c>
      <c r="F28" s="19">
        <v>6.23</v>
      </c>
    </row>
    <row r="29" spans="1:6" ht="16.5" customHeight="1" x14ac:dyDescent="0.3">
      <c r="A29" s="17">
        <v>6</v>
      </c>
      <c r="B29" s="21">
        <v>546218</v>
      </c>
      <c r="C29" s="21">
        <v>9780.94</v>
      </c>
      <c r="D29" s="22">
        <v>1.02</v>
      </c>
      <c r="E29" s="22">
        <v>21.8</v>
      </c>
      <c r="F29" s="22">
        <v>6.23</v>
      </c>
    </row>
    <row r="30" spans="1:6" ht="16.5" customHeight="1" x14ac:dyDescent="0.3">
      <c r="A30" s="23" t="s">
        <v>18</v>
      </c>
      <c r="B30" s="24">
        <f>AVERAGE(B24:B29)</f>
        <v>547872.5</v>
      </c>
      <c r="C30" s="25">
        <f>AVERAGE(C24:C29)</f>
        <v>9781.7800000000007</v>
      </c>
      <c r="D30" s="26">
        <f>AVERAGE(D24:D29)</f>
        <v>1.0249999999999997</v>
      </c>
      <c r="E30" s="26">
        <v>21.81</v>
      </c>
      <c r="F30" s="26">
        <f>AVERAGE(F24:F29)</f>
        <v>6.23</v>
      </c>
    </row>
    <row r="31" spans="1:6" ht="16.5" customHeight="1" x14ac:dyDescent="0.3">
      <c r="A31" s="27" t="s">
        <v>19</v>
      </c>
      <c r="B31" s="28">
        <f>(STDEV(B24:B29)/B30)</f>
        <v>3.1850589649123941E-3</v>
      </c>
      <c r="C31" s="29"/>
      <c r="D31" s="29"/>
      <c r="E31" s="29"/>
      <c r="F31" s="30"/>
    </row>
    <row r="32" spans="1:6" s="463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73"/>
      <c r="F32" s="35"/>
    </row>
    <row r="33" spans="1:6" s="463" customFormat="1" ht="15.75" customHeight="1" x14ac:dyDescent="0.25">
      <c r="A33" s="229"/>
      <c r="B33" s="229"/>
      <c r="C33" s="229"/>
      <c r="D33" s="229"/>
      <c r="E33" s="229"/>
      <c r="F33" s="229"/>
    </row>
    <row r="34" spans="1:6" s="463" customFormat="1" ht="16.5" customHeight="1" x14ac:dyDescent="0.3">
      <c r="A34" s="75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5"/>
      <c r="B35" s="40" t="s">
        <v>23</v>
      </c>
      <c r="C35" s="39"/>
      <c r="D35" s="39"/>
      <c r="E35" s="39"/>
      <c r="F35" s="39"/>
    </row>
    <row r="36" spans="1:6" ht="16.5" customHeight="1" x14ac:dyDescent="0.3">
      <c r="A36" s="75"/>
      <c r="B36" s="40" t="s">
        <v>24</v>
      </c>
      <c r="C36" s="39"/>
      <c r="D36" s="39"/>
      <c r="E36" s="39"/>
      <c r="F36" s="39"/>
    </row>
    <row r="37" spans="1:6" ht="15.75" customHeight="1" x14ac:dyDescent="0.25">
      <c r="A37" s="229"/>
      <c r="B37" s="229" t="s">
        <v>164</v>
      </c>
      <c r="C37" s="229"/>
      <c r="D37" s="229"/>
      <c r="E37" s="229"/>
      <c r="F37" s="229"/>
    </row>
    <row r="38" spans="1:6" ht="16.5" customHeight="1" x14ac:dyDescent="0.3">
      <c r="A38" s="228" t="s">
        <v>1</v>
      </c>
      <c r="B38" s="59" t="s">
        <v>25</v>
      </c>
    </row>
    <row r="39" spans="1:6" ht="16.5" customHeight="1" x14ac:dyDescent="0.3">
      <c r="A39" s="75" t="s">
        <v>4</v>
      </c>
      <c r="B39" s="8"/>
      <c r="C39" s="229"/>
      <c r="D39" s="229"/>
      <c r="E39" s="229"/>
      <c r="F39" s="229"/>
    </row>
    <row r="40" spans="1:6" ht="16.5" customHeight="1" x14ac:dyDescent="0.3">
      <c r="A40" s="75" t="s">
        <v>6</v>
      </c>
      <c r="B40" s="12"/>
      <c r="C40" s="229"/>
      <c r="D40" s="229"/>
      <c r="E40" s="229"/>
      <c r="F40" s="229"/>
    </row>
    <row r="41" spans="1:6" ht="16.5" customHeight="1" x14ac:dyDescent="0.3">
      <c r="A41" s="8" t="s">
        <v>8</v>
      </c>
      <c r="B41" s="12"/>
      <c r="C41" s="229"/>
      <c r="D41" s="229"/>
      <c r="E41" s="229"/>
      <c r="F41" s="229"/>
    </row>
    <row r="42" spans="1:6" ht="16.5" customHeight="1" x14ac:dyDescent="0.3">
      <c r="A42" s="8" t="s">
        <v>10</v>
      </c>
      <c r="B42" s="13"/>
      <c r="C42" s="229"/>
      <c r="D42" s="229"/>
      <c r="E42" s="229"/>
      <c r="F42" s="229"/>
    </row>
    <row r="43" spans="1:6" ht="15.75" customHeight="1" x14ac:dyDescent="0.25">
      <c r="A43" s="229"/>
      <c r="B43" s="229"/>
      <c r="C43" s="229"/>
      <c r="D43" s="229"/>
      <c r="E43" s="229"/>
      <c r="F43" s="229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163</v>
      </c>
      <c r="F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</row>
    <row r="53" spans="1:8" s="463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73"/>
      <c r="F53" s="35"/>
    </row>
    <row r="54" spans="1:8" s="463" customFormat="1" ht="15.75" customHeight="1" x14ac:dyDescent="0.25">
      <c r="A54" s="229"/>
      <c r="B54" s="229"/>
      <c r="C54" s="229"/>
      <c r="D54" s="229"/>
      <c r="E54" s="229"/>
      <c r="F54" s="229"/>
    </row>
    <row r="55" spans="1:8" s="463" customFormat="1" ht="16.5" customHeight="1" x14ac:dyDescent="0.3">
      <c r="A55" s="7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5"/>
      <c r="B56" s="40" t="s">
        <v>23</v>
      </c>
      <c r="C56" s="39"/>
      <c r="D56" s="39"/>
      <c r="E56" s="39"/>
      <c r="F56" s="39"/>
    </row>
    <row r="57" spans="1:8" ht="16.5" customHeight="1" x14ac:dyDescent="0.3">
      <c r="A57" s="75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229" t="s">
        <v>164</v>
      </c>
      <c r="D58" s="43"/>
      <c r="E58" s="589"/>
      <c r="G58" s="44"/>
      <c r="H58" s="44"/>
    </row>
    <row r="59" spans="1:8" ht="15" customHeight="1" x14ac:dyDescent="0.3">
      <c r="B59" s="535" t="s">
        <v>26</v>
      </c>
      <c r="C59" s="535"/>
      <c r="F59" s="45" t="s">
        <v>27</v>
      </c>
      <c r="G59" s="46"/>
      <c r="H59" s="45" t="s">
        <v>28</v>
      </c>
    </row>
    <row r="60" spans="1:8" ht="15" customHeight="1" x14ac:dyDescent="0.3">
      <c r="A60" s="47" t="s">
        <v>29</v>
      </c>
      <c r="B60" s="49" t="s">
        <v>165</v>
      </c>
      <c r="C60" s="49"/>
      <c r="F60" s="49" t="s">
        <v>166</v>
      </c>
      <c r="H60" s="49"/>
    </row>
    <row r="61" spans="1:8" ht="15" customHeight="1" x14ac:dyDescent="0.3">
      <c r="A61" s="47" t="s">
        <v>30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2" workbookViewId="0">
      <selection activeCell="D39" sqref="D3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39" t="s">
        <v>31</v>
      </c>
      <c r="B11" s="540"/>
      <c r="C11" s="540"/>
      <c r="D11" s="540"/>
      <c r="E11" s="540"/>
      <c r="F11" s="541"/>
      <c r="G11" s="91"/>
    </row>
    <row r="12" spans="1:7" ht="16.5" customHeight="1" x14ac:dyDescent="0.3">
      <c r="A12" s="538" t="s">
        <v>32</v>
      </c>
      <c r="B12" s="538"/>
      <c r="C12" s="538"/>
      <c r="D12" s="538"/>
      <c r="E12" s="538"/>
      <c r="F12" s="538"/>
      <c r="G12" s="90"/>
    </row>
    <row r="14" spans="1:7" ht="16.5" customHeight="1" x14ac:dyDescent="0.3">
      <c r="A14" s="543" t="s">
        <v>33</v>
      </c>
      <c r="B14" s="543"/>
      <c r="C14" s="60" t="s">
        <v>5</v>
      </c>
    </row>
    <row r="15" spans="1:7" ht="16.5" customHeight="1" x14ac:dyDescent="0.3">
      <c r="A15" s="543" t="s">
        <v>34</v>
      </c>
      <c r="B15" s="543"/>
      <c r="C15" s="60" t="s">
        <v>7</v>
      </c>
    </row>
    <row r="16" spans="1:7" ht="16.5" customHeight="1" x14ac:dyDescent="0.3">
      <c r="A16" s="543" t="s">
        <v>35</v>
      </c>
      <c r="B16" s="543"/>
      <c r="C16" s="60" t="s">
        <v>9</v>
      </c>
    </row>
    <row r="17" spans="1:5" ht="16.5" customHeight="1" x14ac:dyDescent="0.3">
      <c r="A17" s="543" t="s">
        <v>36</v>
      </c>
      <c r="B17" s="543"/>
      <c r="C17" s="60" t="s">
        <v>11</v>
      </c>
    </row>
    <row r="18" spans="1:5" ht="16.5" customHeight="1" x14ac:dyDescent="0.3">
      <c r="A18" s="543" t="s">
        <v>37</v>
      </c>
      <c r="B18" s="543"/>
      <c r="C18" s="97" t="s">
        <v>12</v>
      </c>
    </row>
    <row r="19" spans="1:5" ht="16.5" customHeight="1" x14ac:dyDescent="0.3">
      <c r="A19" s="543" t="s">
        <v>38</v>
      </c>
      <c r="B19" s="54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38" t="s">
        <v>1</v>
      </c>
      <c r="B21" s="538"/>
      <c r="C21" s="59" t="s">
        <v>39</v>
      </c>
      <c r="D21" s="66"/>
    </row>
    <row r="22" spans="1:5" ht="15.75" customHeight="1" x14ac:dyDescent="0.3">
      <c r="A22" s="542"/>
      <c r="B22" s="542"/>
      <c r="C22" s="57"/>
      <c r="D22" s="542"/>
      <c r="E22" s="54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575.11</v>
      </c>
      <c r="D24" s="87">
        <f t="shared" ref="D24:D43" si="0">(C24-$C$46)/$C$46</f>
        <v>-3.0977514553618801E-2</v>
      </c>
      <c r="E24" s="53"/>
    </row>
    <row r="25" spans="1:5" ht="15.75" customHeight="1" x14ac:dyDescent="0.3">
      <c r="C25" s="95">
        <v>593.38</v>
      </c>
      <c r="D25" s="88">
        <f t="shared" si="0"/>
        <v>-1.9376742853774521E-4</v>
      </c>
      <c r="E25" s="53"/>
    </row>
    <row r="26" spans="1:5" ht="15.75" customHeight="1" x14ac:dyDescent="0.3">
      <c r="C26" s="95">
        <v>599.54999999999995</v>
      </c>
      <c r="D26" s="88">
        <f t="shared" si="0"/>
        <v>1.0202276346051694E-2</v>
      </c>
      <c r="E26" s="53"/>
    </row>
    <row r="27" spans="1:5" ht="15.75" customHeight="1" x14ac:dyDescent="0.3">
      <c r="C27" s="95">
        <v>591.95000000000005</v>
      </c>
      <c r="D27" s="88">
        <f t="shared" si="0"/>
        <v>-2.603223279050302E-3</v>
      </c>
      <c r="E27" s="53"/>
    </row>
    <row r="28" spans="1:5" ht="15.75" customHeight="1" x14ac:dyDescent="0.3">
      <c r="C28" s="95">
        <v>603.22</v>
      </c>
      <c r="D28" s="88">
        <f t="shared" si="0"/>
        <v>1.6385984717647194E-2</v>
      </c>
      <c r="E28" s="53"/>
    </row>
    <row r="29" spans="1:5" ht="15.75" customHeight="1" x14ac:dyDescent="0.3">
      <c r="C29" s="95">
        <v>573.03</v>
      </c>
      <c r="D29" s="88">
        <f t="shared" si="0"/>
        <v>-3.4482177608909988E-2</v>
      </c>
      <c r="E29" s="53"/>
    </row>
    <row r="30" spans="1:5" ht="15.75" customHeight="1" x14ac:dyDescent="0.3">
      <c r="C30" s="95">
        <v>599.58000000000004</v>
      </c>
      <c r="D30" s="88">
        <f t="shared" si="0"/>
        <v>1.0252824370887769E-2</v>
      </c>
      <c r="E30" s="53"/>
    </row>
    <row r="31" spans="1:5" ht="15.75" customHeight="1" x14ac:dyDescent="0.3">
      <c r="C31" s="95">
        <v>596.25</v>
      </c>
      <c r="D31" s="88">
        <f t="shared" si="0"/>
        <v>4.6419936140995217E-3</v>
      </c>
      <c r="E31" s="53"/>
    </row>
    <row r="32" spans="1:5" ht="15.75" customHeight="1" x14ac:dyDescent="0.3">
      <c r="C32" s="95">
        <v>598.62</v>
      </c>
      <c r="D32" s="88">
        <f t="shared" si="0"/>
        <v>8.6352875761379622E-3</v>
      </c>
      <c r="E32" s="53"/>
    </row>
    <row r="33" spans="1:7" ht="15.75" customHeight="1" x14ac:dyDescent="0.3">
      <c r="C33" s="95">
        <v>598.78</v>
      </c>
      <c r="D33" s="88">
        <f t="shared" si="0"/>
        <v>8.904877041929533E-3</v>
      </c>
      <c r="E33" s="53"/>
    </row>
    <row r="34" spans="1:7" ht="15.75" customHeight="1" x14ac:dyDescent="0.3">
      <c r="C34" s="95">
        <v>580.09</v>
      </c>
      <c r="D34" s="88">
        <f t="shared" si="0"/>
        <v>-2.2586542430854468E-2</v>
      </c>
      <c r="E34" s="53"/>
    </row>
    <row r="35" spans="1:7" ht="15.75" customHeight="1" x14ac:dyDescent="0.3">
      <c r="C35" s="95">
        <v>606.84</v>
      </c>
      <c r="D35" s="88">
        <f t="shared" si="0"/>
        <v>2.2485446381182703E-2</v>
      </c>
      <c r="E35" s="53"/>
    </row>
    <row r="36" spans="1:7" ht="15.75" customHeight="1" x14ac:dyDescent="0.3">
      <c r="C36" s="95">
        <v>592.71</v>
      </c>
      <c r="D36" s="88">
        <f t="shared" si="0"/>
        <v>-1.3226733165401026E-3</v>
      </c>
      <c r="E36" s="53"/>
    </row>
    <row r="37" spans="1:7" ht="15.75" customHeight="1" x14ac:dyDescent="0.3">
      <c r="C37" s="95">
        <v>593.44000000000005</v>
      </c>
      <c r="D37" s="88">
        <f t="shared" si="0"/>
        <v>-9.2671378865786529E-5</v>
      </c>
      <c r="E37" s="53"/>
    </row>
    <row r="38" spans="1:7" ht="15.75" customHeight="1" x14ac:dyDescent="0.3">
      <c r="C38" s="95">
        <v>596.75</v>
      </c>
      <c r="D38" s="88">
        <f t="shared" si="0"/>
        <v>5.4844606946983466E-3</v>
      </c>
      <c r="E38" s="53"/>
    </row>
    <row r="39" spans="1:7" ht="15.75" customHeight="1" x14ac:dyDescent="0.3">
      <c r="C39" s="95">
        <v>593.79</v>
      </c>
      <c r="D39" s="88">
        <f t="shared" si="0"/>
        <v>4.9705557755323814E-4</v>
      </c>
      <c r="E39" s="53"/>
    </row>
    <row r="40" spans="1:7" ht="15.75" customHeight="1" x14ac:dyDescent="0.3">
      <c r="C40" s="95">
        <v>585.16999999999996</v>
      </c>
      <c r="D40" s="88">
        <f t="shared" si="0"/>
        <v>-1.4027076891970523E-2</v>
      </c>
      <c r="E40" s="53"/>
    </row>
    <row r="41" spans="1:7" ht="15.75" customHeight="1" x14ac:dyDescent="0.3">
      <c r="C41" s="95">
        <v>588.05999999999995</v>
      </c>
      <c r="D41" s="88">
        <f t="shared" si="0"/>
        <v>-9.1576171661093345E-3</v>
      </c>
      <c r="E41" s="53"/>
    </row>
    <row r="42" spans="1:7" ht="15.75" customHeight="1" x14ac:dyDescent="0.3">
      <c r="C42" s="95">
        <v>602.26</v>
      </c>
      <c r="D42" s="88">
        <f t="shared" si="0"/>
        <v>1.4768447922897389E-2</v>
      </c>
      <c r="E42" s="53"/>
    </row>
    <row r="43" spans="1:7" ht="16.5" customHeight="1" x14ac:dyDescent="0.3">
      <c r="C43" s="96">
        <v>601.32000000000005</v>
      </c>
      <c r="D43" s="89">
        <f t="shared" si="0"/>
        <v>1.3184609811371697E-2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11869.9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593.495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36">
        <f>C46</f>
        <v>593.495</v>
      </c>
      <c r="C49" s="93">
        <f>-IF(C46&lt;=80,10%,IF(C46&lt;250,7.5%,5%))</f>
        <v>-0.05</v>
      </c>
      <c r="D49" s="81">
        <f>IF(C46&lt;=80,C46*0.9,IF(C46&lt;250,C46*0.925,C46*0.95))</f>
        <v>563.82024999999999</v>
      </c>
    </row>
    <row r="50" spans="1:6" ht="17.25" customHeight="1" x14ac:dyDescent="0.3">
      <c r="B50" s="537"/>
      <c r="C50" s="94">
        <f>IF(C46&lt;=80, 10%, IF(C46&lt;250, 7.5%, 5%))</f>
        <v>0.05</v>
      </c>
      <c r="D50" s="81">
        <f>IF(C46&lt;=80, C46*1.1, IF(C46&lt;250, C46*1.075, C46*1.05))</f>
        <v>623.16975000000002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zoomScale="60" zoomScaleNormal="70" workbookViewId="0">
      <selection activeCell="D36" sqref="D36"/>
    </sheetView>
  </sheetViews>
  <sheetFormatPr defaultRowHeight="12.75" x14ac:dyDescent="0.2"/>
  <cols>
    <col min="1" max="1" width="38.42578125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33.42578125" customWidth="1"/>
  </cols>
  <sheetData>
    <row r="1" spans="1:7" ht="14.25" customHeight="1" x14ac:dyDescent="0.2">
      <c r="A1" s="544" t="s">
        <v>45</v>
      </c>
      <c r="B1" s="544"/>
      <c r="C1" s="544"/>
      <c r="D1" s="544"/>
      <c r="E1" s="544"/>
      <c r="F1" s="544"/>
      <c r="G1" s="544"/>
    </row>
    <row r="2" spans="1:7" ht="14.25" customHeight="1" x14ac:dyDescent="0.2">
      <c r="A2" s="544"/>
      <c r="B2" s="544"/>
      <c r="C2" s="544"/>
      <c r="D2" s="544"/>
      <c r="E2" s="544"/>
      <c r="F2" s="544"/>
      <c r="G2" s="544"/>
    </row>
    <row r="3" spans="1:7" ht="14.25" customHeight="1" x14ac:dyDescent="0.2">
      <c r="A3" s="544"/>
      <c r="B3" s="544"/>
      <c r="C3" s="544"/>
      <c r="D3" s="544"/>
      <c r="E3" s="544"/>
      <c r="F3" s="544"/>
      <c r="G3" s="544"/>
    </row>
    <row r="4" spans="1:7" ht="14.25" customHeight="1" x14ac:dyDescent="0.2">
      <c r="A4" s="544"/>
      <c r="B4" s="544"/>
      <c r="C4" s="544"/>
      <c r="D4" s="544"/>
      <c r="E4" s="544"/>
      <c r="F4" s="544"/>
      <c r="G4" s="544"/>
    </row>
    <row r="5" spans="1:7" ht="14.25" customHeight="1" x14ac:dyDescent="0.2">
      <c r="A5" s="544"/>
      <c r="B5" s="544"/>
      <c r="C5" s="544"/>
      <c r="D5" s="544"/>
      <c r="E5" s="544"/>
      <c r="F5" s="544"/>
      <c r="G5" s="544"/>
    </row>
    <row r="6" spans="1:7" ht="14.25" customHeight="1" x14ac:dyDescent="0.2">
      <c r="A6" s="544"/>
      <c r="B6" s="544"/>
      <c r="C6" s="544"/>
      <c r="D6" s="544"/>
      <c r="E6" s="544"/>
      <c r="F6" s="544"/>
      <c r="G6" s="544"/>
    </row>
    <row r="7" spans="1:7" ht="14.25" customHeight="1" x14ac:dyDescent="0.2">
      <c r="A7" s="544"/>
      <c r="B7" s="544"/>
      <c r="C7" s="544"/>
      <c r="D7" s="544"/>
      <c r="E7" s="544"/>
      <c r="F7" s="544"/>
      <c r="G7" s="544"/>
    </row>
    <row r="8" spans="1:7" ht="14.25" customHeight="1" x14ac:dyDescent="0.2">
      <c r="A8" s="545" t="s">
        <v>46</v>
      </c>
      <c r="B8" s="545"/>
      <c r="C8" s="545"/>
      <c r="D8" s="545"/>
      <c r="E8" s="545"/>
      <c r="F8" s="545"/>
      <c r="G8" s="545"/>
    </row>
    <row r="9" spans="1:7" ht="14.25" customHeight="1" x14ac:dyDescent="0.2">
      <c r="A9" s="545"/>
      <c r="B9" s="545"/>
      <c r="C9" s="545"/>
      <c r="D9" s="545"/>
      <c r="E9" s="545"/>
      <c r="F9" s="545"/>
      <c r="G9" s="545"/>
    </row>
    <row r="10" spans="1:7" ht="14.25" customHeight="1" x14ac:dyDescent="0.2">
      <c r="A10" s="545"/>
      <c r="B10" s="545"/>
      <c r="C10" s="545"/>
      <c r="D10" s="545"/>
      <c r="E10" s="545"/>
      <c r="F10" s="545"/>
      <c r="G10" s="545"/>
    </row>
    <row r="11" spans="1:7" ht="14.25" customHeight="1" x14ac:dyDescent="0.2">
      <c r="A11" s="545"/>
      <c r="B11" s="545"/>
      <c r="C11" s="545"/>
      <c r="D11" s="545"/>
      <c r="E11" s="545"/>
      <c r="F11" s="545"/>
      <c r="G11" s="545"/>
    </row>
    <row r="12" spans="1:7" ht="14.25" customHeight="1" x14ac:dyDescent="0.2">
      <c r="A12" s="545"/>
      <c r="B12" s="545"/>
      <c r="C12" s="545"/>
      <c r="D12" s="545"/>
      <c r="E12" s="545"/>
      <c r="F12" s="545"/>
      <c r="G12" s="545"/>
    </row>
    <row r="13" spans="1:7" ht="14.25" customHeight="1" x14ac:dyDescent="0.2">
      <c r="A13" s="545"/>
      <c r="B13" s="545"/>
      <c r="C13" s="545"/>
      <c r="D13" s="545"/>
      <c r="E13" s="545"/>
      <c r="F13" s="545"/>
      <c r="G13" s="545"/>
    </row>
    <row r="14" spans="1:7" ht="14.25" customHeight="1" x14ac:dyDescent="0.2">
      <c r="A14" s="545"/>
      <c r="B14" s="545"/>
      <c r="C14" s="545"/>
      <c r="D14" s="545"/>
      <c r="E14" s="545"/>
      <c r="F14" s="545"/>
      <c r="G14" s="545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549" t="s">
        <v>31</v>
      </c>
      <c r="B16" s="550"/>
      <c r="C16" s="550"/>
      <c r="D16" s="550"/>
      <c r="E16" s="550"/>
      <c r="F16" s="550"/>
      <c r="G16" s="550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551" t="s">
        <v>5</v>
      </c>
      <c r="C18" s="551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102" t="s">
        <v>7</v>
      </c>
      <c r="C19" s="143">
        <v>18</v>
      </c>
      <c r="D19" s="98"/>
      <c r="E19" s="98"/>
      <c r="F19" s="98"/>
      <c r="G19" s="98"/>
    </row>
    <row r="20" spans="1:7" ht="26.25" customHeight="1" x14ac:dyDescent="0.4">
      <c r="A20" s="100" t="s">
        <v>35</v>
      </c>
      <c r="B20" s="552" t="s">
        <v>162</v>
      </c>
      <c r="C20" s="552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3" t="s">
        <v>11</v>
      </c>
      <c r="C21" s="103"/>
      <c r="D21" s="104"/>
      <c r="E21" s="104"/>
      <c r="F21" s="104"/>
      <c r="G21" s="104"/>
    </row>
    <row r="22" spans="1:7" ht="26.25" customHeight="1" x14ac:dyDescent="0.4">
      <c r="A22" s="100" t="s">
        <v>37</v>
      </c>
      <c r="B22" s="105">
        <v>42761</v>
      </c>
      <c r="C22" s="106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5">
        <v>42762</v>
      </c>
      <c r="C23" s="106"/>
      <c r="D23" s="98"/>
      <c r="E23" s="98"/>
      <c r="F23" s="98"/>
      <c r="G23" s="98"/>
    </row>
    <row r="24" spans="1:7" ht="18.75" customHeight="1" x14ac:dyDescent="0.3">
      <c r="A24" s="100"/>
      <c r="B24" s="107"/>
      <c r="C24" s="98"/>
      <c r="D24" s="98"/>
      <c r="E24" s="98"/>
      <c r="F24" s="98"/>
      <c r="G24" s="98"/>
    </row>
    <row r="25" spans="1:7" ht="18.75" customHeight="1" x14ac:dyDescent="0.3">
      <c r="A25" s="99" t="s">
        <v>1</v>
      </c>
      <c r="B25" s="115" t="s">
        <v>48</v>
      </c>
      <c r="C25" s="98"/>
      <c r="D25" s="98"/>
      <c r="E25" s="98"/>
      <c r="F25" s="98"/>
      <c r="G25" s="98"/>
    </row>
    <row r="26" spans="1:7" ht="19.5" customHeight="1" x14ac:dyDescent="0.3">
      <c r="A26" s="98" t="s">
        <v>49</v>
      </c>
      <c r="B26" s="116"/>
      <c r="C26" s="98"/>
      <c r="D26" s="98"/>
      <c r="E26" s="98"/>
      <c r="F26" s="98"/>
      <c r="G26" s="98"/>
    </row>
    <row r="27" spans="1:7" ht="27" customHeight="1" x14ac:dyDescent="0.4">
      <c r="A27" s="117" t="s">
        <v>50</v>
      </c>
      <c r="B27" s="151">
        <v>96.92</v>
      </c>
      <c r="C27" s="98" t="str">
        <f>B20</f>
        <v xml:space="preserve">Metformin Hydrochloride </v>
      </c>
      <c r="D27" s="553" t="s">
        <v>51</v>
      </c>
      <c r="E27" s="554"/>
      <c r="F27" s="554"/>
      <c r="G27" s="554"/>
    </row>
    <row r="28" spans="1:7" ht="17.25" customHeight="1" x14ac:dyDescent="0.3">
      <c r="A28" s="118"/>
      <c r="B28" s="118"/>
      <c r="C28" s="118"/>
      <c r="D28" s="119"/>
      <c r="E28" s="119"/>
      <c r="F28" s="119"/>
      <c r="G28" s="119"/>
    </row>
    <row r="29" spans="1:7" ht="38.25" customHeight="1" x14ac:dyDescent="0.3">
      <c r="A29" s="113"/>
      <c r="B29" s="145"/>
      <c r="C29" s="147" t="s">
        <v>52</v>
      </c>
      <c r="D29" s="120" t="s">
        <v>53</v>
      </c>
      <c r="F29" s="132"/>
      <c r="G29" s="98"/>
    </row>
    <row r="30" spans="1:7" ht="26.25" customHeight="1" x14ac:dyDescent="0.4">
      <c r="A30" s="113"/>
      <c r="B30" s="121">
        <v>1</v>
      </c>
      <c r="C30" s="148">
        <v>581.57000000000005</v>
      </c>
      <c r="D30" s="146">
        <f t="shared" ref="D30:D39" si="0">IF(ISBLANK(C30),"-",C30/$C$41*$B$27)</f>
        <v>95.540861576534212</v>
      </c>
      <c r="F30" s="547" t="s">
        <v>54</v>
      </c>
      <c r="G30" s="548"/>
    </row>
    <row r="31" spans="1:7" ht="26.25" customHeight="1" x14ac:dyDescent="0.4">
      <c r="A31" s="113"/>
      <c r="B31" s="122">
        <v>2</v>
      </c>
      <c r="C31" s="149">
        <v>568.92999999999995</v>
      </c>
      <c r="D31" s="123">
        <f t="shared" si="0"/>
        <v>93.464350597069313</v>
      </c>
      <c r="F31" s="153" t="s">
        <v>43</v>
      </c>
      <c r="G31" s="154">
        <f>D41</f>
        <v>96.92</v>
      </c>
    </row>
    <row r="32" spans="1:7" ht="26.25" customHeight="1" x14ac:dyDescent="0.4">
      <c r="A32" s="113"/>
      <c r="B32" s="122">
        <v>3</v>
      </c>
      <c r="C32" s="149">
        <v>585.74</v>
      </c>
      <c r="D32" s="123">
        <f t="shared" si="0"/>
        <v>96.225913062639307</v>
      </c>
      <c r="F32" s="153" t="s">
        <v>55</v>
      </c>
      <c r="G32" s="155">
        <v>2.4</v>
      </c>
    </row>
    <row r="33" spans="1:7" ht="26.25" customHeight="1" x14ac:dyDescent="0.4">
      <c r="A33" s="113"/>
      <c r="B33" s="122">
        <v>4</v>
      </c>
      <c r="C33" s="149">
        <v>607.59</v>
      </c>
      <c r="D33" s="123">
        <f t="shared" si="0"/>
        <v>99.815451425084547</v>
      </c>
      <c r="F33" s="153" t="s">
        <v>56</v>
      </c>
      <c r="G33" s="154">
        <f>STDEV(D30:D39)</f>
        <v>2.4499535627252333</v>
      </c>
    </row>
    <row r="34" spans="1:7" ht="26.25" customHeight="1" x14ac:dyDescent="0.4">
      <c r="A34" s="113"/>
      <c r="B34" s="122">
        <v>5</v>
      </c>
      <c r="C34" s="149">
        <v>604.54</v>
      </c>
      <c r="D34" s="123">
        <f t="shared" si="0"/>
        <v>99.314394582729477</v>
      </c>
      <c r="F34" s="153" t="s">
        <v>57</v>
      </c>
      <c r="G34" s="154">
        <f>IF(OR(D41&lt;98.5,D41&gt;101.5),(IF(D41&lt;98.5,98.5,101.5)),G31)</f>
        <v>98.5</v>
      </c>
    </row>
    <row r="35" spans="1:7" ht="27" customHeight="1" x14ac:dyDescent="0.4">
      <c r="A35" s="113"/>
      <c r="B35" s="122">
        <v>6</v>
      </c>
      <c r="C35" s="149">
        <v>563.66</v>
      </c>
      <c r="D35" s="123">
        <f t="shared" si="0"/>
        <v>92.598590085852535</v>
      </c>
      <c r="F35" s="156" t="s">
        <v>58</v>
      </c>
      <c r="G35" s="157">
        <f>ABS(G34-G31)+(G32*G33)</f>
        <v>7.4598885505405583</v>
      </c>
    </row>
    <row r="36" spans="1:7" ht="26.25" customHeight="1" x14ac:dyDescent="0.4">
      <c r="A36" s="113"/>
      <c r="B36" s="122">
        <v>7</v>
      </c>
      <c r="C36" s="149">
        <v>596.72</v>
      </c>
      <c r="D36" s="123">
        <f t="shared" si="0"/>
        <v>98.029717695117498</v>
      </c>
    </row>
    <row r="37" spans="1:7" ht="26.25" customHeight="1" x14ac:dyDescent="0.4">
      <c r="A37" s="113"/>
      <c r="B37" s="122">
        <v>8</v>
      </c>
      <c r="C37" s="149">
        <v>595.17999999999995</v>
      </c>
      <c r="D37" s="123">
        <f t="shared" si="0"/>
        <v>97.77672505996118</v>
      </c>
    </row>
    <row r="38" spans="1:7" ht="26.25" customHeight="1" x14ac:dyDescent="0.4">
      <c r="A38" s="113"/>
      <c r="B38" s="122">
        <v>9</v>
      </c>
      <c r="C38" s="149">
        <v>592.46</v>
      </c>
      <c r="D38" s="123">
        <f t="shared" si="0"/>
        <v>97.329880925139634</v>
      </c>
    </row>
    <row r="39" spans="1:7" ht="27" customHeight="1" x14ac:dyDescent="0.4">
      <c r="A39" s="108"/>
      <c r="B39" s="124">
        <v>10</v>
      </c>
      <c r="C39" s="150">
        <v>603.26</v>
      </c>
      <c r="D39" s="125">
        <f t="shared" si="0"/>
        <v>99.104114989872286</v>
      </c>
    </row>
    <row r="40" spans="1:7" ht="18.75" customHeight="1" x14ac:dyDescent="0.3">
      <c r="A40" s="108"/>
      <c r="B40" s="122"/>
      <c r="C40" s="112"/>
      <c r="D40" s="144"/>
    </row>
    <row r="41" spans="1:7" ht="18.75" customHeight="1" x14ac:dyDescent="0.3">
      <c r="A41" s="119"/>
      <c r="B41" s="109" t="s">
        <v>59</v>
      </c>
      <c r="C41" s="152">
        <f>AVERAGE(C30:C39)</f>
        <v>589.96500000000003</v>
      </c>
      <c r="D41" s="127">
        <f>AVERAGE(D30:D39)</f>
        <v>96.92</v>
      </c>
    </row>
    <row r="42" spans="1:7" ht="18.75" customHeight="1" x14ac:dyDescent="0.3">
      <c r="A42" s="119"/>
      <c r="B42" s="109" t="s">
        <v>60</v>
      </c>
      <c r="C42" s="128">
        <f>STDEV(C30:C39)/C41</f>
        <v>2.527810114243945E-2</v>
      </c>
      <c r="D42" s="128">
        <f>STDEV(D30:D39)/D41</f>
        <v>2.5278101142439467E-2</v>
      </c>
    </row>
    <row r="43" spans="1:7" ht="19.5" customHeight="1" x14ac:dyDescent="0.3">
      <c r="A43" s="119"/>
      <c r="B43" s="114" t="s">
        <v>20</v>
      </c>
      <c r="C43" s="129">
        <f>COUNT(C30:C39)</f>
        <v>10</v>
      </c>
      <c r="D43" s="129">
        <f>COUNT(D30:D39)</f>
        <v>10</v>
      </c>
    </row>
    <row r="44" spans="1:7" ht="18.75" customHeight="1" x14ac:dyDescent="0.3">
      <c r="A44" s="119"/>
      <c r="B44" s="130"/>
      <c r="C44" s="130"/>
      <c r="D44" s="111"/>
      <c r="E44" s="126"/>
      <c r="F44" s="110"/>
      <c r="G44" s="131"/>
    </row>
    <row r="45" spans="1:7" ht="18.75" customHeight="1" x14ac:dyDescent="0.3">
      <c r="A45" s="98"/>
      <c r="B45" s="98"/>
      <c r="C45" s="98"/>
      <c r="D45" s="98"/>
      <c r="E45" s="98"/>
      <c r="F45" s="98"/>
      <c r="G45" s="98"/>
    </row>
    <row r="46" spans="1:7" ht="19.5" customHeight="1" x14ac:dyDescent="0.3">
      <c r="A46" s="133"/>
      <c r="B46" s="133"/>
      <c r="C46" s="134"/>
      <c r="D46" s="134"/>
      <c r="E46" s="134"/>
      <c r="F46" s="134"/>
      <c r="G46" s="134"/>
    </row>
    <row r="47" spans="1:7" ht="18.75" customHeight="1" x14ac:dyDescent="0.3">
      <c r="A47" s="98"/>
      <c r="B47" s="546" t="s">
        <v>26</v>
      </c>
      <c r="C47" s="546"/>
      <c r="D47" s="98"/>
      <c r="E47" s="135" t="s">
        <v>27</v>
      </c>
      <c r="F47" s="136"/>
      <c r="G47" s="142" t="s">
        <v>28</v>
      </c>
    </row>
    <row r="48" spans="1:7" ht="60" customHeight="1" x14ac:dyDescent="0.3">
      <c r="A48" s="137" t="s">
        <v>29</v>
      </c>
      <c r="B48" s="138"/>
      <c r="C48" s="138"/>
      <c r="D48" s="98"/>
      <c r="E48" s="138"/>
      <c r="F48" s="130"/>
      <c r="G48" s="139"/>
    </row>
    <row r="49" spans="1:7" ht="60" customHeight="1" x14ac:dyDescent="0.3">
      <c r="A49" s="137" t="s">
        <v>30</v>
      </c>
      <c r="B49" s="140"/>
      <c r="C49" s="140"/>
      <c r="D49" s="98"/>
      <c r="E49" s="140"/>
      <c r="F49" s="130"/>
      <c r="G49" s="141"/>
    </row>
    <row r="56" spans="1:7" x14ac:dyDescent="0.2">
      <c r="A56" t="s">
        <v>61</v>
      </c>
    </row>
    <row r="57" spans="1:7" x14ac:dyDescent="0.2">
      <c r="A57" t="s">
        <v>62</v>
      </c>
      <c r="B57">
        <f>Uniformity!C46</f>
        <v>593.495</v>
      </c>
    </row>
    <row r="250" spans="1:1" x14ac:dyDescent="0.2">
      <c r="A250">
        <v>0</v>
      </c>
    </row>
  </sheetData>
  <sheetProtection password="F258" sheet="1" objects="1" scenarios="1" formatCells="0" formatColumns="0"/>
  <mergeCells count="8">
    <mergeCell ref="A1:G7"/>
    <mergeCell ref="A8:G14"/>
    <mergeCell ref="B47:C47"/>
    <mergeCell ref="F30:G30"/>
    <mergeCell ref="A16:G16"/>
    <mergeCell ref="B18:C18"/>
    <mergeCell ref="B20:C20"/>
    <mergeCell ref="D27:G27"/>
  </mergeCells>
  <pageMargins left="0.7" right="0.7" top="0.75" bottom="0.75" header="0.3" footer="0.3"/>
  <pageSetup scale="44" orientation="portrait" r:id="rId1"/>
  <headerFooter>
    <oddHeader>&amp;LVer 1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zoomScale="60" zoomScaleNormal="70" workbookViewId="0">
      <selection activeCell="D39" sqref="D39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544" t="s">
        <v>45</v>
      </c>
      <c r="B1" s="544"/>
      <c r="C1" s="544"/>
      <c r="D1" s="544"/>
      <c r="E1" s="544"/>
      <c r="F1" s="544"/>
      <c r="G1" s="544"/>
    </row>
    <row r="2" spans="1:7" x14ac:dyDescent="0.2">
      <c r="A2" s="544"/>
      <c r="B2" s="544"/>
      <c r="C2" s="544"/>
      <c r="D2" s="544"/>
      <c r="E2" s="544"/>
      <c r="F2" s="544"/>
      <c r="G2" s="544"/>
    </row>
    <row r="3" spans="1:7" x14ac:dyDescent="0.2">
      <c r="A3" s="544"/>
      <c r="B3" s="544"/>
      <c r="C3" s="544"/>
      <c r="D3" s="544"/>
      <c r="E3" s="544"/>
      <c r="F3" s="544"/>
      <c r="G3" s="544"/>
    </row>
    <row r="4" spans="1:7" x14ac:dyDescent="0.2">
      <c r="A4" s="544"/>
      <c r="B4" s="544"/>
      <c r="C4" s="544"/>
      <c r="D4" s="544"/>
      <c r="E4" s="544"/>
      <c r="F4" s="544"/>
      <c r="G4" s="544"/>
    </row>
    <row r="5" spans="1:7" x14ac:dyDescent="0.2">
      <c r="A5" s="544"/>
      <c r="B5" s="544"/>
      <c r="C5" s="544"/>
      <c r="D5" s="544"/>
      <c r="E5" s="544"/>
      <c r="F5" s="544"/>
      <c r="G5" s="544"/>
    </row>
    <row r="6" spans="1:7" x14ac:dyDescent="0.2">
      <c r="A6" s="544"/>
      <c r="B6" s="544"/>
      <c r="C6" s="544"/>
      <c r="D6" s="544"/>
      <c r="E6" s="544"/>
      <c r="F6" s="544"/>
      <c r="G6" s="544"/>
    </row>
    <row r="7" spans="1:7" x14ac:dyDescent="0.2">
      <c r="A7" s="544"/>
      <c r="B7" s="544"/>
      <c r="C7" s="544"/>
      <c r="D7" s="544"/>
      <c r="E7" s="544"/>
      <c r="F7" s="544"/>
      <c r="G7" s="544"/>
    </row>
    <row r="8" spans="1:7" x14ac:dyDescent="0.2">
      <c r="A8" s="545" t="s">
        <v>46</v>
      </c>
      <c r="B8" s="545"/>
      <c r="C8" s="545"/>
      <c r="D8" s="545"/>
      <c r="E8" s="545"/>
      <c r="F8" s="545"/>
      <c r="G8" s="545"/>
    </row>
    <row r="9" spans="1:7" x14ac:dyDescent="0.2">
      <c r="A9" s="545"/>
      <c r="B9" s="545"/>
      <c r="C9" s="545"/>
      <c r="D9" s="545"/>
      <c r="E9" s="545"/>
      <c r="F9" s="545"/>
      <c r="G9" s="545"/>
    </row>
    <row r="10" spans="1:7" x14ac:dyDescent="0.2">
      <c r="A10" s="545"/>
      <c r="B10" s="545"/>
      <c r="C10" s="545"/>
      <c r="D10" s="545"/>
      <c r="E10" s="545"/>
      <c r="F10" s="545"/>
      <c r="G10" s="545"/>
    </row>
    <row r="11" spans="1:7" x14ac:dyDescent="0.2">
      <c r="A11" s="545"/>
      <c r="B11" s="545"/>
      <c r="C11" s="545"/>
      <c r="D11" s="545"/>
      <c r="E11" s="545"/>
      <c r="F11" s="545"/>
      <c r="G11" s="545"/>
    </row>
    <row r="12" spans="1:7" x14ac:dyDescent="0.2">
      <c r="A12" s="545"/>
      <c r="B12" s="545"/>
      <c r="C12" s="545"/>
      <c r="D12" s="545"/>
      <c r="E12" s="545"/>
      <c r="F12" s="545"/>
      <c r="G12" s="545"/>
    </row>
    <row r="13" spans="1:7" x14ac:dyDescent="0.2">
      <c r="A13" s="545"/>
      <c r="B13" s="545"/>
      <c r="C13" s="545"/>
      <c r="D13" s="545"/>
      <c r="E13" s="545"/>
      <c r="F13" s="545"/>
      <c r="G13" s="545"/>
    </row>
    <row r="14" spans="1:7" x14ac:dyDescent="0.2">
      <c r="A14" s="545"/>
      <c r="B14" s="545"/>
      <c r="C14" s="545"/>
      <c r="D14" s="545"/>
      <c r="E14" s="545"/>
      <c r="F14" s="545"/>
      <c r="G14" s="545"/>
    </row>
    <row r="15" spans="1:7" ht="19.5" customHeight="1" x14ac:dyDescent="0.3">
      <c r="A15" s="158"/>
      <c r="B15" s="158"/>
      <c r="C15" s="158"/>
      <c r="D15" s="158"/>
      <c r="E15" s="158"/>
      <c r="F15" s="158"/>
      <c r="G15" s="158"/>
    </row>
    <row r="16" spans="1:7" ht="19.5" customHeight="1" x14ac:dyDescent="0.3">
      <c r="A16" s="549" t="s">
        <v>31</v>
      </c>
      <c r="B16" s="550"/>
      <c r="C16" s="550"/>
      <c r="D16" s="550"/>
      <c r="E16" s="550"/>
      <c r="F16" s="550"/>
      <c r="G16" s="550"/>
    </row>
    <row r="17" spans="1:7" ht="18.75" customHeight="1" x14ac:dyDescent="0.3">
      <c r="A17" s="159" t="s">
        <v>47</v>
      </c>
      <c r="B17" s="159"/>
      <c r="C17" s="158"/>
      <c r="D17" s="158"/>
      <c r="E17" s="158"/>
      <c r="F17" s="158"/>
      <c r="G17" s="158"/>
    </row>
    <row r="18" spans="1:7" ht="26.25" customHeight="1" x14ac:dyDescent="0.4">
      <c r="A18" s="160" t="s">
        <v>33</v>
      </c>
      <c r="B18" s="551" t="s">
        <v>5</v>
      </c>
      <c r="C18" s="551"/>
      <c r="D18" s="161"/>
      <c r="E18" s="161"/>
      <c r="F18" s="158"/>
      <c r="G18" s="158"/>
    </row>
    <row r="19" spans="1:7" ht="26.25" customHeight="1" x14ac:dyDescent="0.4">
      <c r="A19" s="160" t="s">
        <v>34</v>
      </c>
      <c r="B19" s="335" t="s">
        <v>7</v>
      </c>
      <c r="C19" s="158">
        <v>36</v>
      </c>
      <c r="E19" s="158"/>
      <c r="F19" s="158"/>
      <c r="G19" s="158"/>
    </row>
    <row r="20" spans="1:7" ht="26.25" customHeight="1" x14ac:dyDescent="0.4">
      <c r="A20" s="160" t="s">
        <v>35</v>
      </c>
      <c r="B20" s="552" t="s">
        <v>159</v>
      </c>
      <c r="C20" s="552"/>
      <c r="D20" s="158"/>
      <c r="E20" s="158"/>
      <c r="F20" s="158"/>
      <c r="G20" s="158"/>
    </row>
    <row r="21" spans="1:7" ht="26.25" customHeight="1" x14ac:dyDescent="0.4">
      <c r="A21" s="160" t="s">
        <v>36</v>
      </c>
      <c r="B21" s="162" t="s">
        <v>11</v>
      </c>
      <c r="C21" s="162"/>
      <c r="D21" s="163"/>
      <c r="E21" s="163"/>
      <c r="F21" s="163"/>
      <c r="G21" s="163"/>
    </row>
    <row r="22" spans="1:7" ht="26.25" customHeight="1" x14ac:dyDescent="0.4">
      <c r="A22" s="160" t="s">
        <v>37</v>
      </c>
      <c r="B22" s="164">
        <v>42761</v>
      </c>
      <c r="C22" s="165"/>
      <c r="D22" s="158"/>
      <c r="E22" s="158"/>
      <c r="F22" s="158"/>
      <c r="G22" s="158"/>
    </row>
    <row r="23" spans="1:7" ht="26.25" customHeight="1" x14ac:dyDescent="0.4">
      <c r="A23" s="160" t="s">
        <v>38</v>
      </c>
      <c r="B23" s="164">
        <v>42762</v>
      </c>
      <c r="C23" s="165"/>
      <c r="D23" s="158"/>
      <c r="E23" s="158"/>
      <c r="F23" s="158"/>
      <c r="G23" s="158"/>
    </row>
    <row r="24" spans="1:7" ht="18.75" customHeight="1" x14ac:dyDescent="0.3">
      <c r="A24" s="160"/>
      <c r="B24" s="166"/>
      <c r="C24" s="158"/>
      <c r="D24" s="158"/>
      <c r="E24" s="158"/>
      <c r="F24" s="158"/>
      <c r="G24" s="158"/>
    </row>
    <row r="25" spans="1:7" ht="18.75" customHeight="1" x14ac:dyDescent="0.3">
      <c r="A25" s="167" t="s">
        <v>1</v>
      </c>
      <c r="B25" s="166"/>
      <c r="C25" s="158"/>
      <c r="D25" s="158"/>
      <c r="E25" s="158"/>
      <c r="F25" s="158"/>
      <c r="G25" s="158"/>
    </row>
    <row r="26" spans="1:7" ht="26.25" customHeight="1" x14ac:dyDescent="0.4">
      <c r="A26" s="168" t="s">
        <v>4</v>
      </c>
      <c r="B26" s="551" t="s">
        <v>157</v>
      </c>
      <c r="C26" s="551"/>
      <c r="D26" s="158"/>
      <c r="E26" s="158"/>
      <c r="F26" s="158"/>
      <c r="G26" s="158"/>
    </row>
    <row r="27" spans="1:7" ht="26.25" customHeight="1" x14ac:dyDescent="0.4">
      <c r="A27" s="169" t="s">
        <v>63</v>
      </c>
      <c r="B27" s="552" t="s">
        <v>158</v>
      </c>
      <c r="C27" s="552"/>
      <c r="D27" s="158"/>
      <c r="E27" s="158"/>
      <c r="F27" s="158"/>
      <c r="G27" s="158"/>
    </row>
    <row r="28" spans="1:7" ht="27" customHeight="1" x14ac:dyDescent="0.4">
      <c r="A28" s="169" t="s">
        <v>6</v>
      </c>
      <c r="B28" s="170">
        <v>99.8</v>
      </c>
      <c r="C28" s="158"/>
      <c r="D28" s="158"/>
      <c r="E28" s="158"/>
      <c r="F28" s="158"/>
      <c r="G28" s="158"/>
    </row>
    <row r="29" spans="1:7" ht="27" customHeight="1" x14ac:dyDescent="0.4">
      <c r="A29" s="169" t="s">
        <v>64</v>
      </c>
      <c r="B29" s="171">
        <v>0</v>
      </c>
      <c r="C29" s="555" t="s">
        <v>65</v>
      </c>
      <c r="D29" s="556"/>
      <c r="E29" s="556"/>
      <c r="F29" s="556"/>
      <c r="G29" s="557"/>
    </row>
    <row r="30" spans="1:7" ht="19.5" customHeight="1" x14ac:dyDescent="0.3">
      <c r="A30" s="169" t="s">
        <v>66</v>
      </c>
      <c r="B30" s="173">
        <f>B28-B29</f>
        <v>99.8</v>
      </c>
      <c r="C30" s="174"/>
      <c r="D30" s="174"/>
      <c r="E30" s="174"/>
      <c r="F30" s="174"/>
      <c r="G30" s="174"/>
    </row>
    <row r="31" spans="1:7" ht="27" customHeight="1" x14ac:dyDescent="0.4">
      <c r="A31" s="169" t="s">
        <v>67</v>
      </c>
      <c r="B31" s="175">
        <v>1</v>
      </c>
      <c r="C31" s="555" t="s">
        <v>68</v>
      </c>
      <c r="D31" s="556"/>
      <c r="E31" s="556"/>
      <c r="F31" s="556"/>
      <c r="G31" s="557"/>
    </row>
    <row r="32" spans="1:7" ht="27" customHeight="1" x14ac:dyDescent="0.4">
      <c r="A32" s="169" t="s">
        <v>69</v>
      </c>
      <c r="B32" s="175">
        <v>1</v>
      </c>
      <c r="C32" s="555" t="s">
        <v>70</v>
      </c>
      <c r="D32" s="556"/>
      <c r="E32" s="556"/>
      <c r="F32" s="556"/>
      <c r="G32" s="557"/>
    </row>
    <row r="33" spans="1:7" ht="18.75" customHeight="1" x14ac:dyDescent="0.3">
      <c r="A33" s="169"/>
      <c r="B33" s="176"/>
      <c r="C33" s="177"/>
      <c r="D33" s="177"/>
      <c r="E33" s="177"/>
      <c r="F33" s="177"/>
      <c r="G33" s="177"/>
    </row>
    <row r="34" spans="1:7" ht="18.75" customHeight="1" x14ac:dyDescent="0.3">
      <c r="A34" s="169" t="s">
        <v>71</v>
      </c>
      <c r="B34" s="178">
        <f>B31/B32</f>
        <v>1</v>
      </c>
      <c r="C34" s="158" t="s">
        <v>72</v>
      </c>
      <c r="D34" s="158"/>
      <c r="E34" s="158"/>
      <c r="F34" s="158"/>
      <c r="G34" s="158"/>
    </row>
    <row r="35" spans="1:7" ht="19.5" customHeight="1" x14ac:dyDescent="0.3">
      <c r="A35" s="169"/>
      <c r="B35" s="173"/>
      <c r="C35" s="172"/>
      <c r="D35" s="172"/>
      <c r="E35" s="172"/>
      <c r="F35" s="172"/>
      <c r="G35" s="158"/>
    </row>
    <row r="36" spans="1:7" ht="27" customHeight="1" x14ac:dyDescent="0.4">
      <c r="A36" s="179" t="s">
        <v>73</v>
      </c>
      <c r="B36" s="180">
        <v>50</v>
      </c>
      <c r="C36" s="158"/>
      <c r="D36" s="547" t="s">
        <v>74</v>
      </c>
      <c r="E36" s="558"/>
      <c r="F36" s="547" t="s">
        <v>75</v>
      </c>
      <c r="G36" s="548"/>
    </row>
    <row r="37" spans="1:7" ht="26.25" customHeight="1" x14ac:dyDescent="0.4">
      <c r="A37" s="181" t="s">
        <v>76</v>
      </c>
      <c r="B37" s="182">
        <v>2</v>
      </c>
      <c r="C37" s="183" t="s">
        <v>77</v>
      </c>
      <c r="D37" s="184" t="s">
        <v>78</v>
      </c>
      <c r="E37" s="185" t="s">
        <v>79</v>
      </c>
      <c r="F37" s="184" t="s">
        <v>78</v>
      </c>
      <c r="G37" s="186" t="s">
        <v>79</v>
      </c>
    </row>
    <row r="38" spans="1:7" ht="26.25" customHeight="1" x14ac:dyDescent="0.4">
      <c r="A38" s="181" t="s">
        <v>80</v>
      </c>
      <c r="B38" s="182">
        <v>100</v>
      </c>
      <c r="C38" s="187">
        <v>1</v>
      </c>
      <c r="D38" s="188">
        <v>545956</v>
      </c>
      <c r="E38" s="189">
        <f>IF(ISBLANK(D38),"-",$D$48/$D$45*D38)</f>
        <v>570319.12030900829</v>
      </c>
      <c r="F38" s="188">
        <v>579374</v>
      </c>
      <c r="G38" s="190">
        <f>IF(ISBLANK(F38),"-",$D$48/$F$45*F38)</f>
        <v>562970.39385209524</v>
      </c>
    </row>
    <row r="39" spans="1:7" ht="26.25" customHeight="1" x14ac:dyDescent="0.4">
      <c r="A39" s="181" t="s">
        <v>81</v>
      </c>
      <c r="B39" s="182">
        <v>1</v>
      </c>
      <c r="C39" s="191">
        <v>2</v>
      </c>
      <c r="D39" s="192">
        <v>548277</v>
      </c>
      <c r="E39" s="193">
        <f>IF(ISBLANK(D39),"-",$D$48/$D$45*D39)</f>
        <v>572743.69422748743</v>
      </c>
      <c r="F39" s="192">
        <v>581030</v>
      </c>
      <c r="G39" s="194">
        <f>IF(ISBLANK(F39),"-",$D$48/$F$45*F39)</f>
        <v>564579.50812408375</v>
      </c>
    </row>
    <row r="40" spans="1:7" ht="26.25" customHeight="1" x14ac:dyDescent="0.4">
      <c r="A40" s="181" t="s">
        <v>82</v>
      </c>
      <c r="B40" s="182">
        <v>1</v>
      </c>
      <c r="C40" s="191">
        <v>3</v>
      </c>
      <c r="D40" s="192">
        <v>548829</v>
      </c>
      <c r="E40" s="193">
        <f>IF(ISBLANK(D40),"-",$D$48/$D$45*D40)</f>
        <v>573320.32705945661</v>
      </c>
      <c r="F40" s="192">
        <v>583745</v>
      </c>
      <c r="G40" s="194">
        <f>IF(ISBLANK(F40),"-",$D$48/$F$45*F40)</f>
        <v>567217.63931276056</v>
      </c>
    </row>
    <row r="41" spans="1:7" ht="26.25" customHeight="1" x14ac:dyDescent="0.4">
      <c r="A41" s="181" t="s">
        <v>83</v>
      </c>
      <c r="B41" s="182">
        <v>1</v>
      </c>
      <c r="C41" s="195">
        <v>4</v>
      </c>
      <c r="D41" s="196"/>
      <c r="E41" s="197" t="str">
        <f>IF(ISBLANK(D41),"-",$D$48/$D$45*D41)</f>
        <v>-</v>
      </c>
      <c r="F41" s="196"/>
      <c r="G41" s="198" t="str">
        <f>IF(ISBLANK(F41),"-",$D$48/$F$45*F41)</f>
        <v>-</v>
      </c>
    </row>
    <row r="42" spans="1:7" ht="27" customHeight="1" x14ac:dyDescent="0.4">
      <c r="A42" s="181" t="s">
        <v>84</v>
      </c>
      <c r="B42" s="182">
        <v>1</v>
      </c>
      <c r="C42" s="199" t="s">
        <v>85</v>
      </c>
      <c r="D42" s="200">
        <f>AVERAGE(D38:D41)</f>
        <v>547687.33333333337</v>
      </c>
      <c r="E42" s="201">
        <f>AVERAGE(E38:E41)</f>
        <v>572127.7138653174</v>
      </c>
      <c r="F42" s="200">
        <f>AVERAGE(F38:F41)</f>
        <v>581383</v>
      </c>
      <c r="G42" s="202">
        <f>AVERAGE(G38:G41)</f>
        <v>564922.51376297977</v>
      </c>
    </row>
    <row r="43" spans="1:7" ht="26.25" customHeight="1" x14ac:dyDescent="0.4">
      <c r="A43" s="181" t="s">
        <v>86</v>
      </c>
      <c r="B43" s="182">
        <v>1</v>
      </c>
      <c r="C43" s="203" t="s">
        <v>87</v>
      </c>
      <c r="D43" s="204">
        <v>11.99</v>
      </c>
      <c r="E43" s="205"/>
      <c r="F43" s="204">
        <v>12.89</v>
      </c>
      <c r="G43" s="158"/>
    </row>
    <row r="44" spans="1:7" ht="26.25" customHeight="1" x14ac:dyDescent="0.4">
      <c r="A44" s="181" t="s">
        <v>88</v>
      </c>
      <c r="B44" s="182">
        <v>1</v>
      </c>
      <c r="C44" s="206" t="s">
        <v>89</v>
      </c>
      <c r="D44" s="207">
        <f>D43*$B$34</f>
        <v>11.99</v>
      </c>
      <c r="E44" s="208"/>
      <c r="F44" s="207">
        <f>F43*$B$34</f>
        <v>12.89</v>
      </c>
      <c r="G44" s="158"/>
    </row>
    <row r="45" spans="1:7" ht="19.5" customHeight="1" x14ac:dyDescent="0.3">
      <c r="A45" s="181" t="s">
        <v>90</v>
      </c>
      <c r="B45" s="209">
        <f>(B44/B43)*(B42/B41)*(B40/B39)*(B38/B37)*B36</f>
        <v>2500</v>
      </c>
      <c r="C45" s="206" t="s">
        <v>91</v>
      </c>
      <c r="D45" s="210">
        <f>D44*$B$30/100</f>
        <v>11.96602</v>
      </c>
      <c r="E45" s="211"/>
      <c r="F45" s="210">
        <f>F44*$B$30/100</f>
        <v>12.86422</v>
      </c>
      <c r="G45" s="158"/>
    </row>
    <row r="46" spans="1:7" ht="19.5" customHeight="1" x14ac:dyDescent="0.3">
      <c r="A46" s="559" t="s">
        <v>92</v>
      </c>
      <c r="B46" s="560"/>
      <c r="C46" s="206" t="s">
        <v>93</v>
      </c>
      <c r="D46" s="207">
        <f>D45/$B$45</f>
        <v>4.7864079999999998E-3</v>
      </c>
      <c r="E46" s="211"/>
      <c r="F46" s="212">
        <f>F45/$B$45</f>
        <v>5.1456879999999998E-3</v>
      </c>
      <c r="G46" s="158"/>
    </row>
    <row r="47" spans="1:7" ht="27" customHeight="1" x14ac:dyDescent="0.4">
      <c r="A47" s="561"/>
      <c r="B47" s="562"/>
      <c r="C47" s="213" t="s">
        <v>94</v>
      </c>
      <c r="D47" s="214">
        <v>5.0000000000000001E-3</v>
      </c>
      <c r="E47" s="158"/>
      <c r="F47" s="215"/>
      <c r="G47" s="158"/>
    </row>
    <row r="48" spans="1:7" ht="18.75" customHeight="1" x14ac:dyDescent="0.3">
      <c r="A48" s="158"/>
      <c r="B48" s="158"/>
      <c r="C48" s="216" t="s">
        <v>95</v>
      </c>
      <c r="D48" s="210">
        <f>D47*$B$45</f>
        <v>12.5</v>
      </c>
      <c r="E48" s="158"/>
      <c r="F48" s="215"/>
      <c r="G48" s="158"/>
    </row>
    <row r="49" spans="1:7" ht="19.5" customHeight="1" x14ac:dyDescent="0.3">
      <c r="A49" s="158"/>
      <c r="B49" s="158"/>
      <c r="C49" s="217" t="s">
        <v>96</v>
      </c>
      <c r="D49" s="218">
        <f>D48/B34</f>
        <v>12.5</v>
      </c>
      <c r="E49" s="158"/>
      <c r="F49" s="215"/>
      <c r="G49" s="158"/>
    </row>
    <row r="50" spans="1:7" ht="18.75" customHeight="1" x14ac:dyDescent="0.3">
      <c r="A50" s="158"/>
      <c r="B50" s="158"/>
      <c r="C50" s="179" t="s">
        <v>97</v>
      </c>
      <c r="D50" s="219">
        <f>AVERAGE(E38:E41,G38:G41)</f>
        <v>568525.11381414859</v>
      </c>
      <c r="E50" s="158"/>
      <c r="F50" s="220"/>
      <c r="G50" s="158"/>
    </row>
    <row r="51" spans="1:7" ht="18.75" customHeight="1" x14ac:dyDescent="0.3">
      <c r="A51" s="158"/>
      <c r="B51" s="158"/>
      <c r="C51" s="181" t="s">
        <v>60</v>
      </c>
      <c r="D51" s="221">
        <f>STDEV(E38:E41,G38:G41)/D50</f>
        <v>7.550786253182255E-3</v>
      </c>
      <c r="E51" s="158"/>
      <c r="F51" s="220"/>
      <c r="G51" s="158"/>
    </row>
    <row r="52" spans="1:7" ht="19.5" customHeight="1" x14ac:dyDescent="0.3">
      <c r="A52" s="158"/>
      <c r="B52" s="158"/>
      <c r="C52" s="222" t="s">
        <v>20</v>
      </c>
      <c r="D52" s="223">
        <f>COUNT(E38:E41,G38:G41)</f>
        <v>6</v>
      </c>
      <c r="E52" s="158"/>
      <c r="F52" s="220"/>
      <c r="G52" s="158"/>
    </row>
    <row r="53" spans="1:7" ht="18.75" customHeight="1" x14ac:dyDescent="0.3">
      <c r="A53" s="158"/>
      <c r="B53" s="158"/>
      <c r="C53" s="158"/>
      <c r="D53" s="158"/>
      <c r="E53" s="158"/>
      <c r="F53" s="158"/>
      <c r="G53" s="158"/>
    </row>
    <row r="54" spans="1:7" ht="18.75" customHeight="1" x14ac:dyDescent="0.3">
      <c r="A54" s="159" t="s">
        <v>1</v>
      </c>
      <c r="B54" s="224" t="s">
        <v>98</v>
      </c>
      <c r="C54" s="158"/>
      <c r="D54" s="158"/>
      <c r="E54" s="158"/>
      <c r="F54" s="158"/>
      <c r="G54" s="158"/>
    </row>
    <row r="55" spans="1:7" ht="18.75" customHeight="1" x14ac:dyDescent="0.3">
      <c r="A55" s="158" t="s">
        <v>49</v>
      </c>
      <c r="B55" s="225" t="str">
        <f>B21</f>
        <v>Each uncoated tablet contains: Glibenclamide BP 5 mg and Metformin Hydrochloride BP 500 mg.</v>
      </c>
      <c r="C55" s="158"/>
      <c r="D55" s="158"/>
      <c r="E55" s="158"/>
      <c r="F55" s="158"/>
      <c r="G55" s="158"/>
    </row>
    <row r="56" spans="1:7" ht="26.25" customHeight="1" x14ac:dyDescent="0.4">
      <c r="A56" s="226" t="s">
        <v>61</v>
      </c>
      <c r="B56" s="227">
        <v>5</v>
      </c>
      <c r="C56" s="158" t="str">
        <f>B20</f>
        <v xml:space="preserve">Glibenclamide </v>
      </c>
      <c r="D56" s="158"/>
      <c r="E56" s="158"/>
      <c r="F56" s="158"/>
      <c r="G56" s="158"/>
    </row>
    <row r="57" spans="1:7" ht="17.25" customHeight="1" x14ac:dyDescent="0.3">
      <c r="A57" s="228" t="s">
        <v>62</v>
      </c>
      <c r="B57" s="228">
        <f>Uniformity!C46</f>
        <v>593.495</v>
      </c>
      <c r="C57" s="228"/>
      <c r="D57" s="229"/>
      <c r="E57" s="229"/>
      <c r="F57" s="229"/>
      <c r="G57" s="229"/>
    </row>
    <row r="58" spans="1:7" ht="57.75" customHeight="1" x14ac:dyDescent="0.4">
      <c r="A58" s="179" t="s">
        <v>99</v>
      </c>
      <c r="B58" s="180">
        <v>100</v>
      </c>
      <c r="C58" s="230" t="s">
        <v>100</v>
      </c>
      <c r="D58" s="231" t="s">
        <v>101</v>
      </c>
      <c r="E58" s="232" t="s">
        <v>102</v>
      </c>
      <c r="F58" s="233" t="s">
        <v>53</v>
      </c>
      <c r="G58" s="234" t="s">
        <v>103</v>
      </c>
    </row>
    <row r="59" spans="1:7" ht="26.25" customHeight="1" x14ac:dyDescent="0.4">
      <c r="A59" s="181" t="s">
        <v>76</v>
      </c>
      <c r="B59" s="182">
        <v>10</v>
      </c>
      <c r="C59" s="235">
        <v>1</v>
      </c>
      <c r="D59" s="338">
        <v>550133</v>
      </c>
      <c r="E59" s="236">
        <f t="shared" ref="E59:E68" si="0">IF(ISBLANK(D59),"-",D59/$D$50*$D$47*$B$67)</f>
        <v>4.8382471295704192</v>
      </c>
      <c r="F59" s="237">
        <f t="shared" ref="F59:F68" si="1">IF(ISBLANK(D59),"-",E59/$E$70*100)</f>
        <v>99.482688500791255</v>
      </c>
      <c r="G59" s="238">
        <f t="shared" ref="G59:G68" si="2">IF(ISBLANK(D59),"-",E59/$B$56*100)</f>
        <v>96.764942591408385</v>
      </c>
    </row>
    <row r="60" spans="1:7" ht="26.25" customHeight="1" x14ac:dyDescent="0.4">
      <c r="A60" s="181" t="s">
        <v>80</v>
      </c>
      <c r="B60" s="182">
        <v>100</v>
      </c>
      <c r="C60" s="239">
        <v>2</v>
      </c>
      <c r="D60" s="339">
        <v>554248</v>
      </c>
      <c r="E60" s="240">
        <f t="shared" si="0"/>
        <v>4.8744372634801865</v>
      </c>
      <c r="F60" s="241">
        <f t="shared" si="1"/>
        <v>100.22681994388</v>
      </c>
      <c r="G60" s="242">
        <f t="shared" si="2"/>
        <v>97.488745269603726</v>
      </c>
    </row>
    <row r="61" spans="1:7" ht="26.25" customHeight="1" x14ac:dyDescent="0.4">
      <c r="A61" s="181" t="s">
        <v>81</v>
      </c>
      <c r="B61" s="182">
        <v>1</v>
      </c>
      <c r="C61" s="239">
        <v>3</v>
      </c>
      <c r="D61" s="339">
        <v>559622</v>
      </c>
      <c r="E61" s="240">
        <f t="shared" si="0"/>
        <v>4.921699907375956</v>
      </c>
      <c r="F61" s="241">
        <f t="shared" si="1"/>
        <v>101.19862125011549</v>
      </c>
      <c r="G61" s="242">
        <f t="shared" si="2"/>
        <v>98.433998147519119</v>
      </c>
    </row>
    <row r="62" spans="1:7" ht="26.25" customHeight="1" x14ac:dyDescent="0.4">
      <c r="A62" s="181" t="s">
        <v>82</v>
      </c>
      <c r="B62" s="182">
        <v>1</v>
      </c>
      <c r="C62" s="239">
        <v>4</v>
      </c>
      <c r="D62" s="339">
        <v>551853</v>
      </c>
      <c r="E62" s="240">
        <f t="shared" si="0"/>
        <v>4.8533739899166646</v>
      </c>
      <c r="F62" s="241">
        <f t="shared" si="1"/>
        <v>99.793722785630294</v>
      </c>
      <c r="G62" s="242">
        <f t="shared" si="2"/>
        <v>97.067479798333295</v>
      </c>
    </row>
    <row r="63" spans="1:7" ht="26.25" customHeight="1" x14ac:dyDescent="0.4">
      <c r="A63" s="181" t="s">
        <v>83</v>
      </c>
      <c r="B63" s="182">
        <v>1</v>
      </c>
      <c r="C63" s="239">
        <v>5</v>
      </c>
      <c r="D63" s="339">
        <v>550664</v>
      </c>
      <c r="E63" s="240">
        <f t="shared" si="0"/>
        <v>4.8429171079680096</v>
      </c>
      <c r="F63" s="241">
        <f t="shared" si="1"/>
        <v>99.578711294540966</v>
      </c>
      <c r="G63" s="242">
        <f t="shared" si="2"/>
        <v>96.858342159360191</v>
      </c>
    </row>
    <row r="64" spans="1:7" ht="26.25" customHeight="1" x14ac:dyDescent="0.4">
      <c r="A64" s="181" t="s">
        <v>84</v>
      </c>
      <c r="B64" s="182">
        <v>1</v>
      </c>
      <c r="C64" s="239">
        <v>6</v>
      </c>
      <c r="D64" s="339">
        <v>555515</v>
      </c>
      <c r="E64" s="240">
        <f t="shared" si="0"/>
        <v>4.8855801309561713</v>
      </c>
      <c r="F64" s="241">
        <f t="shared" si="1"/>
        <v>100.45593647811901</v>
      </c>
      <c r="G64" s="242">
        <f t="shared" si="2"/>
        <v>97.711602619123425</v>
      </c>
    </row>
    <row r="65" spans="1:7" ht="26.25" customHeight="1" x14ac:dyDescent="0.4">
      <c r="A65" s="181" t="s">
        <v>86</v>
      </c>
      <c r="B65" s="182">
        <v>1</v>
      </c>
      <c r="C65" s="239">
        <v>7</v>
      </c>
      <c r="D65" s="339">
        <v>552447</v>
      </c>
      <c r="E65" s="240">
        <f t="shared" si="0"/>
        <v>4.8585980335478682</v>
      </c>
      <c r="F65" s="241">
        <f t="shared" si="1"/>
        <v>99.901138114231685</v>
      </c>
      <c r="G65" s="242">
        <f t="shared" si="2"/>
        <v>97.171960670957375</v>
      </c>
    </row>
    <row r="66" spans="1:7" ht="26.25" customHeight="1" x14ac:dyDescent="0.4">
      <c r="A66" s="181" t="s">
        <v>88</v>
      </c>
      <c r="B66" s="182">
        <v>1</v>
      </c>
      <c r="C66" s="239">
        <v>8</v>
      </c>
      <c r="D66" s="339">
        <v>553362</v>
      </c>
      <c r="E66" s="240">
        <f t="shared" si="0"/>
        <v>4.8666451714646204</v>
      </c>
      <c r="F66" s="241">
        <f t="shared" si="1"/>
        <v>100.0666011204106</v>
      </c>
      <c r="G66" s="242">
        <f t="shared" si="2"/>
        <v>97.332903429292401</v>
      </c>
    </row>
    <row r="67" spans="1:7" ht="27" customHeight="1" x14ac:dyDescent="0.4">
      <c r="A67" s="181" t="s">
        <v>90</v>
      </c>
      <c r="B67" s="209">
        <f>(B66/B65)*(B64/B63)*(B62/B61)*(B60/B59)*B58</f>
        <v>1000</v>
      </c>
      <c r="C67" s="239">
        <v>9</v>
      </c>
      <c r="D67" s="339">
        <v>552565</v>
      </c>
      <c r="E67" s="240">
        <f t="shared" si="0"/>
        <v>4.8596358065251097</v>
      </c>
      <c r="F67" s="241">
        <f t="shared" si="1"/>
        <v>99.922476512842735</v>
      </c>
      <c r="G67" s="242">
        <f t="shared" si="2"/>
        <v>97.192716130502205</v>
      </c>
    </row>
    <row r="68" spans="1:7" ht="27" customHeight="1" x14ac:dyDescent="0.4">
      <c r="A68" s="559" t="s">
        <v>92</v>
      </c>
      <c r="B68" s="564"/>
      <c r="C68" s="243">
        <v>10</v>
      </c>
      <c r="D68" s="340">
        <v>549528</v>
      </c>
      <c r="E68" s="244">
        <f t="shared" si="0"/>
        <v>4.8329263443904891</v>
      </c>
      <c r="F68" s="245">
        <f t="shared" si="1"/>
        <v>99.373283999437973</v>
      </c>
      <c r="G68" s="246">
        <f t="shared" si="2"/>
        <v>96.658526887809785</v>
      </c>
    </row>
    <row r="69" spans="1:7" ht="19.5" customHeight="1" x14ac:dyDescent="0.3">
      <c r="A69" s="561"/>
      <c r="B69" s="565"/>
      <c r="C69" s="239"/>
      <c r="D69" s="211"/>
      <c r="E69" s="247"/>
      <c r="F69" s="229"/>
      <c r="G69" s="248"/>
    </row>
    <row r="70" spans="1:7" ht="26.25" customHeight="1" x14ac:dyDescent="0.4">
      <c r="A70" s="229"/>
      <c r="B70" s="229"/>
      <c r="C70" s="249" t="s">
        <v>59</v>
      </c>
      <c r="D70" s="250"/>
      <c r="E70" s="251">
        <f>AVERAGE(E59:E68)</f>
        <v>4.8634060885195494</v>
      </c>
      <c r="F70" s="251">
        <f>AVERAGE(F59:F68)</f>
        <v>100</v>
      </c>
      <c r="G70" s="252">
        <f>AVERAGE(G59:G68)</f>
        <v>97.268121770390977</v>
      </c>
    </row>
    <row r="71" spans="1:7" ht="26.25" customHeight="1" x14ac:dyDescent="0.4">
      <c r="A71" s="229"/>
      <c r="B71" s="229"/>
      <c r="C71" s="249"/>
      <c r="D71" s="250"/>
      <c r="E71" s="253">
        <f>STDEV(E59:E68)/E70</f>
        <v>5.3713810846600608E-3</v>
      </c>
      <c r="F71" s="253">
        <f>STDEV(F59:F68)/F70</f>
        <v>5.3713810846600088E-3</v>
      </c>
      <c r="G71" s="254">
        <f>STDEV(G59:G68)/G70</f>
        <v>5.3713810846600478E-3</v>
      </c>
    </row>
    <row r="72" spans="1:7" ht="27" customHeight="1" x14ac:dyDescent="0.4">
      <c r="A72" s="229"/>
      <c r="B72" s="229"/>
      <c r="C72" s="255"/>
      <c r="D72" s="256"/>
      <c r="E72" s="257">
        <f>COUNT(E59:E68)</f>
        <v>10</v>
      </c>
      <c r="F72" s="257">
        <f>COUNT(F59:F68)</f>
        <v>10</v>
      </c>
      <c r="G72" s="258">
        <f>COUNT(G59:G68)</f>
        <v>10</v>
      </c>
    </row>
    <row r="73" spans="1:7" ht="18.75" customHeight="1" x14ac:dyDescent="0.3">
      <c r="A73" s="229"/>
      <c r="B73" s="259"/>
      <c r="C73" s="259"/>
      <c r="D73" s="208"/>
      <c r="E73" s="250"/>
      <c r="F73" s="205"/>
      <c r="G73" s="260"/>
    </row>
    <row r="74" spans="1:7" ht="18.75" customHeight="1" x14ac:dyDescent="0.3">
      <c r="A74" s="168" t="s">
        <v>104</v>
      </c>
      <c r="B74" s="261" t="s">
        <v>105</v>
      </c>
      <c r="C74" s="563" t="str">
        <f>B20</f>
        <v xml:space="preserve">Glibenclamide </v>
      </c>
      <c r="D74" s="563"/>
      <c r="E74" s="262" t="s">
        <v>106</v>
      </c>
      <c r="F74" s="262"/>
      <c r="G74" s="263">
        <f>G70</f>
        <v>97.268121770390977</v>
      </c>
    </row>
    <row r="75" spans="1:7" ht="18.75" customHeight="1" x14ac:dyDescent="0.3">
      <c r="A75" s="168"/>
      <c r="B75" s="261"/>
      <c r="C75" s="264"/>
      <c r="D75" s="264"/>
      <c r="E75" s="262"/>
      <c r="F75" s="262"/>
      <c r="G75" s="265"/>
    </row>
    <row r="76" spans="1:7" ht="18.75" customHeight="1" x14ac:dyDescent="0.3">
      <c r="A76" s="159" t="s">
        <v>1</v>
      </c>
      <c r="B76" s="266" t="s">
        <v>107</v>
      </c>
      <c r="C76" s="158"/>
      <c r="D76" s="158"/>
      <c r="E76" s="158"/>
      <c r="F76" s="158"/>
      <c r="G76" s="229"/>
    </row>
    <row r="77" spans="1:7" ht="18.75" customHeight="1" x14ac:dyDescent="0.3">
      <c r="A77" s="159"/>
      <c r="B77" s="224"/>
      <c r="C77" s="158"/>
      <c r="D77" s="158"/>
      <c r="E77" s="158"/>
      <c r="F77" s="158"/>
      <c r="G77" s="229"/>
    </row>
    <row r="78" spans="1:7" ht="18.75" customHeight="1" x14ac:dyDescent="0.3">
      <c r="A78" s="229"/>
      <c r="B78" s="566" t="s">
        <v>54</v>
      </c>
      <c r="C78" s="567"/>
      <c r="D78" s="158"/>
      <c r="E78" s="229"/>
      <c r="F78" s="229"/>
      <c r="G78" s="229"/>
    </row>
    <row r="79" spans="1:7" ht="18.75" customHeight="1" x14ac:dyDescent="0.3">
      <c r="A79" s="229"/>
      <c r="B79" s="267" t="s">
        <v>43</v>
      </c>
      <c r="C79" s="268">
        <f>G70</f>
        <v>97.268121770390977</v>
      </c>
      <c r="D79" s="158"/>
      <c r="E79" s="229"/>
      <c r="F79" s="229"/>
      <c r="G79" s="229"/>
    </row>
    <row r="80" spans="1:7" ht="26.25" customHeight="1" x14ac:dyDescent="0.4">
      <c r="A80" s="229"/>
      <c r="B80" s="267" t="s">
        <v>55</v>
      </c>
      <c r="C80" s="269">
        <v>2.4</v>
      </c>
      <c r="D80" s="158"/>
      <c r="E80" s="229"/>
      <c r="F80" s="229"/>
      <c r="G80" s="229"/>
    </row>
    <row r="81" spans="1:7" ht="18.75" customHeight="1" x14ac:dyDescent="0.3">
      <c r="A81" s="229"/>
      <c r="B81" s="267" t="s">
        <v>56</v>
      </c>
      <c r="C81" s="268">
        <f>STDEV(G59:G68)</f>
        <v>0.52246414941788832</v>
      </c>
      <c r="D81" s="158"/>
      <c r="E81" s="229"/>
      <c r="F81" s="229"/>
      <c r="G81" s="229"/>
    </row>
    <row r="82" spans="1:7" ht="18.75" customHeight="1" x14ac:dyDescent="0.3">
      <c r="A82" s="229"/>
      <c r="B82" s="267" t="s">
        <v>57</v>
      </c>
      <c r="C82" s="268">
        <f>IF(OR(G70&lt;98.5,G70&gt;101.5),(IF(98.5&gt;G70,98.5,101.5)),C79)</f>
        <v>98.5</v>
      </c>
      <c r="D82" s="158"/>
      <c r="E82" s="229"/>
      <c r="F82" s="229"/>
      <c r="G82" s="229"/>
    </row>
    <row r="83" spans="1:7" ht="18.75" customHeight="1" x14ac:dyDescent="0.3">
      <c r="A83" s="229"/>
      <c r="B83" s="267" t="s">
        <v>58</v>
      </c>
      <c r="C83" s="270">
        <f>ABS(C82-C79)+(C80*C81)</f>
        <v>2.4857921882119554</v>
      </c>
      <c r="D83" s="158"/>
      <c r="E83" s="229"/>
      <c r="F83" s="229"/>
      <c r="G83" s="229"/>
    </row>
    <row r="84" spans="1:7" ht="18.75" customHeight="1" x14ac:dyDescent="0.3">
      <c r="A84" s="226"/>
      <c r="B84" s="271"/>
      <c r="C84" s="158"/>
      <c r="D84" s="158"/>
      <c r="E84" s="158"/>
      <c r="F84" s="158"/>
      <c r="G84" s="158"/>
    </row>
    <row r="85" spans="1:7" ht="18.75" customHeight="1" x14ac:dyDescent="0.3">
      <c r="A85" s="167" t="s">
        <v>108</v>
      </c>
      <c r="B85" s="167" t="s">
        <v>109</v>
      </c>
      <c r="C85" s="158"/>
      <c r="D85" s="158"/>
      <c r="E85" s="158"/>
      <c r="F85" s="158"/>
      <c r="G85" s="158"/>
    </row>
    <row r="86" spans="1:7" ht="18.75" customHeight="1" x14ac:dyDescent="0.3">
      <c r="A86" s="167"/>
      <c r="B86" s="167"/>
      <c r="C86" s="158"/>
      <c r="D86" s="158"/>
      <c r="E86" s="158"/>
      <c r="F86" s="158"/>
      <c r="G86" s="158"/>
    </row>
    <row r="87" spans="1:7" ht="26.25" customHeight="1" x14ac:dyDescent="0.4">
      <c r="A87" s="168" t="s">
        <v>4</v>
      </c>
      <c r="B87" s="551"/>
      <c r="C87" s="551"/>
      <c r="D87" s="158"/>
      <c r="E87" s="158"/>
      <c r="F87" s="158"/>
      <c r="G87" s="158"/>
    </row>
    <row r="88" spans="1:7" ht="26.25" customHeight="1" x14ac:dyDescent="0.4">
      <c r="A88" s="169" t="s">
        <v>63</v>
      </c>
      <c r="B88" s="552"/>
      <c r="C88" s="552"/>
      <c r="D88" s="158"/>
      <c r="E88" s="158"/>
      <c r="F88" s="158"/>
      <c r="G88" s="158"/>
    </row>
    <row r="89" spans="1:7" ht="27" customHeight="1" x14ac:dyDescent="0.4">
      <c r="A89" s="169" t="s">
        <v>6</v>
      </c>
      <c r="B89" s="170">
        <f>B32</f>
        <v>1</v>
      </c>
      <c r="C89" s="158"/>
      <c r="D89" s="158"/>
      <c r="E89" s="158"/>
      <c r="F89" s="158"/>
      <c r="G89" s="158"/>
    </row>
    <row r="90" spans="1:7" ht="27" customHeight="1" x14ac:dyDescent="0.4">
      <c r="A90" s="169" t="s">
        <v>64</v>
      </c>
      <c r="B90" s="170">
        <f>B33</f>
        <v>0</v>
      </c>
      <c r="C90" s="568" t="s">
        <v>110</v>
      </c>
      <c r="D90" s="569"/>
      <c r="E90" s="569"/>
      <c r="F90" s="569"/>
      <c r="G90" s="570"/>
    </row>
    <row r="91" spans="1:7" ht="18.75" customHeight="1" x14ac:dyDescent="0.3">
      <c r="A91" s="169" t="s">
        <v>66</v>
      </c>
      <c r="B91" s="173">
        <f>B89-B90</f>
        <v>1</v>
      </c>
      <c r="C91" s="272"/>
      <c r="D91" s="272"/>
      <c r="E91" s="272"/>
      <c r="F91" s="272"/>
      <c r="G91" s="273"/>
    </row>
    <row r="92" spans="1:7" ht="19.5" customHeight="1" x14ac:dyDescent="0.3">
      <c r="A92" s="169"/>
      <c r="B92" s="173"/>
      <c r="C92" s="272"/>
      <c r="D92" s="272"/>
      <c r="E92" s="272"/>
      <c r="F92" s="272"/>
      <c r="G92" s="273"/>
    </row>
    <row r="93" spans="1:7" ht="27" customHeight="1" x14ac:dyDescent="0.4">
      <c r="A93" s="169" t="s">
        <v>67</v>
      </c>
      <c r="B93" s="175">
        <v>1</v>
      </c>
      <c r="C93" s="555" t="s">
        <v>111</v>
      </c>
      <c r="D93" s="556"/>
      <c r="E93" s="556"/>
      <c r="F93" s="556"/>
      <c r="G93" s="556"/>
    </row>
    <row r="94" spans="1:7" ht="27" customHeight="1" x14ac:dyDescent="0.4">
      <c r="A94" s="169" t="s">
        <v>69</v>
      </c>
      <c r="B94" s="175">
        <v>1</v>
      </c>
      <c r="C94" s="555" t="s">
        <v>112</v>
      </c>
      <c r="D94" s="556"/>
      <c r="E94" s="556"/>
      <c r="F94" s="556"/>
      <c r="G94" s="556"/>
    </row>
    <row r="95" spans="1:7" ht="18.75" customHeight="1" x14ac:dyDescent="0.3">
      <c r="A95" s="169"/>
      <c r="B95" s="176"/>
      <c r="C95" s="177"/>
      <c r="D95" s="177"/>
      <c r="E95" s="177"/>
      <c r="F95" s="177"/>
      <c r="G95" s="177"/>
    </row>
    <row r="96" spans="1:7" ht="18.75" customHeight="1" x14ac:dyDescent="0.3">
      <c r="A96" s="169" t="s">
        <v>71</v>
      </c>
      <c r="B96" s="178">
        <f>B93/B94</f>
        <v>1</v>
      </c>
      <c r="C96" s="158" t="s">
        <v>72</v>
      </c>
      <c r="D96" s="158"/>
      <c r="E96" s="158"/>
      <c r="F96" s="158"/>
      <c r="G96" s="158"/>
    </row>
    <row r="97" spans="1:7" ht="19.5" customHeight="1" x14ac:dyDescent="0.3">
      <c r="A97" s="167"/>
      <c r="B97" s="167"/>
      <c r="C97" s="158"/>
      <c r="D97" s="158"/>
      <c r="E97" s="158"/>
      <c r="F97" s="158"/>
      <c r="G97" s="158"/>
    </row>
    <row r="98" spans="1:7" ht="27" customHeight="1" x14ac:dyDescent="0.4">
      <c r="A98" s="179" t="s">
        <v>73</v>
      </c>
      <c r="B98" s="274">
        <v>1</v>
      </c>
      <c r="C98" s="158"/>
      <c r="D98" s="275" t="s">
        <v>74</v>
      </c>
      <c r="E98" s="276"/>
      <c r="F98" s="547" t="s">
        <v>75</v>
      </c>
      <c r="G98" s="548"/>
    </row>
    <row r="99" spans="1:7" ht="26.25" customHeight="1" x14ac:dyDescent="0.4">
      <c r="A99" s="181" t="s">
        <v>76</v>
      </c>
      <c r="B99" s="277">
        <v>1</v>
      </c>
      <c r="C99" s="183" t="s">
        <v>77</v>
      </c>
      <c r="D99" s="184" t="s">
        <v>78</v>
      </c>
      <c r="E99" s="185" t="s">
        <v>79</v>
      </c>
      <c r="F99" s="184" t="s">
        <v>78</v>
      </c>
      <c r="G99" s="186" t="s">
        <v>79</v>
      </c>
    </row>
    <row r="100" spans="1:7" ht="26.25" customHeight="1" x14ac:dyDescent="0.4">
      <c r="A100" s="181" t="s">
        <v>80</v>
      </c>
      <c r="B100" s="277">
        <v>1</v>
      </c>
      <c r="C100" s="187">
        <v>1</v>
      </c>
      <c r="D100" s="188"/>
      <c r="E100" s="278" t="str">
        <f>IF(ISBLANK(D100),"-",$D$110/$D$107*D100)</f>
        <v>-</v>
      </c>
      <c r="F100" s="279"/>
      <c r="G100" s="190" t="str">
        <f>IF(ISBLANK(F100),"-",$D$110/$F$107*F100)</f>
        <v>-</v>
      </c>
    </row>
    <row r="101" spans="1:7" ht="26.25" customHeight="1" x14ac:dyDescent="0.4">
      <c r="A101" s="181" t="s">
        <v>81</v>
      </c>
      <c r="B101" s="277">
        <v>1</v>
      </c>
      <c r="C101" s="191">
        <v>2</v>
      </c>
      <c r="D101" s="192"/>
      <c r="E101" s="280" t="str">
        <f>IF(ISBLANK(D101),"-",$D$110/$D$107*D101)</f>
        <v>-</v>
      </c>
      <c r="F101" s="170"/>
      <c r="G101" s="194" t="str">
        <f>IF(ISBLANK(F101),"-",$D$110/$F$107*F101)</f>
        <v>-</v>
      </c>
    </row>
    <row r="102" spans="1:7" ht="26.25" customHeight="1" x14ac:dyDescent="0.4">
      <c r="A102" s="181" t="s">
        <v>82</v>
      </c>
      <c r="B102" s="277">
        <v>1</v>
      </c>
      <c r="C102" s="191">
        <v>3</v>
      </c>
      <c r="D102" s="192"/>
      <c r="E102" s="280" t="str">
        <f>IF(ISBLANK(D102),"-",$D$110/$D$107*D102)</f>
        <v>-</v>
      </c>
      <c r="F102" s="281"/>
      <c r="G102" s="194" t="str">
        <f>IF(ISBLANK(F102),"-",$D$110/$F$107*F102)</f>
        <v>-</v>
      </c>
    </row>
    <row r="103" spans="1:7" ht="26.25" customHeight="1" x14ac:dyDescent="0.4">
      <c r="A103" s="181" t="s">
        <v>83</v>
      </c>
      <c r="B103" s="277">
        <v>1</v>
      </c>
      <c r="C103" s="195">
        <v>4</v>
      </c>
      <c r="D103" s="196"/>
      <c r="E103" s="282" t="str">
        <f>IF(ISBLANK(D103),"-",$D$110/$D$107*D103)</f>
        <v>-</v>
      </c>
      <c r="F103" s="283"/>
      <c r="G103" s="198" t="str">
        <f>IF(ISBLANK(F103),"-",$D$110/$F$107*F103)</f>
        <v>-</v>
      </c>
    </row>
    <row r="104" spans="1:7" ht="27" customHeight="1" x14ac:dyDescent="0.4">
      <c r="A104" s="181" t="s">
        <v>84</v>
      </c>
      <c r="B104" s="277">
        <v>1</v>
      </c>
      <c r="C104" s="199" t="s">
        <v>85</v>
      </c>
      <c r="D104" s="284" t="e">
        <f>AVERAGE(D100:D103)</f>
        <v>#DIV/0!</v>
      </c>
      <c r="E104" s="201" t="e">
        <f>AVERAGE(E100:E103)</f>
        <v>#DIV/0!</v>
      </c>
      <c r="F104" s="284" t="e">
        <f>AVERAGE(F100:F103)</f>
        <v>#DIV/0!</v>
      </c>
      <c r="G104" s="285" t="e">
        <f>AVERAGE(G100:G103)</f>
        <v>#DIV/0!</v>
      </c>
    </row>
    <row r="105" spans="1:7" ht="26.25" customHeight="1" x14ac:dyDescent="0.4">
      <c r="A105" s="181" t="s">
        <v>86</v>
      </c>
      <c r="B105" s="277">
        <v>1</v>
      </c>
      <c r="C105" s="203" t="s">
        <v>87</v>
      </c>
      <c r="D105" s="286"/>
      <c r="E105" s="205"/>
      <c r="F105" s="204"/>
      <c r="G105" s="158"/>
    </row>
    <row r="106" spans="1:7" ht="26.25" customHeight="1" x14ac:dyDescent="0.4">
      <c r="A106" s="181" t="s">
        <v>88</v>
      </c>
      <c r="B106" s="277">
        <v>1</v>
      </c>
      <c r="C106" s="206" t="s">
        <v>89</v>
      </c>
      <c r="D106" s="287">
        <f>D105*$B$96</f>
        <v>0</v>
      </c>
      <c r="E106" s="208"/>
      <c r="F106" s="207">
        <f>F105*$B$96</f>
        <v>0</v>
      </c>
      <c r="G106" s="158"/>
    </row>
    <row r="107" spans="1:7" ht="19.5" customHeight="1" x14ac:dyDescent="0.3">
      <c r="A107" s="181" t="s">
        <v>90</v>
      </c>
      <c r="B107" s="319">
        <f>(B106/B105)*(B104/B103)*(B102/B101)*(B100/B99)*B98</f>
        <v>1</v>
      </c>
      <c r="C107" s="206" t="s">
        <v>91</v>
      </c>
      <c r="D107" s="288">
        <f>D106*$B$91/100</f>
        <v>0</v>
      </c>
      <c r="E107" s="211"/>
      <c r="F107" s="210">
        <f>F106*$B$91/100</f>
        <v>0</v>
      </c>
      <c r="G107" s="158"/>
    </row>
    <row r="108" spans="1:7" ht="19.5" customHeight="1" x14ac:dyDescent="0.3">
      <c r="A108" s="559" t="s">
        <v>92</v>
      </c>
      <c r="B108" s="560"/>
      <c r="C108" s="206" t="s">
        <v>93</v>
      </c>
      <c r="D108" s="287">
        <f>D107/$B$107</f>
        <v>0</v>
      </c>
      <c r="E108" s="211"/>
      <c r="F108" s="212">
        <f>F107/$B$107</f>
        <v>0</v>
      </c>
      <c r="G108" s="289"/>
    </row>
    <row r="109" spans="1:7" ht="19.5" customHeight="1" x14ac:dyDescent="0.3">
      <c r="A109" s="561"/>
      <c r="B109" s="562"/>
      <c r="C109" s="337" t="s">
        <v>94</v>
      </c>
      <c r="D109" s="291">
        <f>$B$56/$B$125</f>
        <v>5</v>
      </c>
      <c r="E109" s="158"/>
      <c r="F109" s="215"/>
      <c r="G109" s="292"/>
    </row>
    <row r="110" spans="1:7" ht="18.75" customHeight="1" x14ac:dyDescent="0.3">
      <c r="A110" s="158"/>
      <c r="B110" s="158"/>
      <c r="C110" s="290" t="s">
        <v>95</v>
      </c>
      <c r="D110" s="287">
        <f>D109*$B$107</f>
        <v>5</v>
      </c>
      <c r="E110" s="158"/>
      <c r="F110" s="215"/>
      <c r="G110" s="289"/>
    </row>
    <row r="111" spans="1:7" ht="19.5" customHeight="1" x14ac:dyDescent="0.3">
      <c r="A111" s="158"/>
      <c r="B111" s="158"/>
      <c r="C111" s="293" t="s">
        <v>96</v>
      </c>
      <c r="D111" s="294">
        <f>D110/B96</f>
        <v>5</v>
      </c>
      <c r="E111" s="158"/>
      <c r="F111" s="220"/>
      <c r="G111" s="289"/>
    </row>
    <row r="112" spans="1:7" ht="18.75" customHeight="1" x14ac:dyDescent="0.3">
      <c r="A112" s="158"/>
      <c r="B112" s="158"/>
      <c r="C112" s="295" t="s">
        <v>97</v>
      </c>
      <c r="D112" s="296" t="e">
        <f>AVERAGE(E100:E103,G100:G103)</f>
        <v>#DIV/0!</v>
      </c>
      <c r="E112" s="158"/>
      <c r="F112" s="220"/>
      <c r="G112" s="297"/>
    </row>
    <row r="113" spans="1:7" ht="18.75" customHeight="1" x14ac:dyDescent="0.3">
      <c r="A113" s="158"/>
      <c r="B113" s="158"/>
      <c r="C113" s="298" t="s">
        <v>60</v>
      </c>
      <c r="D113" s="299" t="e">
        <f>STDEV(E100:E103,G100:G103)/D112</f>
        <v>#DIV/0!</v>
      </c>
      <c r="E113" s="158"/>
      <c r="F113" s="220"/>
      <c r="G113" s="289"/>
    </row>
    <row r="114" spans="1:7" ht="19.5" customHeight="1" x14ac:dyDescent="0.3">
      <c r="A114" s="158"/>
      <c r="B114" s="158"/>
      <c r="C114" s="300" t="s">
        <v>20</v>
      </c>
      <c r="D114" s="301">
        <f>COUNT(E100:E103,G100:G103)</f>
        <v>0</v>
      </c>
      <c r="E114" s="158"/>
      <c r="F114" s="220"/>
      <c r="G114" s="289"/>
    </row>
    <row r="115" spans="1:7" ht="19.5" customHeight="1" x14ac:dyDescent="0.3">
      <c r="A115" s="159"/>
      <c r="B115" s="159"/>
      <c r="C115" s="159"/>
      <c r="D115" s="159"/>
      <c r="E115" s="159"/>
      <c r="F115" s="158"/>
      <c r="G115" s="158"/>
    </row>
    <row r="116" spans="1:7" ht="26.25" customHeight="1" x14ac:dyDescent="0.4">
      <c r="A116" s="179" t="s">
        <v>113</v>
      </c>
      <c r="B116" s="274">
        <v>1</v>
      </c>
      <c r="C116" s="302" t="s">
        <v>114</v>
      </c>
      <c r="D116" s="303" t="s">
        <v>78</v>
      </c>
      <c r="E116" s="304" t="s">
        <v>115</v>
      </c>
      <c r="F116" s="305" t="s">
        <v>116</v>
      </c>
      <c r="G116" s="158"/>
    </row>
    <row r="117" spans="1:7" ht="26.25" customHeight="1" x14ac:dyDescent="0.4">
      <c r="A117" s="181" t="s">
        <v>117</v>
      </c>
      <c r="B117" s="277">
        <v>1</v>
      </c>
      <c r="C117" s="239">
        <v>1</v>
      </c>
      <c r="D117" s="306"/>
      <c r="E117" s="307" t="str">
        <f t="shared" ref="E117:E122" si="3">IF(ISBLANK(D117),"-",D117/$D$112*$D$109*$B$125)</f>
        <v>-</v>
      </c>
      <c r="F117" s="308" t="str">
        <f t="shared" ref="F117:F122" si="4">IF(ISBLANK(D117), "-", E117/$B$56)</f>
        <v>-</v>
      </c>
      <c r="G117" s="158"/>
    </row>
    <row r="118" spans="1:7" ht="26.25" customHeight="1" x14ac:dyDescent="0.4">
      <c r="A118" s="181" t="s">
        <v>118</v>
      </c>
      <c r="B118" s="277">
        <v>1</v>
      </c>
      <c r="C118" s="239">
        <v>2</v>
      </c>
      <c r="D118" s="306"/>
      <c r="E118" s="309" t="str">
        <f t="shared" si="3"/>
        <v>-</v>
      </c>
      <c r="F118" s="310" t="str">
        <f t="shared" si="4"/>
        <v>-</v>
      </c>
      <c r="G118" s="158"/>
    </row>
    <row r="119" spans="1:7" ht="26.25" customHeight="1" x14ac:dyDescent="0.4">
      <c r="A119" s="181" t="s">
        <v>119</v>
      </c>
      <c r="B119" s="277">
        <v>1</v>
      </c>
      <c r="C119" s="239">
        <v>3</v>
      </c>
      <c r="D119" s="306"/>
      <c r="E119" s="309" t="str">
        <f t="shared" si="3"/>
        <v>-</v>
      </c>
      <c r="F119" s="310" t="str">
        <f t="shared" si="4"/>
        <v>-</v>
      </c>
      <c r="G119" s="158"/>
    </row>
    <row r="120" spans="1:7" ht="26.25" customHeight="1" x14ac:dyDescent="0.4">
      <c r="A120" s="181" t="s">
        <v>120</v>
      </c>
      <c r="B120" s="277">
        <v>1</v>
      </c>
      <c r="C120" s="239">
        <v>4</v>
      </c>
      <c r="D120" s="306"/>
      <c r="E120" s="309" t="str">
        <f t="shared" si="3"/>
        <v>-</v>
      </c>
      <c r="F120" s="310" t="str">
        <f t="shared" si="4"/>
        <v>-</v>
      </c>
      <c r="G120" s="158"/>
    </row>
    <row r="121" spans="1:7" ht="26.25" customHeight="1" x14ac:dyDescent="0.4">
      <c r="A121" s="181" t="s">
        <v>121</v>
      </c>
      <c r="B121" s="277">
        <v>1</v>
      </c>
      <c r="C121" s="239">
        <v>5</v>
      </c>
      <c r="D121" s="306"/>
      <c r="E121" s="309" t="str">
        <f t="shared" si="3"/>
        <v>-</v>
      </c>
      <c r="F121" s="310" t="str">
        <f t="shared" si="4"/>
        <v>-</v>
      </c>
      <c r="G121" s="158"/>
    </row>
    <row r="122" spans="1:7" ht="26.25" customHeight="1" x14ac:dyDescent="0.4">
      <c r="A122" s="181" t="s">
        <v>122</v>
      </c>
      <c r="B122" s="277">
        <v>1</v>
      </c>
      <c r="C122" s="311">
        <v>6</v>
      </c>
      <c r="D122" s="312"/>
      <c r="E122" s="313" t="str">
        <f t="shared" si="3"/>
        <v>-</v>
      </c>
      <c r="F122" s="314" t="str">
        <f t="shared" si="4"/>
        <v>-</v>
      </c>
      <c r="G122" s="158"/>
    </row>
    <row r="123" spans="1:7" ht="26.25" customHeight="1" x14ac:dyDescent="0.4">
      <c r="A123" s="181" t="s">
        <v>123</v>
      </c>
      <c r="B123" s="277">
        <v>1</v>
      </c>
      <c r="C123" s="239"/>
      <c r="D123" s="315"/>
      <c r="E123" s="259"/>
      <c r="F123" s="242"/>
      <c r="G123" s="158"/>
    </row>
    <row r="124" spans="1:7" ht="26.25" customHeight="1" x14ac:dyDescent="0.4">
      <c r="A124" s="181" t="s">
        <v>124</v>
      </c>
      <c r="B124" s="277">
        <v>1</v>
      </c>
      <c r="C124" s="239"/>
      <c r="D124" s="316"/>
      <c r="E124" s="317" t="s">
        <v>85</v>
      </c>
      <c r="F124" s="318" t="e">
        <f>AVERAGE(F117:F122)</f>
        <v>#DIV/0!</v>
      </c>
      <c r="G124" s="158"/>
    </row>
    <row r="125" spans="1:7" ht="27" customHeight="1" x14ac:dyDescent="0.4">
      <c r="A125" s="181" t="s">
        <v>125</v>
      </c>
      <c r="B125" s="319">
        <f>(B124/B123)*(B122/B121)*(B120/B119)*(B118/B117)*B116</f>
        <v>1</v>
      </c>
      <c r="C125" s="320"/>
      <c r="D125" s="321"/>
      <c r="E125" s="217" t="s">
        <v>60</v>
      </c>
      <c r="F125" s="254" t="e">
        <f>STDEV(F117:F122)/F124</f>
        <v>#DIV/0!</v>
      </c>
      <c r="G125" s="158"/>
    </row>
    <row r="126" spans="1:7" ht="27" customHeight="1" x14ac:dyDescent="0.4">
      <c r="A126" s="559" t="s">
        <v>92</v>
      </c>
      <c r="B126" s="560"/>
      <c r="C126" s="322"/>
      <c r="D126" s="323"/>
      <c r="E126" s="324" t="s">
        <v>20</v>
      </c>
      <c r="F126" s="325">
        <f>COUNT(F117:F122)</f>
        <v>0</v>
      </c>
      <c r="G126" s="158"/>
    </row>
    <row r="127" spans="1:7" ht="19.5" customHeight="1" x14ac:dyDescent="0.3">
      <c r="A127" s="561"/>
      <c r="B127" s="562"/>
      <c r="C127" s="259"/>
      <c r="D127" s="259"/>
      <c r="E127" s="259"/>
      <c r="F127" s="315"/>
      <c r="G127" s="259"/>
    </row>
    <row r="128" spans="1:7" ht="18.75" customHeight="1" x14ac:dyDescent="0.3">
      <c r="A128" s="177"/>
      <c r="B128" s="177"/>
      <c r="C128" s="259"/>
      <c r="D128" s="259"/>
      <c r="E128" s="259"/>
      <c r="F128" s="315"/>
      <c r="G128" s="259"/>
    </row>
    <row r="129" spans="1:7" ht="18.75" customHeight="1" x14ac:dyDescent="0.3">
      <c r="A129" s="168" t="s">
        <v>104</v>
      </c>
      <c r="B129" s="261" t="s">
        <v>126</v>
      </c>
      <c r="C129" s="563" t="str">
        <f>B20</f>
        <v xml:space="preserve">Glibenclamide </v>
      </c>
      <c r="D129" s="563"/>
      <c r="E129" s="262" t="s">
        <v>127</v>
      </c>
      <c r="F129" s="262"/>
      <c r="G129" s="265" t="e">
        <f>F124</f>
        <v>#DIV/0!</v>
      </c>
    </row>
    <row r="130" spans="1:7" ht="19.5" customHeight="1" x14ac:dyDescent="0.3">
      <c r="A130" s="326"/>
      <c r="B130" s="326"/>
      <c r="C130" s="327"/>
      <c r="D130" s="327"/>
      <c r="E130" s="327"/>
      <c r="F130" s="327"/>
      <c r="G130" s="327"/>
    </row>
    <row r="131" spans="1:7" ht="18.75" customHeight="1" x14ac:dyDescent="0.3">
      <c r="A131" s="158"/>
      <c r="B131" s="546" t="s">
        <v>26</v>
      </c>
      <c r="C131" s="546"/>
      <c r="D131" s="158"/>
      <c r="E131" s="328" t="s">
        <v>27</v>
      </c>
      <c r="F131" s="329"/>
      <c r="G131" s="336" t="s">
        <v>28</v>
      </c>
    </row>
    <row r="132" spans="1:7" ht="60" customHeight="1" x14ac:dyDescent="0.3">
      <c r="A132" s="330" t="s">
        <v>29</v>
      </c>
      <c r="B132" s="331"/>
      <c r="C132" s="331"/>
      <c r="D132" s="158"/>
      <c r="E132" s="331"/>
      <c r="F132" s="259"/>
      <c r="G132" s="332"/>
    </row>
    <row r="133" spans="1:7" ht="60" customHeight="1" x14ac:dyDescent="0.3">
      <c r="A133" s="330" t="s">
        <v>30</v>
      </c>
      <c r="B133" s="333"/>
      <c r="C133" s="333"/>
      <c r="D133" s="158"/>
      <c r="E133" s="333"/>
      <c r="F133" s="259"/>
      <c r="G133" s="33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0" priority="1" operator="greaterThan">
      <formula>0.02</formula>
    </cfRule>
  </conditionalFormatting>
  <conditionalFormatting sqref="C83">
    <cfRule type="cellIs" dxfId="19" priority="2" operator="greaterThan">
      <formula>15</formula>
    </cfRule>
  </conditionalFormatting>
  <conditionalFormatting sqref="D113">
    <cfRule type="cellIs" dxfId="18" priority="3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D24" sqref="D24:D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4" t="s">
        <v>45</v>
      </c>
      <c r="B1" s="544"/>
      <c r="C1" s="544"/>
      <c r="D1" s="544"/>
      <c r="E1" s="544"/>
      <c r="F1" s="544"/>
      <c r="G1" s="544"/>
      <c r="H1" s="544"/>
      <c r="I1" s="544"/>
    </row>
    <row r="2" spans="1:9" ht="18.75" customHeight="1" x14ac:dyDescent="0.25">
      <c r="A2" s="544"/>
      <c r="B2" s="544"/>
      <c r="C2" s="544"/>
      <c r="D2" s="544"/>
      <c r="E2" s="544"/>
      <c r="F2" s="544"/>
      <c r="G2" s="544"/>
      <c r="H2" s="544"/>
      <c r="I2" s="544"/>
    </row>
    <row r="3" spans="1:9" ht="18.75" customHeight="1" x14ac:dyDescent="0.25">
      <c r="A3" s="544"/>
      <c r="B3" s="544"/>
      <c r="C3" s="544"/>
      <c r="D3" s="544"/>
      <c r="E3" s="544"/>
      <c r="F3" s="544"/>
      <c r="G3" s="544"/>
      <c r="H3" s="544"/>
      <c r="I3" s="544"/>
    </row>
    <row r="4" spans="1:9" ht="18.75" customHeight="1" x14ac:dyDescent="0.25">
      <c r="A4" s="544"/>
      <c r="B4" s="544"/>
      <c r="C4" s="544"/>
      <c r="D4" s="544"/>
      <c r="E4" s="544"/>
      <c r="F4" s="544"/>
      <c r="G4" s="544"/>
      <c r="H4" s="544"/>
      <c r="I4" s="544"/>
    </row>
    <row r="5" spans="1:9" ht="18.75" customHeight="1" x14ac:dyDescent="0.25">
      <c r="A5" s="544"/>
      <c r="B5" s="544"/>
      <c r="C5" s="544"/>
      <c r="D5" s="544"/>
      <c r="E5" s="544"/>
      <c r="F5" s="544"/>
      <c r="G5" s="544"/>
      <c r="H5" s="544"/>
      <c r="I5" s="544"/>
    </row>
    <row r="6" spans="1:9" ht="18.75" customHeight="1" x14ac:dyDescent="0.25">
      <c r="A6" s="544"/>
      <c r="B6" s="544"/>
      <c r="C6" s="544"/>
      <c r="D6" s="544"/>
      <c r="E6" s="544"/>
      <c r="F6" s="544"/>
      <c r="G6" s="544"/>
      <c r="H6" s="544"/>
      <c r="I6" s="544"/>
    </row>
    <row r="7" spans="1:9" ht="18.75" customHeight="1" x14ac:dyDescent="0.25">
      <c r="A7" s="544"/>
      <c r="B7" s="544"/>
      <c r="C7" s="544"/>
      <c r="D7" s="544"/>
      <c r="E7" s="544"/>
      <c r="F7" s="544"/>
      <c r="G7" s="544"/>
      <c r="H7" s="544"/>
      <c r="I7" s="544"/>
    </row>
    <row r="8" spans="1:9" x14ac:dyDescent="0.25">
      <c r="A8" s="545" t="s">
        <v>46</v>
      </c>
      <c r="B8" s="545"/>
      <c r="C8" s="545"/>
      <c r="D8" s="545"/>
      <c r="E8" s="545"/>
      <c r="F8" s="545"/>
      <c r="G8" s="545"/>
      <c r="H8" s="545"/>
      <c r="I8" s="545"/>
    </row>
    <row r="9" spans="1:9" x14ac:dyDescent="0.25">
      <c r="A9" s="545"/>
      <c r="B9" s="545"/>
      <c r="C9" s="545"/>
      <c r="D9" s="545"/>
      <c r="E9" s="545"/>
      <c r="F9" s="545"/>
      <c r="G9" s="545"/>
      <c r="H9" s="545"/>
      <c r="I9" s="545"/>
    </row>
    <row r="10" spans="1:9" x14ac:dyDescent="0.25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9" x14ac:dyDescent="0.25">
      <c r="A11" s="545"/>
      <c r="B11" s="545"/>
      <c r="C11" s="545"/>
      <c r="D11" s="545"/>
      <c r="E11" s="545"/>
      <c r="F11" s="545"/>
      <c r="G11" s="545"/>
      <c r="H11" s="545"/>
      <c r="I11" s="545"/>
    </row>
    <row r="12" spans="1:9" x14ac:dyDescent="0.25">
      <c r="A12" s="545"/>
      <c r="B12" s="545"/>
      <c r="C12" s="545"/>
      <c r="D12" s="545"/>
      <c r="E12" s="545"/>
      <c r="F12" s="545"/>
      <c r="G12" s="545"/>
      <c r="H12" s="545"/>
      <c r="I12" s="545"/>
    </row>
    <row r="13" spans="1:9" x14ac:dyDescent="0.25">
      <c r="A13" s="545"/>
      <c r="B13" s="545"/>
      <c r="C13" s="545"/>
      <c r="D13" s="545"/>
      <c r="E13" s="545"/>
      <c r="F13" s="545"/>
      <c r="G13" s="545"/>
      <c r="H13" s="545"/>
      <c r="I13" s="545"/>
    </row>
    <row r="14" spans="1:9" x14ac:dyDescent="0.25">
      <c r="A14" s="545"/>
      <c r="B14" s="545"/>
      <c r="C14" s="545"/>
      <c r="D14" s="545"/>
      <c r="E14" s="545"/>
      <c r="F14" s="545"/>
      <c r="G14" s="545"/>
      <c r="H14" s="545"/>
      <c r="I14" s="545"/>
    </row>
    <row r="15" spans="1:9" ht="19.5" customHeight="1" x14ac:dyDescent="0.3">
      <c r="A15" s="341"/>
    </row>
    <row r="16" spans="1:9" ht="19.5" customHeight="1" x14ac:dyDescent="0.3">
      <c r="A16" s="549" t="s">
        <v>31</v>
      </c>
      <c r="B16" s="550"/>
      <c r="C16" s="550"/>
      <c r="D16" s="550"/>
      <c r="E16" s="550"/>
      <c r="F16" s="550"/>
      <c r="G16" s="550"/>
      <c r="H16" s="586"/>
    </row>
    <row r="17" spans="1:14" ht="20.25" customHeight="1" x14ac:dyDescent="0.25">
      <c r="A17" s="587" t="s">
        <v>47</v>
      </c>
      <c r="B17" s="587"/>
      <c r="C17" s="587"/>
      <c r="D17" s="587"/>
      <c r="E17" s="587"/>
      <c r="F17" s="587"/>
      <c r="G17" s="587"/>
      <c r="H17" s="587"/>
    </row>
    <row r="18" spans="1:14" ht="26.25" customHeight="1" x14ac:dyDescent="0.4">
      <c r="A18" s="343" t="s">
        <v>33</v>
      </c>
      <c r="B18" s="585" t="s">
        <v>5</v>
      </c>
      <c r="C18" s="585"/>
      <c r="D18" s="489"/>
      <c r="E18" s="344"/>
      <c r="F18" s="345"/>
      <c r="G18" s="345"/>
      <c r="H18" s="345"/>
    </row>
    <row r="19" spans="1:14" ht="26.25" customHeight="1" x14ac:dyDescent="0.4">
      <c r="A19" s="343" t="s">
        <v>34</v>
      </c>
      <c r="B19" s="346" t="s">
        <v>7</v>
      </c>
      <c r="C19" s="498">
        <v>1</v>
      </c>
      <c r="D19" s="345"/>
      <c r="E19" s="345"/>
      <c r="F19" s="345"/>
      <c r="G19" s="345"/>
      <c r="H19" s="345"/>
    </row>
    <row r="20" spans="1:14" ht="26.25" customHeight="1" x14ac:dyDescent="0.4">
      <c r="A20" s="343" t="s">
        <v>35</v>
      </c>
      <c r="B20" s="588" t="s">
        <v>160</v>
      </c>
      <c r="C20" s="588"/>
      <c r="D20" s="345"/>
      <c r="E20" s="345"/>
      <c r="F20" s="345"/>
      <c r="G20" s="345"/>
      <c r="H20" s="345"/>
    </row>
    <row r="21" spans="1:14" ht="26.25" customHeight="1" x14ac:dyDescent="0.4">
      <c r="A21" s="343" t="s">
        <v>36</v>
      </c>
      <c r="B21" s="588" t="s">
        <v>11</v>
      </c>
      <c r="C21" s="588"/>
      <c r="D21" s="588"/>
      <c r="E21" s="588"/>
      <c r="F21" s="588"/>
      <c r="G21" s="588"/>
      <c r="H21" s="588"/>
      <c r="I21" s="347"/>
    </row>
    <row r="22" spans="1:14" ht="26.25" customHeight="1" x14ac:dyDescent="0.4">
      <c r="A22" s="343" t="s">
        <v>37</v>
      </c>
      <c r="B22" s="348">
        <v>42761</v>
      </c>
      <c r="C22" s="345"/>
      <c r="D22" s="345"/>
      <c r="E22" s="345"/>
      <c r="F22" s="345"/>
      <c r="G22" s="345"/>
      <c r="H22" s="345"/>
    </row>
    <row r="23" spans="1:14" ht="26.25" customHeight="1" x14ac:dyDescent="0.4">
      <c r="A23" s="343" t="s">
        <v>38</v>
      </c>
      <c r="B23" s="348">
        <v>42762</v>
      </c>
      <c r="C23" s="345"/>
      <c r="D23" s="345"/>
      <c r="E23" s="345"/>
      <c r="F23" s="345"/>
      <c r="G23" s="345"/>
      <c r="H23" s="345"/>
    </row>
    <row r="24" spans="1:14" ht="18.75" x14ac:dyDescent="0.3">
      <c r="A24" s="343"/>
      <c r="B24" s="349"/>
    </row>
    <row r="25" spans="1:14" ht="18.75" x14ac:dyDescent="0.3">
      <c r="A25" s="350" t="s">
        <v>1</v>
      </c>
      <c r="B25" s="349"/>
    </row>
    <row r="26" spans="1:14" ht="26.25" customHeight="1" x14ac:dyDescent="0.4">
      <c r="A26" s="351" t="s">
        <v>4</v>
      </c>
      <c r="B26" s="585" t="s">
        <v>155</v>
      </c>
      <c r="C26" s="585"/>
    </row>
    <row r="27" spans="1:14" ht="26.25" customHeight="1" x14ac:dyDescent="0.4">
      <c r="A27" s="352" t="s">
        <v>63</v>
      </c>
      <c r="B27" s="552" t="s">
        <v>156</v>
      </c>
      <c r="C27" s="552"/>
    </row>
    <row r="28" spans="1:14" ht="27" customHeight="1" x14ac:dyDescent="0.4">
      <c r="A28" s="352" t="s">
        <v>6</v>
      </c>
      <c r="B28" s="353">
        <v>99.95</v>
      </c>
    </row>
    <row r="29" spans="1:14" s="14" customFormat="1" ht="27" customHeight="1" x14ac:dyDescent="0.4">
      <c r="A29" s="352" t="s">
        <v>64</v>
      </c>
      <c r="B29" s="354">
        <v>0</v>
      </c>
      <c r="C29" s="568" t="s">
        <v>110</v>
      </c>
      <c r="D29" s="569"/>
      <c r="E29" s="569"/>
      <c r="F29" s="569"/>
      <c r="G29" s="570"/>
      <c r="I29" s="355"/>
      <c r="J29" s="355"/>
      <c r="K29" s="355"/>
      <c r="L29" s="355"/>
    </row>
    <row r="30" spans="1:14" s="14" customFormat="1" ht="19.5" customHeight="1" x14ac:dyDescent="0.3">
      <c r="A30" s="352" t="s">
        <v>66</v>
      </c>
      <c r="B30" s="356">
        <f>B28-B29</f>
        <v>99.95</v>
      </c>
      <c r="C30" s="357"/>
      <c r="D30" s="357"/>
      <c r="E30" s="357"/>
      <c r="F30" s="357"/>
      <c r="G30" s="358"/>
      <c r="I30" s="355"/>
      <c r="J30" s="355"/>
      <c r="K30" s="355"/>
      <c r="L30" s="355"/>
    </row>
    <row r="31" spans="1:14" s="14" customFormat="1" ht="27" customHeight="1" x14ac:dyDescent="0.4">
      <c r="A31" s="352" t="s">
        <v>67</v>
      </c>
      <c r="B31" s="359">
        <v>1</v>
      </c>
      <c r="C31" s="555" t="s">
        <v>68</v>
      </c>
      <c r="D31" s="556"/>
      <c r="E31" s="556"/>
      <c r="F31" s="556"/>
      <c r="G31" s="556"/>
      <c r="H31" s="557"/>
      <c r="I31" s="355"/>
      <c r="J31" s="355"/>
      <c r="K31" s="355"/>
      <c r="L31" s="355"/>
    </row>
    <row r="32" spans="1:14" s="14" customFormat="1" ht="27" customHeight="1" x14ac:dyDescent="0.4">
      <c r="A32" s="352" t="s">
        <v>69</v>
      </c>
      <c r="B32" s="359">
        <v>1</v>
      </c>
      <c r="C32" s="555" t="s">
        <v>70</v>
      </c>
      <c r="D32" s="556"/>
      <c r="E32" s="556"/>
      <c r="F32" s="556"/>
      <c r="G32" s="556"/>
      <c r="H32" s="557"/>
      <c r="I32" s="355"/>
      <c r="J32" s="355"/>
      <c r="K32" s="355"/>
      <c r="L32" s="360"/>
      <c r="M32" s="360"/>
      <c r="N32" s="361"/>
    </row>
    <row r="33" spans="1:14" s="14" customFormat="1" ht="17.25" customHeight="1" x14ac:dyDescent="0.3">
      <c r="A33" s="352"/>
      <c r="B33" s="362"/>
      <c r="C33" s="363"/>
      <c r="D33" s="363"/>
      <c r="E33" s="363"/>
      <c r="F33" s="363"/>
      <c r="G33" s="363"/>
      <c r="H33" s="363"/>
      <c r="I33" s="355"/>
      <c r="J33" s="355"/>
      <c r="K33" s="355"/>
      <c r="L33" s="360"/>
      <c r="M33" s="360"/>
      <c r="N33" s="361"/>
    </row>
    <row r="34" spans="1:14" s="14" customFormat="1" ht="18.75" x14ac:dyDescent="0.3">
      <c r="A34" s="352" t="s">
        <v>71</v>
      </c>
      <c r="B34" s="364">
        <f>B31/B32</f>
        <v>1</v>
      </c>
      <c r="C34" s="342" t="s">
        <v>72</v>
      </c>
      <c r="D34" s="342"/>
      <c r="E34" s="342"/>
      <c r="F34" s="342"/>
      <c r="G34" s="342"/>
      <c r="I34" s="355"/>
      <c r="J34" s="355"/>
      <c r="K34" s="355"/>
      <c r="L34" s="360"/>
      <c r="M34" s="360"/>
      <c r="N34" s="361"/>
    </row>
    <row r="35" spans="1:14" s="14" customFormat="1" ht="19.5" customHeight="1" x14ac:dyDescent="0.3">
      <c r="A35" s="352"/>
      <c r="B35" s="356"/>
      <c r="G35" s="342"/>
      <c r="I35" s="355"/>
      <c r="J35" s="355"/>
      <c r="K35" s="355"/>
      <c r="L35" s="360"/>
      <c r="M35" s="360"/>
      <c r="N35" s="361"/>
    </row>
    <row r="36" spans="1:14" s="14" customFormat="1" ht="27" customHeight="1" x14ac:dyDescent="0.4">
      <c r="A36" s="365" t="s">
        <v>128</v>
      </c>
      <c r="B36" s="366">
        <v>50</v>
      </c>
      <c r="C36" s="342"/>
      <c r="D36" s="547" t="s">
        <v>74</v>
      </c>
      <c r="E36" s="558"/>
      <c r="F36" s="547" t="s">
        <v>75</v>
      </c>
      <c r="G36" s="548"/>
      <c r="J36" s="355"/>
      <c r="K36" s="355"/>
      <c r="L36" s="360"/>
      <c r="M36" s="360"/>
      <c r="N36" s="361"/>
    </row>
    <row r="37" spans="1:14" s="14" customFormat="1" ht="27" customHeight="1" x14ac:dyDescent="0.4">
      <c r="A37" s="367" t="s">
        <v>76</v>
      </c>
      <c r="B37" s="368">
        <v>10</v>
      </c>
      <c r="C37" s="369" t="s">
        <v>77</v>
      </c>
      <c r="D37" s="370" t="s">
        <v>78</v>
      </c>
      <c r="E37" s="371" t="s">
        <v>79</v>
      </c>
      <c r="F37" s="370" t="s">
        <v>78</v>
      </c>
      <c r="G37" s="372" t="s">
        <v>79</v>
      </c>
      <c r="I37" s="373" t="s">
        <v>129</v>
      </c>
      <c r="J37" s="355"/>
      <c r="K37" s="355"/>
      <c r="L37" s="360"/>
      <c r="M37" s="360"/>
      <c r="N37" s="361"/>
    </row>
    <row r="38" spans="1:14" s="14" customFormat="1" ht="26.25" customHeight="1" x14ac:dyDescent="0.4">
      <c r="A38" s="367" t="s">
        <v>80</v>
      </c>
      <c r="B38" s="368">
        <v>100</v>
      </c>
      <c r="C38" s="374">
        <v>1</v>
      </c>
      <c r="D38" s="375">
        <v>4667199</v>
      </c>
      <c r="E38" s="376">
        <f>IF(ISBLANK(D38),"-",$D$48/$D$45*D38)</f>
        <v>4837892.4232111908</v>
      </c>
      <c r="F38" s="375">
        <v>4861897</v>
      </c>
      <c r="G38" s="377">
        <f>IF(ISBLANK(F38),"-",$D$48/$F$45*F38)</f>
        <v>4785841.3661769889</v>
      </c>
      <c r="I38" s="378"/>
      <c r="J38" s="355"/>
      <c r="K38" s="355"/>
      <c r="L38" s="360"/>
      <c r="M38" s="360"/>
      <c r="N38" s="361"/>
    </row>
    <row r="39" spans="1:14" s="14" customFormat="1" ht="26.25" customHeight="1" x14ac:dyDescent="0.4">
      <c r="A39" s="367" t="s">
        <v>81</v>
      </c>
      <c r="B39" s="368">
        <v>1</v>
      </c>
      <c r="C39" s="379">
        <v>2</v>
      </c>
      <c r="D39" s="380">
        <v>4692254</v>
      </c>
      <c r="E39" s="381">
        <f>IF(ISBLANK(D39),"-",$D$48/$D$45*D39)</f>
        <v>4863863.759480237</v>
      </c>
      <c r="F39" s="380">
        <v>4869592</v>
      </c>
      <c r="G39" s="382">
        <f>IF(ISBLANK(F39),"-",$D$48/$F$45*F39)</f>
        <v>4793415.9917424275</v>
      </c>
      <c r="I39" s="571">
        <f>ABS((F43/D43*D42)-F42)/D42</f>
        <v>1.3392108904646795E-2</v>
      </c>
      <c r="J39" s="355"/>
      <c r="K39" s="355"/>
      <c r="L39" s="360"/>
      <c r="M39" s="360"/>
      <c r="N39" s="361"/>
    </row>
    <row r="40" spans="1:14" ht="26.25" customHeight="1" x14ac:dyDescent="0.4">
      <c r="A40" s="367" t="s">
        <v>82</v>
      </c>
      <c r="B40" s="368">
        <v>1</v>
      </c>
      <c r="C40" s="379">
        <v>3</v>
      </c>
      <c r="D40" s="380">
        <v>4705749</v>
      </c>
      <c r="E40" s="381">
        <f>IF(ISBLANK(D40),"-",$D$48/$D$45*D40)</f>
        <v>4877852.311982763</v>
      </c>
      <c r="F40" s="380">
        <v>4891453</v>
      </c>
      <c r="G40" s="382">
        <f>IF(ISBLANK(F40),"-",$D$48/$F$45*F40)</f>
        <v>4814935.0157172251</v>
      </c>
      <c r="I40" s="571"/>
      <c r="L40" s="360"/>
      <c r="M40" s="360"/>
      <c r="N40" s="383"/>
    </row>
    <row r="41" spans="1:14" ht="27" customHeight="1" x14ac:dyDescent="0.4">
      <c r="A41" s="367" t="s">
        <v>83</v>
      </c>
      <c r="B41" s="368">
        <v>1</v>
      </c>
      <c r="C41" s="384">
        <v>4</v>
      </c>
      <c r="D41" s="385"/>
      <c r="E41" s="386" t="str">
        <f>IF(ISBLANK(D41),"-",$D$48/$D$45*D41)</f>
        <v>-</v>
      </c>
      <c r="F41" s="385"/>
      <c r="G41" s="387" t="str">
        <f>IF(ISBLANK(F41),"-",$D$48/$F$45*F41)</f>
        <v>-</v>
      </c>
      <c r="I41" s="388"/>
      <c r="L41" s="360"/>
      <c r="M41" s="360"/>
      <c r="N41" s="383"/>
    </row>
    <row r="42" spans="1:14" ht="27" customHeight="1" x14ac:dyDescent="0.4">
      <c r="A42" s="367" t="s">
        <v>84</v>
      </c>
      <c r="B42" s="368">
        <v>1</v>
      </c>
      <c r="C42" s="389" t="s">
        <v>85</v>
      </c>
      <c r="D42" s="390">
        <f>AVERAGE(D38:D41)</f>
        <v>4688400.666666667</v>
      </c>
      <c r="E42" s="391">
        <f>AVERAGE(E38:E41)</f>
        <v>4859869.4982247306</v>
      </c>
      <c r="F42" s="390">
        <f>AVERAGE(F38:F41)</f>
        <v>4874314</v>
      </c>
      <c r="G42" s="392">
        <f>AVERAGE(G38:G41)</f>
        <v>4798064.1245455472</v>
      </c>
      <c r="H42" s="393"/>
    </row>
    <row r="43" spans="1:14" ht="26.25" customHeight="1" x14ac:dyDescent="0.4">
      <c r="A43" s="367" t="s">
        <v>86</v>
      </c>
      <c r="B43" s="368">
        <v>1</v>
      </c>
      <c r="C43" s="394" t="s">
        <v>130</v>
      </c>
      <c r="D43" s="395">
        <v>24.13</v>
      </c>
      <c r="E43" s="383"/>
      <c r="F43" s="395">
        <v>25.41</v>
      </c>
      <c r="H43" s="393"/>
    </row>
    <row r="44" spans="1:14" ht="26.25" customHeight="1" x14ac:dyDescent="0.4">
      <c r="A44" s="367" t="s">
        <v>88</v>
      </c>
      <c r="B44" s="368">
        <v>1</v>
      </c>
      <c r="C44" s="396" t="s">
        <v>131</v>
      </c>
      <c r="D44" s="397">
        <f>D43*$B$34</f>
        <v>24.13</v>
      </c>
      <c r="E44" s="398"/>
      <c r="F44" s="397">
        <f>F43*$B$34</f>
        <v>25.41</v>
      </c>
      <c r="H44" s="393"/>
    </row>
    <row r="45" spans="1:14" ht="19.5" customHeight="1" x14ac:dyDescent="0.3">
      <c r="A45" s="367" t="s">
        <v>90</v>
      </c>
      <c r="B45" s="399">
        <f>(B44/B43)*(B42/B41)*(B40/B39)*(B38/B37)*B36</f>
        <v>500</v>
      </c>
      <c r="C45" s="396" t="s">
        <v>91</v>
      </c>
      <c r="D45" s="400">
        <f>D44*$B$30/100</f>
        <v>24.117934999999999</v>
      </c>
      <c r="E45" s="401"/>
      <c r="F45" s="400">
        <f>F44*$B$30/100</f>
        <v>25.397295</v>
      </c>
      <c r="H45" s="393"/>
    </row>
    <row r="46" spans="1:14" ht="19.5" customHeight="1" x14ac:dyDescent="0.3">
      <c r="A46" s="559" t="s">
        <v>92</v>
      </c>
      <c r="B46" s="560"/>
      <c r="C46" s="396" t="s">
        <v>93</v>
      </c>
      <c r="D46" s="402">
        <f>D45/$B$45</f>
        <v>4.823587E-2</v>
      </c>
      <c r="E46" s="403"/>
      <c r="F46" s="404">
        <f>F45/$B$45</f>
        <v>5.0794590000000001E-2</v>
      </c>
      <c r="H46" s="393"/>
    </row>
    <row r="47" spans="1:14" ht="27" customHeight="1" x14ac:dyDescent="0.4">
      <c r="A47" s="561"/>
      <c r="B47" s="562"/>
      <c r="C47" s="405" t="s">
        <v>132</v>
      </c>
      <c r="D47" s="406">
        <v>0.05</v>
      </c>
      <c r="E47" s="407"/>
      <c r="F47" s="403"/>
      <c r="H47" s="393"/>
    </row>
    <row r="48" spans="1:14" ht="18.75" x14ac:dyDescent="0.3">
      <c r="C48" s="408" t="s">
        <v>95</v>
      </c>
      <c r="D48" s="400">
        <f>D47*$B$45</f>
        <v>25</v>
      </c>
      <c r="F48" s="409"/>
      <c r="H48" s="393"/>
    </row>
    <row r="49" spans="1:12" ht="19.5" customHeight="1" x14ac:dyDescent="0.3">
      <c r="C49" s="410" t="s">
        <v>96</v>
      </c>
      <c r="D49" s="411">
        <f>D48/B34</f>
        <v>25</v>
      </c>
      <c r="F49" s="409"/>
      <c r="H49" s="393"/>
    </row>
    <row r="50" spans="1:12" ht="18.75" x14ac:dyDescent="0.3">
      <c r="C50" s="365" t="s">
        <v>97</v>
      </c>
      <c r="D50" s="412">
        <f>AVERAGE(E38:E41,G38:G41)</f>
        <v>4828966.8113851389</v>
      </c>
      <c r="F50" s="413"/>
      <c r="H50" s="393"/>
    </row>
    <row r="51" spans="1:12" ht="18.75" x14ac:dyDescent="0.3">
      <c r="C51" s="367" t="s">
        <v>60</v>
      </c>
      <c r="D51" s="414">
        <f>STDEV(E38:E41,G38:G41)/D50</f>
        <v>7.75268238590848E-3</v>
      </c>
      <c r="F51" s="413"/>
      <c r="H51" s="393"/>
    </row>
    <row r="52" spans="1:12" ht="19.5" customHeight="1" x14ac:dyDescent="0.3">
      <c r="C52" s="415" t="s">
        <v>20</v>
      </c>
      <c r="D52" s="416">
        <f>COUNT(E38:E41,G38:G41)</f>
        <v>6</v>
      </c>
      <c r="F52" s="413"/>
    </row>
    <row r="54" spans="1:12" ht="18.75" x14ac:dyDescent="0.3">
      <c r="A54" s="417" t="s">
        <v>1</v>
      </c>
      <c r="B54" s="418" t="s">
        <v>98</v>
      </c>
    </row>
    <row r="55" spans="1:12" ht="18.75" x14ac:dyDescent="0.3">
      <c r="A55" s="342" t="s">
        <v>49</v>
      </c>
      <c r="B55" s="419" t="str">
        <f>B21</f>
        <v>Each uncoated tablet contains: Glibenclamide BP 5 mg and Metformin Hydrochloride BP 500 mg.</v>
      </c>
    </row>
    <row r="56" spans="1:12" ht="26.25" customHeight="1" x14ac:dyDescent="0.4">
      <c r="A56" s="420" t="s">
        <v>61</v>
      </c>
      <c r="B56" s="421">
        <v>500</v>
      </c>
      <c r="C56" s="342" t="str">
        <f>B20</f>
        <v>Metformin Hydrochloride</v>
      </c>
      <c r="H56" s="422"/>
    </row>
    <row r="57" spans="1:12" ht="18.75" x14ac:dyDescent="0.3">
      <c r="A57" s="419" t="s">
        <v>62</v>
      </c>
      <c r="B57" s="490">
        <f>Uniformity!C46</f>
        <v>593.495</v>
      </c>
      <c r="H57" s="422"/>
    </row>
    <row r="58" spans="1:12" ht="19.5" customHeight="1" x14ac:dyDescent="0.3">
      <c r="H58" s="422"/>
    </row>
    <row r="59" spans="1:12" s="14" customFormat="1" ht="27" customHeight="1" x14ac:dyDescent="0.4">
      <c r="A59" s="365" t="s">
        <v>133</v>
      </c>
      <c r="B59" s="366">
        <v>100</v>
      </c>
      <c r="C59" s="342"/>
      <c r="D59" s="423" t="s">
        <v>134</v>
      </c>
      <c r="E59" s="424" t="s">
        <v>77</v>
      </c>
      <c r="F59" s="424" t="s">
        <v>78</v>
      </c>
      <c r="G59" s="424" t="s">
        <v>135</v>
      </c>
      <c r="H59" s="369" t="s">
        <v>136</v>
      </c>
      <c r="L59" s="355"/>
    </row>
    <row r="60" spans="1:12" s="14" customFormat="1" ht="26.25" customHeight="1" x14ac:dyDescent="0.4">
      <c r="A60" s="367" t="s">
        <v>137</v>
      </c>
      <c r="B60" s="368">
        <v>5</v>
      </c>
      <c r="C60" s="572" t="s">
        <v>138</v>
      </c>
      <c r="D60" s="575">
        <v>600.6</v>
      </c>
      <c r="E60" s="425">
        <v>1</v>
      </c>
      <c r="F60" s="426">
        <v>4743761</v>
      </c>
      <c r="G60" s="491">
        <f>IF(ISBLANK(F60),"-",(F60/$D$50*$D$47*$B$68)*($B$57/$D$60))</f>
        <v>485.36708415124264</v>
      </c>
      <c r="H60" s="509">
        <f t="shared" ref="H60:H71" si="0">IF(ISBLANK(F60),"-",(G60/$B$56)*100)</f>
        <v>97.073416830248533</v>
      </c>
      <c r="L60" s="355"/>
    </row>
    <row r="61" spans="1:12" s="14" customFormat="1" ht="26.25" customHeight="1" x14ac:dyDescent="0.4">
      <c r="A61" s="367" t="s">
        <v>118</v>
      </c>
      <c r="B61" s="368">
        <v>25</v>
      </c>
      <c r="C61" s="573"/>
      <c r="D61" s="576"/>
      <c r="E61" s="427">
        <v>2</v>
      </c>
      <c r="F61" s="380">
        <v>4716852</v>
      </c>
      <c r="G61" s="492">
        <f>IF(ISBLANK(F61),"-",(F61/$D$50*$D$47*$B$68)*($B$57/$D$60))</f>
        <v>482.61383775720515</v>
      </c>
      <c r="H61" s="510">
        <f t="shared" si="0"/>
        <v>96.522767551441021</v>
      </c>
      <c r="L61" s="355"/>
    </row>
    <row r="62" spans="1:12" s="14" customFormat="1" ht="26.25" customHeight="1" x14ac:dyDescent="0.4">
      <c r="A62" s="367" t="s">
        <v>119</v>
      </c>
      <c r="B62" s="368">
        <v>5</v>
      </c>
      <c r="C62" s="573"/>
      <c r="D62" s="576"/>
      <c r="E62" s="427">
        <v>3</v>
      </c>
      <c r="F62" s="428">
        <v>4751894</v>
      </c>
      <c r="G62" s="492">
        <f>IF(ISBLANK(F62),"-",(F62/$D$50*$D$47*$B$68)*($B$57/$D$60))</f>
        <v>486.19922778061226</v>
      </c>
      <c r="H62" s="510">
        <f t="shared" si="0"/>
        <v>97.239845556122447</v>
      </c>
      <c r="L62" s="355"/>
    </row>
    <row r="63" spans="1:12" ht="27" customHeight="1" x14ac:dyDescent="0.4">
      <c r="A63" s="367" t="s">
        <v>120</v>
      </c>
      <c r="B63" s="368">
        <v>100</v>
      </c>
      <c r="C63" s="582"/>
      <c r="D63" s="577"/>
      <c r="E63" s="429">
        <v>4</v>
      </c>
      <c r="F63" s="430"/>
      <c r="G63" s="492" t="str">
        <f>IF(ISBLANK(F63),"-",(F63/$D$50*$D$47*$B$68)*($B$57/$D$60))</f>
        <v>-</v>
      </c>
      <c r="H63" s="510" t="str">
        <f t="shared" si="0"/>
        <v>-</v>
      </c>
    </row>
    <row r="64" spans="1:12" ht="26.25" customHeight="1" x14ac:dyDescent="0.4">
      <c r="A64" s="367" t="s">
        <v>121</v>
      </c>
      <c r="B64" s="368">
        <v>1</v>
      </c>
      <c r="C64" s="572" t="s">
        <v>139</v>
      </c>
      <c r="D64" s="575">
        <v>598.17999999999995</v>
      </c>
      <c r="E64" s="425">
        <v>1</v>
      </c>
      <c r="F64" s="426"/>
      <c r="G64" s="491" t="str">
        <f>IF(ISBLANK(F64),"-",(F64/$D$50*$D$47*$B$68)*($B$57/$D$64))</f>
        <v>-</v>
      </c>
      <c r="H64" s="509" t="str">
        <f t="shared" si="0"/>
        <v>-</v>
      </c>
    </row>
    <row r="65" spans="1:8" ht="26.25" customHeight="1" x14ac:dyDescent="0.4">
      <c r="A65" s="367" t="s">
        <v>122</v>
      </c>
      <c r="B65" s="368">
        <v>1</v>
      </c>
      <c r="C65" s="573"/>
      <c r="D65" s="576"/>
      <c r="E65" s="427">
        <v>2</v>
      </c>
      <c r="F65" s="380"/>
      <c r="G65" s="492" t="str">
        <f>IF(ISBLANK(F65),"-",(F65/$D$50*$D$47*$B$68)*($B$57/$D$64))</f>
        <v>-</v>
      </c>
      <c r="H65" s="510" t="str">
        <f t="shared" si="0"/>
        <v>-</v>
      </c>
    </row>
    <row r="66" spans="1:8" ht="26.25" customHeight="1" x14ac:dyDescent="0.4">
      <c r="A66" s="367" t="s">
        <v>123</v>
      </c>
      <c r="B66" s="368">
        <v>1</v>
      </c>
      <c r="C66" s="573"/>
      <c r="D66" s="576"/>
      <c r="E66" s="427">
        <v>3</v>
      </c>
      <c r="F66" s="380"/>
      <c r="G66" s="492" t="str">
        <f>IF(ISBLANK(F66),"-",(F66/$D$50*$D$47*$B$68)*($B$57/$D$64))</f>
        <v>-</v>
      </c>
      <c r="H66" s="510" t="str">
        <f t="shared" si="0"/>
        <v>-</v>
      </c>
    </row>
    <row r="67" spans="1:8" ht="27" customHeight="1" x14ac:dyDescent="0.4">
      <c r="A67" s="367" t="s">
        <v>124</v>
      </c>
      <c r="B67" s="368">
        <v>1</v>
      </c>
      <c r="C67" s="582"/>
      <c r="D67" s="577"/>
      <c r="E67" s="429">
        <v>4</v>
      </c>
      <c r="F67" s="430"/>
      <c r="G67" s="508" t="str">
        <f>IF(ISBLANK(F67),"-",(F67/$D$50*$D$47*$B$68)*($B$57/$D$64))</f>
        <v>-</v>
      </c>
      <c r="H67" s="511" t="str">
        <f t="shared" si="0"/>
        <v>-</v>
      </c>
    </row>
    <row r="68" spans="1:8" ht="26.25" customHeight="1" x14ac:dyDescent="0.4">
      <c r="A68" s="367" t="s">
        <v>125</v>
      </c>
      <c r="B68" s="431">
        <f>(B67/B66)*(B65/B64)*(B63/B62)*(B61/B60)*B59</f>
        <v>10000</v>
      </c>
      <c r="C68" s="572" t="s">
        <v>140</v>
      </c>
      <c r="D68" s="575">
        <v>594</v>
      </c>
      <c r="E68" s="425">
        <v>1</v>
      </c>
      <c r="F68" s="426">
        <v>4663118</v>
      </c>
      <c r="G68" s="491">
        <f>IF(ISBLANK(F68),"-",(F68/$D$50*$D$47*$B$68)*($B$57/$D$68))</f>
        <v>482.41722780932406</v>
      </c>
      <c r="H68" s="510">
        <f t="shared" si="0"/>
        <v>96.483445561864812</v>
      </c>
    </row>
    <row r="69" spans="1:8" ht="27" customHeight="1" x14ac:dyDescent="0.4">
      <c r="A69" s="415" t="s">
        <v>141</v>
      </c>
      <c r="B69" s="432">
        <f>(D47*B68)/B56*B57</f>
        <v>593.495</v>
      </c>
      <c r="C69" s="573"/>
      <c r="D69" s="576"/>
      <c r="E69" s="427">
        <v>2</v>
      </c>
      <c r="F69" s="380">
        <v>4681919</v>
      </c>
      <c r="G69" s="492">
        <f>IF(ISBLANK(F69),"-",(F69/$D$50*$D$47*$B$68)*($B$57/$D$68))</f>
        <v>484.3622625050026</v>
      </c>
      <c r="H69" s="510">
        <f t="shared" si="0"/>
        <v>96.87245250100051</v>
      </c>
    </row>
    <row r="70" spans="1:8" ht="26.25" customHeight="1" x14ac:dyDescent="0.4">
      <c r="A70" s="578" t="s">
        <v>92</v>
      </c>
      <c r="B70" s="579"/>
      <c r="C70" s="573"/>
      <c r="D70" s="576"/>
      <c r="E70" s="427">
        <v>3</v>
      </c>
      <c r="F70" s="380">
        <v>4705214</v>
      </c>
      <c r="G70" s="492">
        <f>IF(ISBLANK(F70),"-",(F70/$D$50*$D$47*$B$68)*($B$57/$D$68))</f>
        <v>486.77221853052424</v>
      </c>
      <c r="H70" s="510">
        <f t="shared" si="0"/>
        <v>97.354443706104846</v>
      </c>
    </row>
    <row r="71" spans="1:8" ht="27" customHeight="1" x14ac:dyDescent="0.4">
      <c r="A71" s="580"/>
      <c r="B71" s="581"/>
      <c r="C71" s="574"/>
      <c r="D71" s="577"/>
      <c r="E71" s="429">
        <v>4</v>
      </c>
      <c r="F71" s="430"/>
      <c r="G71" s="508" t="str">
        <f>IF(ISBLANK(F71),"-",(F71/$D$50*$D$47*$B$68)*($B$57/$D$68))</f>
        <v>-</v>
      </c>
      <c r="H71" s="511" t="str">
        <f t="shared" si="0"/>
        <v>-</v>
      </c>
    </row>
    <row r="72" spans="1:8" ht="26.25" customHeight="1" x14ac:dyDescent="0.4">
      <c r="A72" s="433"/>
      <c r="B72" s="433"/>
      <c r="C72" s="433"/>
      <c r="D72" s="433"/>
      <c r="E72" s="433"/>
      <c r="F72" s="435" t="s">
        <v>85</v>
      </c>
      <c r="G72" s="497">
        <f>AVERAGE(G60:G71)</f>
        <v>484.62197642231848</v>
      </c>
      <c r="H72" s="512">
        <f>AVERAGE(H60:H71)</f>
        <v>96.924395284463685</v>
      </c>
    </row>
    <row r="73" spans="1:8" ht="26.25" customHeight="1" x14ac:dyDescent="0.4">
      <c r="C73" s="433"/>
      <c r="D73" s="433"/>
      <c r="E73" s="433"/>
      <c r="F73" s="436" t="s">
        <v>60</v>
      </c>
      <c r="G73" s="496">
        <f>STDEV(G60:G71)/G72</f>
        <v>3.7629162373294476E-3</v>
      </c>
      <c r="H73" s="496">
        <f>STDEV(H60:H71)/H72</f>
        <v>3.7629162373294584E-3</v>
      </c>
    </row>
    <row r="74" spans="1:8" ht="27" customHeight="1" x14ac:dyDescent="0.4">
      <c r="A74" s="433"/>
      <c r="B74" s="433"/>
      <c r="C74" s="434"/>
      <c r="D74" s="434"/>
      <c r="E74" s="437"/>
      <c r="F74" s="438" t="s">
        <v>20</v>
      </c>
      <c r="G74" s="439">
        <f>COUNT(G60:G71)</f>
        <v>6</v>
      </c>
      <c r="H74" s="439">
        <f>COUNT(H60:H71)</f>
        <v>6</v>
      </c>
    </row>
    <row r="76" spans="1:8" ht="26.25" customHeight="1" x14ac:dyDescent="0.4">
      <c r="A76" s="351" t="s">
        <v>142</v>
      </c>
      <c r="B76" s="440" t="s">
        <v>105</v>
      </c>
      <c r="C76" s="563" t="str">
        <f>B26</f>
        <v>Metformin HCL</v>
      </c>
      <c r="D76" s="563"/>
      <c r="E76" s="441" t="s">
        <v>106</v>
      </c>
      <c r="F76" s="441"/>
      <c r="G76" s="442">
        <f>H72</f>
        <v>96.924395284463685</v>
      </c>
      <c r="H76" s="443"/>
    </row>
    <row r="77" spans="1:8" ht="18.75" x14ac:dyDescent="0.3">
      <c r="A77" s="350" t="s">
        <v>108</v>
      </c>
      <c r="B77" s="350" t="s">
        <v>109</v>
      </c>
    </row>
    <row r="78" spans="1:8" ht="18.75" x14ac:dyDescent="0.3">
      <c r="A78" s="350"/>
      <c r="B78" s="350"/>
    </row>
    <row r="79" spans="1:8" ht="26.25" customHeight="1" x14ac:dyDescent="0.4">
      <c r="A79" s="351" t="s">
        <v>4</v>
      </c>
      <c r="B79" s="551" t="str">
        <f>B26</f>
        <v>Metformin HCL</v>
      </c>
      <c r="C79" s="551"/>
    </row>
    <row r="80" spans="1:8" ht="26.25" customHeight="1" x14ac:dyDescent="0.4">
      <c r="A80" s="352" t="s">
        <v>63</v>
      </c>
      <c r="B80" s="551" t="str">
        <f>B27</f>
        <v>M34-1</v>
      </c>
      <c r="C80" s="551"/>
    </row>
    <row r="81" spans="1:12" ht="27" customHeight="1" x14ac:dyDescent="0.4">
      <c r="A81" s="352" t="s">
        <v>6</v>
      </c>
      <c r="B81" s="444">
        <f>B28</f>
        <v>99.95</v>
      </c>
    </row>
    <row r="82" spans="1:12" s="14" customFormat="1" ht="27" customHeight="1" x14ac:dyDescent="0.4">
      <c r="A82" s="352" t="s">
        <v>64</v>
      </c>
      <c r="B82" s="354">
        <v>0</v>
      </c>
      <c r="C82" s="568" t="s">
        <v>110</v>
      </c>
      <c r="D82" s="569"/>
      <c r="E82" s="569"/>
      <c r="F82" s="569"/>
      <c r="G82" s="570"/>
      <c r="I82" s="355"/>
      <c r="J82" s="355"/>
      <c r="K82" s="355"/>
      <c r="L82" s="355"/>
    </row>
    <row r="83" spans="1:12" s="14" customFormat="1" ht="19.5" customHeight="1" x14ac:dyDescent="0.3">
      <c r="A83" s="352" t="s">
        <v>66</v>
      </c>
      <c r="B83" s="356">
        <f>B81-B82</f>
        <v>99.95</v>
      </c>
      <c r="C83" s="357"/>
      <c r="D83" s="357"/>
      <c r="E83" s="357"/>
      <c r="F83" s="357"/>
      <c r="G83" s="358"/>
      <c r="I83" s="355"/>
      <c r="J83" s="355"/>
      <c r="K83" s="355"/>
      <c r="L83" s="355"/>
    </row>
    <row r="84" spans="1:12" s="14" customFormat="1" ht="27" customHeight="1" x14ac:dyDescent="0.4">
      <c r="A84" s="352" t="s">
        <v>67</v>
      </c>
      <c r="B84" s="359">
        <v>1</v>
      </c>
      <c r="C84" s="555" t="s">
        <v>143</v>
      </c>
      <c r="D84" s="556"/>
      <c r="E84" s="556"/>
      <c r="F84" s="556"/>
      <c r="G84" s="556"/>
      <c r="H84" s="557"/>
      <c r="I84" s="355"/>
      <c r="J84" s="355"/>
      <c r="K84" s="355"/>
      <c r="L84" s="355"/>
    </row>
    <row r="85" spans="1:12" s="14" customFormat="1" ht="27" customHeight="1" x14ac:dyDescent="0.4">
      <c r="A85" s="352" t="s">
        <v>69</v>
      </c>
      <c r="B85" s="359">
        <v>1</v>
      </c>
      <c r="C85" s="555" t="s">
        <v>144</v>
      </c>
      <c r="D85" s="556"/>
      <c r="E85" s="556"/>
      <c r="F85" s="556"/>
      <c r="G85" s="556"/>
      <c r="H85" s="557"/>
      <c r="I85" s="355"/>
      <c r="J85" s="355"/>
      <c r="K85" s="355"/>
      <c r="L85" s="355"/>
    </row>
    <row r="86" spans="1:12" s="14" customFormat="1" ht="18.75" x14ac:dyDescent="0.3">
      <c r="A86" s="352"/>
      <c r="B86" s="362"/>
      <c r="C86" s="363"/>
      <c r="D86" s="363"/>
      <c r="E86" s="363"/>
      <c r="F86" s="363"/>
      <c r="G86" s="363"/>
      <c r="H86" s="363"/>
      <c r="I86" s="355"/>
      <c r="J86" s="355"/>
      <c r="K86" s="355"/>
      <c r="L86" s="355"/>
    </row>
    <row r="87" spans="1:12" s="14" customFormat="1" ht="18.75" x14ac:dyDescent="0.3">
      <c r="A87" s="352" t="s">
        <v>71</v>
      </c>
      <c r="B87" s="364">
        <f>B84/B85</f>
        <v>1</v>
      </c>
      <c r="C87" s="342" t="s">
        <v>72</v>
      </c>
      <c r="D87" s="342"/>
      <c r="E87" s="342"/>
      <c r="F87" s="342"/>
      <c r="G87" s="342"/>
      <c r="I87" s="355"/>
      <c r="J87" s="355"/>
      <c r="K87" s="355"/>
      <c r="L87" s="355"/>
    </row>
    <row r="88" spans="1:12" ht="19.5" customHeight="1" x14ac:dyDescent="0.3">
      <c r="A88" s="350"/>
      <c r="B88" s="350"/>
    </row>
    <row r="89" spans="1:12" ht="27" customHeight="1" x14ac:dyDescent="0.4">
      <c r="A89" s="365" t="s">
        <v>128</v>
      </c>
      <c r="B89" s="366">
        <v>50</v>
      </c>
      <c r="D89" s="445" t="s">
        <v>74</v>
      </c>
      <c r="E89" s="446"/>
      <c r="F89" s="547" t="s">
        <v>75</v>
      </c>
      <c r="G89" s="548"/>
    </row>
    <row r="90" spans="1:12" ht="27" customHeight="1" x14ac:dyDescent="0.4">
      <c r="A90" s="367" t="s">
        <v>76</v>
      </c>
      <c r="B90" s="368">
        <v>10</v>
      </c>
      <c r="C90" s="447" t="s">
        <v>77</v>
      </c>
      <c r="D90" s="370" t="s">
        <v>78</v>
      </c>
      <c r="E90" s="371" t="s">
        <v>79</v>
      </c>
      <c r="F90" s="370" t="s">
        <v>78</v>
      </c>
      <c r="G90" s="448" t="s">
        <v>79</v>
      </c>
      <c r="I90" s="373" t="s">
        <v>129</v>
      </c>
    </row>
    <row r="91" spans="1:12" ht="26.25" customHeight="1" x14ac:dyDescent="0.4">
      <c r="A91" s="367" t="s">
        <v>80</v>
      </c>
      <c r="B91" s="368">
        <v>100</v>
      </c>
      <c r="C91" s="449">
        <v>1</v>
      </c>
      <c r="D91" s="375">
        <v>4667199</v>
      </c>
      <c r="E91" s="376">
        <f>IF(ISBLANK(D91),"-",$D$101/$D$98*D91)</f>
        <v>4837892.4232111908</v>
      </c>
      <c r="F91" s="375">
        <v>4861897</v>
      </c>
      <c r="G91" s="377">
        <f>IF(ISBLANK(F91),"-",$D$101/$F$98*F91)</f>
        <v>4785841.3661769889</v>
      </c>
      <c r="I91" s="378"/>
    </row>
    <row r="92" spans="1:12" ht="26.25" customHeight="1" x14ac:dyDescent="0.4">
      <c r="A92" s="367" t="s">
        <v>81</v>
      </c>
      <c r="B92" s="368">
        <v>1</v>
      </c>
      <c r="C92" s="434">
        <v>2</v>
      </c>
      <c r="D92" s="380">
        <v>4692254</v>
      </c>
      <c r="E92" s="381">
        <f>IF(ISBLANK(D92),"-",$D$101/$D$98*D92)</f>
        <v>4863863.759480237</v>
      </c>
      <c r="F92" s="380">
        <v>4869592</v>
      </c>
      <c r="G92" s="382">
        <f>IF(ISBLANK(F92),"-",$D$101/$F$98*F92)</f>
        <v>4793415.9917424275</v>
      </c>
      <c r="I92" s="571">
        <f>ABS((F96/D96*D95)-F95)/D95</f>
        <v>1.3392108904646795E-2</v>
      </c>
    </row>
    <row r="93" spans="1:12" ht="26.25" customHeight="1" x14ac:dyDescent="0.4">
      <c r="A93" s="367" t="s">
        <v>82</v>
      </c>
      <c r="B93" s="368">
        <v>1</v>
      </c>
      <c r="C93" s="434">
        <v>3</v>
      </c>
      <c r="D93" s="380">
        <v>4705749</v>
      </c>
      <c r="E93" s="381">
        <f>IF(ISBLANK(D93),"-",$D$101/$D$98*D93)</f>
        <v>4877852.311982763</v>
      </c>
      <c r="F93" s="380">
        <v>4891453</v>
      </c>
      <c r="G93" s="382">
        <f>IF(ISBLANK(F93),"-",$D$101/$F$98*F93)</f>
        <v>4814935.0157172251</v>
      </c>
      <c r="I93" s="571"/>
    </row>
    <row r="94" spans="1:12" ht="27" customHeight="1" x14ac:dyDescent="0.4">
      <c r="A94" s="367" t="s">
        <v>83</v>
      </c>
      <c r="B94" s="368">
        <v>1</v>
      </c>
      <c r="C94" s="450">
        <v>4</v>
      </c>
      <c r="D94" s="385"/>
      <c r="E94" s="386" t="str">
        <f>IF(ISBLANK(D94),"-",$D$101/$D$98*D94)</f>
        <v>-</v>
      </c>
      <c r="F94" s="451"/>
      <c r="G94" s="387" t="str">
        <f>IF(ISBLANK(F94),"-",$D$101/$F$98*F94)</f>
        <v>-</v>
      </c>
      <c r="I94" s="388"/>
    </row>
    <row r="95" spans="1:12" ht="27" customHeight="1" x14ac:dyDescent="0.4">
      <c r="A95" s="367" t="s">
        <v>84</v>
      </c>
      <c r="B95" s="368">
        <v>1</v>
      </c>
      <c r="C95" s="452" t="s">
        <v>85</v>
      </c>
      <c r="D95" s="453">
        <f>AVERAGE(D91:D94)</f>
        <v>4688400.666666667</v>
      </c>
      <c r="E95" s="391">
        <f>AVERAGE(E91:E94)</f>
        <v>4859869.4982247306</v>
      </c>
      <c r="F95" s="454">
        <f>AVERAGE(F91:F94)</f>
        <v>4874314</v>
      </c>
      <c r="G95" s="455">
        <f>AVERAGE(G91:G94)</f>
        <v>4798064.1245455472</v>
      </c>
    </row>
    <row r="96" spans="1:12" ht="26.25" customHeight="1" x14ac:dyDescent="0.4">
      <c r="A96" s="367" t="s">
        <v>86</v>
      </c>
      <c r="B96" s="353">
        <v>1</v>
      </c>
      <c r="C96" s="456" t="s">
        <v>87</v>
      </c>
      <c r="D96" s="457">
        <v>24.13</v>
      </c>
      <c r="E96" s="383"/>
      <c r="F96" s="395">
        <v>25.41</v>
      </c>
    </row>
    <row r="97" spans="1:10" ht="26.25" customHeight="1" x14ac:dyDescent="0.4">
      <c r="A97" s="367" t="s">
        <v>88</v>
      </c>
      <c r="B97" s="353">
        <v>1</v>
      </c>
      <c r="C97" s="458" t="s">
        <v>89</v>
      </c>
      <c r="D97" s="459">
        <f>D96*$B$87</f>
        <v>24.13</v>
      </c>
      <c r="E97" s="398"/>
      <c r="F97" s="397">
        <f>F96*$B$87</f>
        <v>25.41</v>
      </c>
    </row>
    <row r="98" spans="1:10" ht="19.5" customHeight="1" x14ac:dyDescent="0.3">
      <c r="A98" s="367" t="s">
        <v>90</v>
      </c>
      <c r="B98" s="460">
        <f>(B97/B96)*(B95/B94)*(B93/B92)*(B91/B90)*B89</f>
        <v>500</v>
      </c>
      <c r="C98" s="458" t="s">
        <v>145</v>
      </c>
      <c r="D98" s="461">
        <f>D97*$B$83/100</f>
        <v>24.117934999999999</v>
      </c>
      <c r="E98" s="401"/>
      <c r="F98" s="400">
        <f>F97*$B$83/100</f>
        <v>25.397295</v>
      </c>
    </row>
    <row r="99" spans="1:10" ht="19.5" customHeight="1" x14ac:dyDescent="0.3">
      <c r="A99" s="559" t="s">
        <v>92</v>
      </c>
      <c r="B99" s="564"/>
      <c r="C99" s="458" t="s">
        <v>146</v>
      </c>
      <c r="D99" s="462">
        <f>D98/$B$98</f>
        <v>4.823587E-2</v>
      </c>
      <c r="E99" s="401"/>
      <c r="F99" s="404">
        <f>F98/$B$98</f>
        <v>5.0794590000000001E-2</v>
      </c>
      <c r="G99" s="463"/>
      <c r="H99" s="393"/>
    </row>
    <row r="100" spans="1:10" ht="19.5" customHeight="1" x14ac:dyDescent="0.3">
      <c r="A100" s="561"/>
      <c r="B100" s="565"/>
      <c r="C100" s="458" t="s">
        <v>132</v>
      </c>
      <c r="D100" s="464">
        <f>$B$56/$B$116</f>
        <v>0.05</v>
      </c>
      <c r="F100" s="409"/>
      <c r="G100" s="465"/>
      <c r="H100" s="393"/>
    </row>
    <row r="101" spans="1:10" ht="18.75" x14ac:dyDescent="0.3">
      <c r="C101" s="458" t="s">
        <v>95</v>
      </c>
      <c r="D101" s="459">
        <f>D100*$B$98</f>
        <v>25</v>
      </c>
      <c r="F101" s="409"/>
      <c r="G101" s="463"/>
      <c r="H101" s="393"/>
    </row>
    <row r="102" spans="1:10" ht="19.5" customHeight="1" x14ac:dyDescent="0.3">
      <c r="C102" s="466" t="s">
        <v>96</v>
      </c>
      <c r="D102" s="467">
        <f>D101/B34</f>
        <v>25</v>
      </c>
      <c r="F102" s="413"/>
      <c r="G102" s="463"/>
      <c r="H102" s="393"/>
      <c r="J102" s="468"/>
    </row>
    <row r="103" spans="1:10" ht="18.75" x14ac:dyDescent="0.3">
      <c r="C103" s="469" t="s">
        <v>147</v>
      </c>
      <c r="D103" s="470">
        <f>AVERAGE(E91:E94,G91:G94)</f>
        <v>4828966.8113851389</v>
      </c>
      <c r="F103" s="413"/>
      <c r="G103" s="471"/>
      <c r="H103" s="393"/>
      <c r="J103" s="472"/>
    </row>
    <row r="104" spans="1:10" ht="18.75" x14ac:dyDescent="0.3">
      <c r="C104" s="436" t="s">
        <v>60</v>
      </c>
      <c r="D104" s="473">
        <f>STDEV(E91:E94,G91:G94)/D103</f>
        <v>7.75268238590848E-3</v>
      </c>
      <c r="F104" s="413"/>
      <c r="G104" s="463"/>
      <c r="H104" s="393"/>
      <c r="J104" s="472"/>
    </row>
    <row r="105" spans="1:10" ht="19.5" customHeight="1" x14ac:dyDescent="0.3">
      <c r="C105" s="438" t="s">
        <v>20</v>
      </c>
      <c r="D105" s="474">
        <f>COUNT(E91:E94,G91:G94)</f>
        <v>6</v>
      </c>
      <c r="F105" s="413"/>
      <c r="G105" s="463"/>
      <c r="H105" s="393"/>
      <c r="J105" s="472"/>
    </row>
    <row r="106" spans="1:10" ht="19.5" customHeight="1" x14ac:dyDescent="0.3">
      <c r="A106" s="417"/>
      <c r="B106" s="417"/>
      <c r="C106" s="417"/>
      <c r="D106" s="417"/>
      <c r="E106" s="417"/>
    </row>
    <row r="107" spans="1:10" ht="27" customHeight="1" x14ac:dyDescent="0.4">
      <c r="A107" s="365" t="s">
        <v>113</v>
      </c>
      <c r="B107" s="366">
        <v>500</v>
      </c>
      <c r="C107" s="513" t="s">
        <v>148</v>
      </c>
      <c r="D107" s="513" t="s">
        <v>78</v>
      </c>
      <c r="E107" s="513" t="s">
        <v>115</v>
      </c>
      <c r="F107" s="475" t="s">
        <v>116</v>
      </c>
    </row>
    <row r="108" spans="1:10" ht="26.25" customHeight="1" x14ac:dyDescent="0.4">
      <c r="A108" s="367" t="s">
        <v>117</v>
      </c>
      <c r="B108" s="368">
        <v>5</v>
      </c>
      <c r="C108" s="518">
        <v>1</v>
      </c>
      <c r="D108" s="519">
        <v>4888428</v>
      </c>
      <c r="E108" s="493">
        <f t="shared" ref="E108:E113" si="1">IF(ISBLANK(D108),"-",D108/$D$103*$D$100*$B$116)</f>
        <v>506.1567195362237</v>
      </c>
      <c r="F108" s="520">
        <f t="shared" ref="F108:F113" si="2">IF(ISBLANK(D108), "-", (E108/$B$56)*100)</f>
        <v>101.23134390724474</v>
      </c>
    </row>
    <row r="109" spans="1:10" ht="26.25" customHeight="1" x14ac:dyDescent="0.4">
      <c r="A109" s="367" t="s">
        <v>118</v>
      </c>
      <c r="B109" s="368">
        <v>100</v>
      </c>
      <c r="C109" s="514">
        <v>2</v>
      </c>
      <c r="D109" s="516">
        <v>5101452</v>
      </c>
      <c r="E109" s="494">
        <f t="shared" si="1"/>
        <v>528.21361165419796</v>
      </c>
      <c r="F109" s="521">
        <f t="shared" si="2"/>
        <v>105.6427223308396</v>
      </c>
    </row>
    <row r="110" spans="1:10" ht="26.25" customHeight="1" x14ac:dyDescent="0.4">
      <c r="A110" s="367" t="s">
        <v>119</v>
      </c>
      <c r="B110" s="368">
        <v>1</v>
      </c>
      <c r="C110" s="514">
        <v>3</v>
      </c>
      <c r="D110" s="516">
        <v>4921720</v>
      </c>
      <c r="E110" s="494">
        <f t="shared" si="1"/>
        <v>509.60383372237919</v>
      </c>
      <c r="F110" s="521">
        <f t="shared" si="2"/>
        <v>101.92076674447583</v>
      </c>
    </row>
    <row r="111" spans="1:10" ht="26.25" customHeight="1" x14ac:dyDescent="0.4">
      <c r="A111" s="367" t="s">
        <v>120</v>
      </c>
      <c r="B111" s="368">
        <v>1</v>
      </c>
      <c r="C111" s="514">
        <v>4</v>
      </c>
      <c r="D111" s="516">
        <v>4890919</v>
      </c>
      <c r="E111" s="494">
        <f t="shared" si="1"/>
        <v>506.41464220346245</v>
      </c>
      <c r="F111" s="521">
        <f t="shared" si="2"/>
        <v>101.28292844069249</v>
      </c>
    </row>
    <row r="112" spans="1:10" ht="26.25" customHeight="1" x14ac:dyDescent="0.4">
      <c r="A112" s="367" t="s">
        <v>121</v>
      </c>
      <c r="B112" s="368">
        <v>1</v>
      </c>
      <c r="C112" s="514">
        <v>5</v>
      </c>
      <c r="D112" s="516">
        <v>4911594</v>
      </c>
      <c r="E112" s="494">
        <f t="shared" si="1"/>
        <v>508.55536927899902</v>
      </c>
      <c r="F112" s="521">
        <f t="shared" si="2"/>
        <v>101.71107385579981</v>
      </c>
    </row>
    <row r="113" spans="1:10" ht="27" customHeight="1" x14ac:dyDescent="0.4">
      <c r="A113" s="367" t="s">
        <v>122</v>
      </c>
      <c r="B113" s="368">
        <v>1</v>
      </c>
      <c r="C113" s="515">
        <v>6</v>
      </c>
      <c r="D113" s="517">
        <v>4865256</v>
      </c>
      <c r="E113" s="495">
        <f t="shared" si="1"/>
        <v>503.75744854254361</v>
      </c>
      <c r="F113" s="522">
        <f t="shared" si="2"/>
        <v>100.75148970850871</v>
      </c>
    </row>
    <row r="114" spans="1:10" ht="27" customHeight="1" x14ac:dyDescent="0.4">
      <c r="A114" s="367" t="s">
        <v>123</v>
      </c>
      <c r="B114" s="368">
        <v>1</v>
      </c>
      <c r="C114" s="476"/>
      <c r="D114" s="434"/>
      <c r="E114" s="341"/>
      <c r="F114" s="523"/>
    </row>
    <row r="115" spans="1:10" ht="26.25" customHeight="1" x14ac:dyDescent="0.4">
      <c r="A115" s="367" t="s">
        <v>124</v>
      </c>
      <c r="B115" s="368">
        <v>1</v>
      </c>
      <c r="C115" s="476"/>
      <c r="D115" s="500" t="s">
        <v>85</v>
      </c>
      <c r="E115" s="502">
        <f>AVERAGE(E108:E113)</f>
        <v>510.45027082296764</v>
      </c>
      <c r="F115" s="530">
        <f>AVERAGE(F108:F113)</f>
        <v>102.09005416459354</v>
      </c>
    </row>
    <row r="116" spans="1:10" ht="27" customHeight="1" x14ac:dyDescent="0.4">
      <c r="A116" s="367" t="s">
        <v>125</v>
      </c>
      <c r="B116" s="399">
        <f>(B115/B114)*(B113/B112)*(B111/B110)*(B109/B108)*B107</f>
        <v>10000</v>
      </c>
      <c r="C116" s="477"/>
      <c r="D116" s="501" t="s">
        <v>60</v>
      </c>
      <c r="E116" s="499">
        <f>STDEV(E108:E113)/E115</f>
        <v>1.7508253563928936E-2</v>
      </c>
      <c r="F116" s="478">
        <f>STDEV(F108:F113)/F115</f>
        <v>1.7508253563929002E-2</v>
      </c>
      <c r="I116" s="341"/>
    </row>
    <row r="117" spans="1:10" ht="27" customHeight="1" x14ac:dyDescent="0.4">
      <c r="A117" s="559" t="s">
        <v>92</v>
      </c>
      <c r="B117" s="560"/>
      <c r="C117" s="479"/>
      <c r="D117" s="438" t="s">
        <v>20</v>
      </c>
      <c r="E117" s="504">
        <f>COUNT(E108:E113)</f>
        <v>6</v>
      </c>
      <c r="F117" s="505">
        <f>COUNT(F108:F113)</f>
        <v>6</v>
      </c>
      <c r="I117" s="341"/>
      <c r="J117" s="472"/>
    </row>
    <row r="118" spans="1:10" ht="26.25" customHeight="1" x14ac:dyDescent="0.3">
      <c r="A118" s="561"/>
      <c r="B118" s="562"/>
      <c r="C118" s="341"/>
      <c r="D118" s="503"/>
      <c r="E118" s="583" t="s">
        <v>149</v>
      </c>
      <c r="F118" s="584"/>
      <c r="G118" s="341"/>
      <c r="H118" s="341"/>
      <c r="I118" s="341"/>
    </row>
    <row r="119" spans="1:10" ht="25.5" customHeight="1" x14ac:dyDescent="0.4">
      <c r="A119" s="488"/>
      <c r="B119" s="363"/>
      <c r="C119" s="341"/>
      <c r="D119" s="501" t="s">
        <v>150</v>
      </c>
      <c r="E119" s="506">
        <f>MIN(E108:E113)</f>
        <v>503.75744854254361</v>
      </c>
      <c r="F119" s="531">
        <f>MIN(F108:F113)</f>
        <v>100.75148970850871</v>
      </c>
      <c r="G119" s="341"/>
      <c r="H119" s="341"/>
      <c r="I119" s="341"/>
    </row>
    <row r="120" spans="1:10" ht="24" customHeight="1" x14ac:dyDescent="0.4">
      <c r="A120" s="488"/>
      <c r="B120" s="363"/>
      <c r="C120" s="341"/>
      <c r="D120" s="410" t="s">
        <v>151</v>
      </c>
      <c r="E120" s="507">
        <f>MAX(E108:E113)</f>
        <v>528.21361165419796</v>
      </c>
      <c r="F120" s="532">
        <f>MAX(F108:F113)</f>
        <v>105.6427223308396</v>
      </c>
      <c r="G120" s="341"/>
      <c r="H120" s="341"/>
      <c r="I120" s="341"/>
    </row>
    <row r="121" spans="1:10" ht="27" customHeight="1" x14ac:dyDescent="0.3">
      <c r="A121" s="488"/>
      <c r="B121" s="363"/>
      <c r="C121" s="341"/>
      <c r="D121" s="341"/>
      <c r="E121" s="341"/>
      <c r="F121" s="434"/>
      <c r="G121" s="341"/>
      <c r="H121" s="341"/>
      <c r="I121" s="341"/>
    </row>
    <row r="122" spans="1:10" ht="25.5" customHeight="1" x14ac:dyDescent="0.3">
      <c r="A122" s="488"/>
      <c r="B122" s="363"/>
      <c r="C122" s="341"/>
      <c r="D122" s="341"/>
      <c r="E122" s="341"/>
      <c r="F122" s="434"/>
      <c r="G122" s="341"/>
      <c r="H122" s="341"/>
      <c r="I122" s="341"/>
    </row>
    <row r="123" spans="1:10" ht="18.75" x14ac:dyDescent="0.3">
      <c r="A123" s="488"/>
      <c r="B123" s="363"/>
      <c r="C123" s="341"/>
      <c r="D123" s="341"/>
      <c r="E123" s="341"/>
      <c r="F123" s="434"/>
      <c r="G123" s="341"/>
      <c r="H123" s="341"/>
      <c r="I123" s="341"/>
    </row>
    <row r="124" spans="1:10" ht="45.75" customHeight="1" x14ac:dyDescent="0.65">
      <c r="A124" s="351" t="s">
        <v>142</v>
      </c>
      <c r="B124" s="440" t="s">
        <v>126</v>
      </c>
      <c r="C124" s="563" t="str">
        <f>B26</f>
        <v>Metformin HCL</v>
      </c>
      <c r="D124" s="563"/>
      <c r="E124" s="441" t="s">
        <v>127</v>
      </c>
      <c r="F124" s="441"/>
      <c r="G124" s="533">
        <f>F115</f>
        <v>102.09005416459354</v>
      </c>
      <c r="H124" s="341"/>
      <c r="I124" s="341"/>
    </row>
    <row r="125" spans="1:10" ht="45.75" customHeight="1" x14ac:dyDescent="0.65">
      <c r="A125" s="351"/>
      <c r="B125" s="440" t="s">
        <v>152</v>
      </c>
      <c r="C125" s="352" t="s">
        <v>153</v>
      </c>
      <c r="D125" s="533">
        <f>MIN(F108:F113)</f>
        <v>100.75148970850871</v>
      </c>
      <c r="E125" s="452" t="s">
        <v>154</v>
      </c>
      <c r="F125" s="533">
        <f>MAX(F108:F113)</f>
        <v>105.6427223308396</v>
      </c>
      <c r="G125" s="442"/>
      <c r="H125" s="341"/>
      <c r="I125" s="341"/>
    </row>
    <row r="126" spans="1:10" ht="19.5" customHeight="1" x14ac:dyDescent="0.3">
      <c r="A126" s="480"/>
      <c r="B126" s="480"/>
      <c r="C126" s="481"/>
      <c r="D126" s="481"/>
      <c r="E126" s="481"/>
      <c r="F126" s="481"/>
      <c r="G126" s="481"/>
      <c r="H126" s="481"/>
    </row>
    <row r="127" spans="1:10" ht="18.75" x14ac:dyDescent="0.3">
      <c r="B127" s="546" t="s">
        <v>26</v>
      </c>
      <c r="C127" s="546"/>
      <c r="E127" s="447" t="s">
        <v>27</v>
      </c>
      <c r="F127" s="482"/>
      <c r="G127" s="546" t="s">
        <v>28</v>
      </c>
      <c r="H127" s="546"/>
    </row>
    <row r="128" spans="1:10" ht="69.95" customHeight="1" x14ac:dyDescent="0.3">
      <c r="A128" s="483" t="s">
        <v>29</v>
      </c>
      <c r="B128" s="484"/>
      <c r="C128" s="484"/>
      <c r="E128" s="484"/>
      <c r="F128" s="341"/>
      <c r="G128" s="485"/>
      <c r="H128" s="485"/>
    </row>
    <row r="129" spans="1:9" ht="69.95" customHeight="1" x14ac:dyDescent="0.3">
      <c r="A129" s="483" t="s">
        <v>30</v>
      </c>
      <c r="B129" s="486"/>
      <c r="C129" s="486"/>
      <c r="E129" s="486"/>
      <c r="F129" s="341"/>
      <c r="G129" s="487"/>
      <c r="H129" s="487"/>
    </row>
    <row r="130" spans="1:9" ht="18.75" x14ac:dyDescent="0.3">
      <c r="A130" s="433"/>
      <c r="B130" s="433"/>
      <c r="C130" s="434"/>
      <c r="D130" s="434"/>
      <c r="E130" s="434"/>
      <c r="F130" s="437"/>
      <c r="G130" s="434"/>
      <c r="H130" s="434"/>
      <c r="I130" s="341"/>
    </row>
    <row r="131" spans="1:9" ht="18.75" x14ac:dyDescent="0.3">
      <c r="A131" s="433"/>
      <c r="B131" s="433"/>
      <c r="C131" s="434"/>
      <c r="D131" s="434"/>
      <c r="E131" s="434"/>
      <c r="F131" s="437"/>
      <c r="G131" s="434"/>
      <c r="H131" s="434"/>
      <c r="I131" s="341"/>
    </row>
    <row r="132" spans="1:9" ht="18.75" x14ac:dyDescent="0.3">
      <c r="A132" s="433"/>
      <c r="B132" s="433"/>
      <c r="C132" s="434"/>
      <c r="D132" s="434"/>
      <c r="E132" s="434"/>
      <c r="F132" s="437"/>
      <c r="G132" s="434"/>
      <c r="H132" s="434"/>
      <c r="I132" s="341"/>
    </row>
    <row r="133" spans="1:9" ht="18.75" x14ac:dyDescent="0.3">
      <c r="A133" s="433"/>
      <c r="B133" s="433"/>
      <c r="C133" s="434"/>
      <c r="D133" s="434"/>
      <c r="E133" s="434"/>
      <c r="F133" s="437"/>
      <c r="G133" s="434"/>
      <c r="H133" s="434"/>
      <c r="I133" s="341"/>
    </row>
    <row r="134" spans="1:9" ht="18.75" x14ac:dyDescent="0.3">
      <c r="A134" s="433"/>
      <c r="B134" s="433"/>
      <c r="C134" s="434"/>
      <c r="D134" s="434"/>
      <c r="E134" s="434"/>
      <c r="F134" s="437"/>
      <c r="G134" s="434"/>
      <c r="H134" s="434"/>
      <c r="I134" s="341"/>
    </row>
    <row r="135" spans="1:9" ht="18.75" x14ac:dyDescent="0.3">
      <c r="A135" s="433"/>
      <c r="B135" s="433"/>
      <c r="C135" s="434"/>
      <c r="D135" s="434"/>
      <c r="E135" s="434"/>
      <c r="F135" s="437"/>
      <c r="G135" s="434"/>
      <c r="H135" s="434"/>
      <c r="I135" s="341"/>
    </row>
    <row r="136" spans="1:9" ht="18.75" x14ac:dyDescent="0.3">
      <c r="A136" s="433"/>
      <c r="B136" s="433"/>
      <c r="C136" s="434"/>
      <c r="D136" s="434"/>
      <c r="E136" s="434"/>
      <c r="F136" s="437"/>
      <c r="G136" s="434"/>
      <c r="H136" s="434"/>
      <c r="I136" s="341"/>
    </row>
    <row r="137" spans="1:9" ht="18.75" x14ac:dyDescent="0.3">
      <c r="A137" s="433"/>
      <c r="B137" s="433"/>
      <c r="C137" s="434"/>
      <c r="D137" s="434"/>
      <c r="E137" s="434"/>
      <c r="F137" s="437"/>
      <c r="G137" s="434"/>
      <c r="H137" s="434"/>
      <c r="I137" s="341"/>
    </row>
    <row r="138" spans="1:9" ht="18.75" x14ac:dyDescent="0.3">
      <c r="A138" s="433"/>
      <c r="B138" s="433"/>
      <c r="C138" s="434"/>
      <c r="D138" s="434"/>
      <c r="E138" s="434"/>
      <c r="F138" s="437"/>
      <c r="G138" s="434"/>
      <c r="H138" s="434"/>
      <c r="I138" s="341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E25" sqref="E25"/>
    </sheetView>
  </sheetViews>
  <sheetFormatPr defaultColWidth="9.140625" defaultRowHeight="13.5" x14ac:dyDescent="0.25"/>
  <cols>
    <col min="1" max="1" width="55.42578125" style="463" customWidth="1"/>
    <col min="2" max="2" width="33.7109375" style="463" customWidth="1"/>
    <col min="3" max="3" width="42.28515625" style="463" customWidth="1"/>
    <col min="4" max="4" width="30.5703125" style="463" customWidth="1"/>
    <col min="5" max="5" width="39.85546875" style="463" customWidth="1"/>
    <col min="6" max="6" width="30.7109375" style="463" customWidth="1"/>
    <col min="7" max="7" width="39.85546875" style="463" customWidth="1"/>
    <col min="8" max="8" width="30" style="463" customWidth="1"/>
    <col min="9" max="9" width="30.28515625" style="463" hidden="1" customWidth="1"/>
    <col min="10" max="10" width="30.42578125" style="463" customWidth="1"/>
    <col min="11" max="11" width="21.28515625" style="463" customWidth="1"/>
    <col min="12" max="12" width="9.140625" style="463"/>
    <col min="13" max="16384" width="9.140625" style="44"/>
  </cols>
  <sheetData>
    <row r="1" spans="1:9" ht="18.75" customHeight="1" x14ac:dyDescent="0.25">
      <c r="A1" s="544" t="s">
        <v>45</v>
      </c>
      <c r="B1" s="544"/>
      <c r="C1" s="544"/>
      <c r="D1" s="544"/>
      <c r="E1" s="544"/>
      <c r="F1" s="544"/>
      <c r="G1" s="544"/>
      <c r="H1" s="544"/>
      <c r="I1" s="544"/>
    </row>
    <row r="2" spans="1:9" ht="18.75" customHeight="1" x14ac:dyDescent="0.25">
      <c r="A2" s="544"/>
      <c r="B2" s="544"/>
      <c r="C2" s="544"/>
      <c r="D2" s="544"/>
      <c r="E2" s="544"/>
      <c r="F2" s="544"/>
      <c r="G2" s="544"/>
      <c r="H2" s="544"/>
      <c r="I2" s="544"/>
    </row>
    <row r="3" spans="1:9" ht="18.75" customHeight="1" x14ac:dyDescent="0.25">
      <c r="A3" s="544"/>
      <c r="B3" s="544"/>
      <c r="C3" s="544"/>
      <c r="D3" s="544"/>
      <c r="E3" s="544"/>
      <c r="F3" s="544"/>
      <c r="G3" s="544"/>
      <c r="H3" s="544"/>
      <c r="I3" s="544"/>
    </row>
    <row r="4" spans="1:9" ht="18.75" customHeight="1" x14ac:dyDescent="0.25">
      <c r="A4" s="544"/>
      <c r="B4" s="544"/>
      <c r="C4" s="544"/>
      <c r="D4" s="544"/>
      <c r="E4" s="544"/>
      <c r="F4" s="544"/>
      <c r="G4" s="544"/>
      <c r="H4" s="544"/>
      <c r="I4" s="544"/>
    </row>
    <row r="5" spans="1:9" ht="18.75" customHeight="1" x14ac:dyDescent="0.25">
      <c r="A5" s="544"/>
      <c r="B5" s="544"/>
      <c r="C5" s="544"/>
      <c r="D5" s="544"/>
      <c r="E5" s="544"/>
      <c r="F5" s="544"/>
      <c r="G5" s="544"/>
      <c r="H5" s="544"/>
      <c r="I5" s="544"/>
    </row>
    <row r="6" spans="1:9" ht="18.75" customHeight="1" x14ac:dyDescent="0.25">
      <c r="A6" s="544"/>
      <c r="B6" s="544"/>
      <c r="C6" s="544"/>
      <c r="D6" s="544"/>
      <c r="E6" s="544"/>
      <c r="F6" s="544"/>
      <c r="G6" s="544"/>
      <c r="H6" s="544"/>
      <c r="I6" s="544"/>
    </row>
    <row r="7" spans="1:9" ht="18.75" customHeight="1" x14ac:dyDescent="0.25">
      <c r="A7" s="544"/>
      <c r="B7" s="544"/>
      <c r="C7" s="544"/>
      <c r="D7" s="544"/>
      <c r="E7" s="544"/>
      <c r="F7" s="544"/>
      <c r="G7" s="544"/>
      <c r="H7" s="544"/>
      <c r="I7" s="544"/>
    </row>
    <row r="8" spans="1:9" x14ac:dyDescent="0.25">
      <c r="A8" s="545" t="s">
        <v>46</v>
      </c>
      <c r="B8" s="545"/>
      <c r="C8" s="545"/>
      <c r="D8" s="545"/>
      <c r="E8" s="545"/>
      <c r="F8" s="545"/>
      <c r="G8" s="545"/>
      <c r="H8" s="545"/>
      <c r="I8" s="545"/>
    </row>
    <row r="9" spans="1:9" x14ac:dyDescent="0.25">
      <c r="A9" s="545"/>
      <c r="B9" s="545"/>
      <c r="C9" s="545"/>
      <c r="D9" s="545"/>
      <c r="E9" s="545"/>
      <c r="F9" s="545"/>
      <c r="G9" s="545"/>
      <c r="H9" s="545"/>
      <c r="I9" s="545"/>
    </row>
    <row r="10" spans="1:9" x14ac:dyDescent="0.25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9" x14ac:dyDescent="0.25">
      <c r="A11" s="545"/>
      <c r="B11" s="545"/>
      <c r="C11" s="545"/>
      <c r="D11" s="545"/>
      <c r="E11" s="545"/>
      <c r="F11" s="545"/>
      <c r="G11" s="545"/>
      <c r="H11" s="545"/>
      <c r="I11" s="545"/>
    </row>
    <row r="12" spans="1:9" x14ac:dyDescent="0.25">
      <c r="A12" s="545"/>
      <c r="B12" s="545"/>
      <c r="C12" s="545"/>
      <c r="D12" s="545"/>
      <c r="E12" s="545"/>
      <c r="F12" s="545"/>
      <c r="G12" s="545"/>
      <c r="H12" s="545"/>
      <c r="I12" s="545"/>
    </row>
    <row r="13" spans="1:9" x14ac:dyDescent="0.25">
      <c r="A13" s="545"/>
      <c r="B13" s="545"/>
      <c r="C13" s="545"/>
      <c r="D13" s="545"/>
      <c r="E13" s="545"/>
      <c r="F13" s="545"/>
      <c r="G13" s="545"/>
      <c r="H13" s="545"/>
      <c r="I13" s="545"/>
    </row>
    <row r="14" spans="1:9" x14ac:dyDescent="0.25">
      <c r="A14" s="545"/>
      <c r="B14" s="545"/>
      <c r="C14" s="545"/>
      <c r="D14" s="545"/>
      <c r="E14" s="545"/>
      <c r="F14" s="545"/>
      <c r="G14" s="545"/>
      <c r="H14" s="545"/>
      <c r="I14" s="545"/>
    </row>
    <row r="15" spans="1:9" ht="19.5" customHeight="1" thickBot="1" x14ac:dyDescent="0.35">
      <c r="A15" s="441"/>
    </row>
    <row r="16" spans="1:9" ht="19.5" customHeight="1" thickBot="1" x14ac:dyDescent="0.35">
      <c r="A16" s="549" t="s">
        <v>31</v>
      </c>
      <c r="B16" s="550"/>
      <c r="C16" s="550"/>
      <c r="D16" s="550"/>
      <c r="E16" s="550"/>
      <c r="F16" s="550"/>
      <c r="G16" s="550"/>
      <c r="H16" s="586"/>
    </row>
    <row r="17" spans="1:14" ht="20.25" customHeight="1" x14ac:dyDescent="0.25">
      <c r="A17" s="587" t="s">
        <v>47</v>
      </c>
      <c r="B17" s="587"/>
      <c r="C17" s="587"/>
      <c r="D17" s="587"/>
      <c r="E17" s="587"/>
      <c r="F17" s="587"/>
      <c r="G17" s="587"/>
      <c r="H17" s="587"/>
    </row>
    <row r="18" spans="1:14" ht="26.25" customHeight="1" x14ac:dyDescent="0.4">
      <c r="A18" s="343" t="s">
        <v>33</v>
      </c>
      <c r="B18" s="585" t="s">
        <v>5</v>
      </c>
      <c r="C18" s="585"/>
      <c r="D18" s="489"/>
      <c r="E18" s="344"/>
      <c r="F18" s="498"/>
      <c r="G18" s="498"/>
      <c r="H18" s="498"/>
    </row>
    <row r="19" spans="1:14" ht="26.25" customHeight="1" x14ac:dyDescent="0.4">
      <c r="A19" s="343" t="s">
        <v>34</v>
      </c>
      <c r="B19" s="524" t="s">
        <v>7</v>
      </c>
      <c r="C19" s="498">
        <v>1</v>
      </c>
      <c r="D19" s="498"/>
      <c r="E19" s="498"/>
      <c r="F19" s="498"/>
      <c r="G19" s="498"/>
      <c r="H19" s="498"/>
    </row>
    <row r="20" spans="1:14" ht="26.25" customHeight="1" x14ac:dyDescent="0.4">
      <c r="A20" s="343" t="s">
        <v>35</v>
      </c>
      <c r="B20" s="588" t="s">
        <v>159</v>
      </c>
      <c r="C20" s="588"/>
      <c r="D20" s="498"/>
      <c r="E20" s="498"/>
      <c r="F20" s="498"/>
      <c r="G20" s="498"/>
      <c r="H20" s="498"/>
    </row>
    <row r="21" spans="1:14" ht="26.25" customHeight="1" x14ac:dyDescent="0.4">
      <c r="A21" s="343" t="s">
        <v>36</v>
      </c>
      <c r="B21" s="588" t="s">
        <v>11</v>
      </c>
      <c r="C21" s="588"/>
      <c r="D21" s="588"/>
      <c r="E21" s="588"/>
      <c r="F21" s="588"/>
      <c r="G21" s="588"/>
      <c r="H21" s="588"/>
      <c r="I21" s="347"/>
    </row>
    <row r="22" spans="1:14" ht="26.25" customHeight="1" x14ac:dyDescent="0.4">
      <c r="A22" s="343" t="s">
        <v>37</v>
      </c>
      <c r="B22" s="348">
        <v>42761</v>
      </c>
      <c r="C22" s="498"/>
      <c r="D22" s="498"/>
      <c r="E22" s="498"/>
      <c r="F22" s="498"/>
      <c r="G22" s="498"/>
      <c r="H22" s="498"/>
    </row>
    <row r="23" spans="1:14" ht="26.25" customHeight="1" x14ac:dyDescent="0.4">
      <c r="A23" s="343" t="s">
        <v>38</v>
      </c>
      <c r="B23" s="348">
        <v>42762</v>
      </c>
      <c r="C23" s="498"/>
      <c r="D23" s="498"/>
      <c r="E23" s="498"/>
      <c r="F23" s="498"/>
      <c r="G23" s="498"/>
      <c r="H23" s="498"/>
    </row>
    <row r="24" spans="1:14" ht="18.75" x14ac:dyDescent="0.3">
      <c r="A24" s="343"/>
      <c r="B24" s="349"/>
    </row>
    <row r="25" spans="1:14" ht="18.75" x14ac:dyDescent="0.3">
      <c r="A25" s="350" t="s">
        <v>1</v>
      </c>
      <c r="B25" s="349"/>
    </row>
    <row r="26" spans="1:14" ht="26.25" customHeight="1" x14ac:dyDescent="0.4">
      <c r="A26" s="483" t="s">
        <v>4</v>
      </c>
      <c r="B26" s="585" t="s">
        <v>157</v>
      </c>
      <c r="C26" s="585"/>
    </row>
    <row r="27" spans="1:14" ht="26.25" customHeight="1" x14ac:dyDescent="0.4">
      <c r="A27" s="452" t="s">
        <v>63</v>
      </c>
      <c r="B27" s="552" t="s">
        <v>158</v>
      </c>
      <c r="C27" s="552"/>
    </row>
    <row r="28" spans="1:14" ht="27" customHeight="1" thickBot="1" x14ac:dyDescent="0.45">
      <c r="A28" s="452" t="s">
        <v>6</v>
      </c>
      <c r="B28" s="444">
        <v>99.8</v>
      </c>
    </row>
    <row r="29" spans="1:14" s="16" customFormat="1" ht="27" customHeight="1" thickBot="1" x14ac:dyDescent="0.45">
      <c r="A29" s="452" t="s">
        <v>64</v>
      </c>
      <c r="B29" s="354">
        <v>0</v>
      </c>
      <c r="C29" s="568" t="s">
        <v>110</v>
      </c>
      <c r="D29" s="569"/>
      <c r="E29" s="569"/>
      <c r="F29" s="569"/>
      <c r="G29" s="570"/>
      <c r="I29" s="355"/>
      <c r="J29" s="355"/>
      <c r="K29" s="355"/>
      <c r="L29" s="355"/>
    </row>
    <row r="30" spans="1:14" s="16" customFormat="1" ht="19.5" customHeight="1" thickBot="1" x14ac:dyDescent="0.35">
      <c r="A30" s="452" t="s">
        <v>66</v>
      </c>
      <c r="B30" s="527">
        <f>B28-B29</f>
        <v>99.8</v>
      </c>
      <c r="C30" s="357"/>
      <c r="D30" s="357"/>
      <c r="E30" s="357"/>
      <c r="F30" s="357"/>
      <c r="G30" s="358"/>
      <c r="I30" s="355"/>
      <c r="J30" s="355"/>
      <c r="K30" s="355"/>
      <c r="L30" s="355"/>
    </row>
    <row r="31" spans="1:14" s="16" customFormat="1" ht="27" customHeight="1" thickBot="1" x14ac:dyDescent="0.45">
      <c r="A31" s="452" t="s">
        <v>67</v>
      </c>
      <c r="B31" s="359">
        <v>1</v>
      </c>
      <c r="C31" s="555" t="s">
        <v>68</v>
      </c>
      <c r="D31" s="556"/>
      <c r="E31" s="556"/>
      <c r="F31" s="556"/>
      <c r="G31" s="556"/>
      <c r="H31" s="557"/>
      <c r="I31" s="355"/>
      <c r="J31" s="355"/>
      <c r="K31" s="355"/>
      <c r="L31" s="355"/>
    </row>
    <row r="32" spans="1:14" s="16" customFormat="1" ht="27" customHeight="1" thickBot="1" x14ac:dyDescent="0.45">
      <c r="A32" s="452" t="s">
        <v>69</v>
      </c>
      <c r="B32" s="359">
        <v>1</v>
      </c>
      <c r="C32" s="555" t="s">
        <v>70</v>
      </c>
      <c r="D32" s="556"/>
      <c r="E32" s="556"/>
      <c r="F32" s="556"/>
      <c r="G32" s="556"/>
      <c r="H32" s="557"/>
      <c r="I32" s="355"/>
      <c r="J32" s="355"/>
      <c r="K32" s="355"/>
      <c r="L32" s="360"/>
      <c r="M32" s="360"/>
      <c r="N32" s="361"/>
    </row>
    <row r="33" spans="1:14" s="16" customFormat="1" ht="17.25" customHeight="1" x14ac:dyDescent="0.3">
      <c r="A33" s="452"/>
      <c r="B33" s="362"/>
      <c r="C33" s="363"/>
      <c r="D33" s="363"/>
      <c r="E33" s="363"/>
      <c r="F33" s="363"/>
      <c r="G33" s="363"/>
      <c r="H33" s="363"/>
      <c r="I33" s="355"/>
      <c r="J33" s="355"/>
      <c r="K33" s="355"/>
      <c r="L33" s="360"/>
      <c r="M33" s="360"/>
      <c r="N33" s="361"/>
    </row>
    <row r="34" spans="1:14" s="16" customFormat="1" ht="18.75" x14ac:dyDescent="0.3">
      <c r="A34" s="452" t="s">
        <v>71</v>
      </c>
      <c r="B34" s="364">
        <f>B31/B32</f>
        <v>1</v>
      </c>
      <c r="C34" s="441" t="s">
        <v>72</v>
      </c>
      <c r="D34" s="441"/>
      <c r="E34" s="441"/>
      <c r="F34" s="441"/>
      <c r="G34" s="441"/>
      <c r="I34" s="355"/>
      <c r="J34" s="355"/>
      <c r="K34" s="355"/>
      <c r="L34" s="360"/>
      <c r="M34" s="360"/>
      <c r="N34" s="361"/>
    </row>
    <row r="35" spans="1:14" s="16" customFormat="1" ht="19.5" customHeight="1" thickBot="1" x14ac:dyDescent="0.35">
      <c r="A35" s="452"/>
      <c r="B35" s="527"/>
      <c r="G35" s="441"/>
      <c r="I35" s="355"/>
      <c r="J35" s="355"/>
      <c r="K35" s="355"/>
      <c r="L35" s="360"/>
      <c r="M35" s="360"/>
      <c r="N35" s="361"/>
    </row>
    <row r="36" spans="1:14" s="16" customFormat="1" ht="27" customHeight="1" thickBot="1" x14ac:dyDescent="0.45">
      <c r="A36" s="365" t="s">
        <v>128</v>
      </c>
      <c r="B36" s="366">
        <v>50</v>
      </c>
      <c r="C36" s="441"/>
      <c r="D36" s="547" t="s">
        <v>74</v>
      </c>
      <c r="E36" s="558"/>
      <c r="F36" s="547" t="s">
        <v>75</v>
      </c>
      <c r="G36" s="548"/>
      <c r="J36" s="355"/>
      <c r="K36" s="355"/>
      <c r="L36" s="360"/>
      <c r="M36" s="360"/>
      <c r="N36" s="361"/>
    </row>
    <row r="37" spans="1:14" s="16" customFormat="1" ht="27" customHeight="1" thickBot="1" x14ac:dyDescent="0.45">
      <c r="A37" s="367" t="s">
        <v>76</v>
      </c>
      <c r="B37" s="368">
        <v>2</v>
      </c>
      <c r="C37" s="369" t="s">
        <v>77</v>
      </c>
      <c r="D37" s="370" t="s">
        <v>78</v>
      </c>
      <c r="E37" s="371" t="s">
        <v>79</v>
      </c>
      <c r="F37" s="370" t="s">
        <v>78</v>
      </c>
      <c r="G37" s="372" t="s">
        <v>79</v>
      </c>
      <c r="I37" s="373" t="s">
        <v>129</v>
      </c>
      <c r="J37" s="355"/>
      <c r="K37" s="355"/>
      <c r="L37" s="360"/>
      <c r="M37" s="360"/>
      <c r="N37" s="361"/>
    </row>
    <row r="38" spans="1:14" s="16" customFormat="1" ht="26.25" customHeight="1" x14ac:dyDescent="0.4">
      <c r="A38" s="367" t="s">
        <v>80</v>
      </c>
      <c r="B38" s="368">
        <v>100</v>
      </c>
      <c r="C38" s="374">
        <v>1</v>
      </c>
      <c r="D38" s="375">
        <v>545956</v>
      </c>
      <c r="E38" s="376">
        <f>IF(ISBLANK(D38),"-",$D$48/$D$45*D38)</f>
        <v>570319.12030900829</v>
      </c>
      <c r="F38" s="375">
        <v>579374</v>
      </c>
      <c r="G38" s="377">
        <f>IF(ISBLANK(F38),"-",$D$48/$F$45*F38)</f>
        <v>562970.39385209524</v>
      </c>
      <c r="I38" s="378"/>
      <c r="J38" s="355"/>
      <c r="K38" s="355"/>
      <c r="L38" s="360"/>
      <c r="M38" s="360"/>
      <c r="N38" s="361"/>
    </row>
    <row r="39" spans="1:14" s="16" customFormat="1" ht="26.25" customHeight="1" x14ac:dyDescent="0.4">
      <c r="A39" s="367" t="s">
        <v>81</v>
      </c>
      <c r="B39" s="368">
        <v>1</v>
      </c>
      <c r="C39" s="399">
        <v>2</v>
      </c>
      <c r="D39" s="380">
        <v>548277</v>
      </c>
      <c r="E39" s="381">
        <f>IF(ISBLANK(D39),"-",$D$48/$D$45*D39)</f>
        <v>572743.69422748743</v>
      </c>
      <c r="F39" s="380">
        <v>581030</v>
      </c>
      <c r="G39" s="382">
        <f>IF(ISBLANK(F39),"-",$D$48/$F$45*F39)</f>
        <v>564579.50812408375</v>
      </c>
      <c r="I39" s="571">
        <f>ABS((F43/D43*D42)-F42)/D42</f>
        <v>1.3539006454119699E-2</v>
      </c>
      <c r="J39" s="355"/>
      <c r="K39" s="355"/>
      <c r="L39" s="360"/>
      <c r="M39" s="360"/>
      <c r="N39" s="361"/>
    </row>
    <row r="40" spans="1:14" ht="26.25" customHeight="1" x14ac:dyDescent="0.4">
      <c r="A40" s="367" t="s">
        <v>82</v>
      </c>
      <c r="B40" s="368">
        <v>1</v>
      </c>
      <c r="C40" s="399">
        <v>3</v>
      </c>
      <c r="D40" s="380">
        <v>548829</v>
      </c>
      <c r="E40" s="381">
        <f>IF(ISBLANK(D40),"-",$D$48/$D$45*D40)</f>
        <v>573320.32705945661</v>
      </c>
      <c r="F40" s="380">
        <v>583745</v>
      </c>
      <c r="G40" s="382">
        <f>IF(ISBLANK(F40),"-",$D$48/$F$45*F40)</f>
        <v>567217.63931276056</v>
      </c>
      <c r="I40" s="571"/>
      <c r="L40" s="360"/>
      <c r="M40" s="360"/>
      <c r="N40" s="441"/>
    </row>
    <row r="41" spans="1:14" ht="27" customHeight="1" thickBot="1" x14ac:dyDescent="0.45">
      <c r="A41" s="367" t="s">
        <v>83</v>
      </c>
      <c r="B41" s="368">
        <v>1</v>
      </c>
      <c r="C41" s="384">
        <v>4</v>
      </c>
      <c r="D41" s="385"/>
      <c r="E41" s="386" t="str">
        <f>IF(ISBLANK(D41),"-",$D$48/$D$45*D41)</f>
        <v>-</v>
      </c>
      <c r="F41" s="385"/>
      <c r="G41" s="387" t="str">
        <f>IF(ISBLANK(F41),"-",$D$48/$F$45*F41)</f>
        <v>-</v>
      </c>
      <c r="I41" s="388"/>
      <c r="L41" s="360"/>
      <c r="M41" s="360"/>
      <c r="N41" s="441"/>
    </row>
    <row r="42" spans="1:14" ht="27" customHeight="1" thickBot="1" x14ac:dyDescent="0.45">
      <c r="A42" s="367" t="s">
        <v>84</v>
      </c>
      <c r="B42" s="368">
        <v>1</v>
      </c>
      <c r="C42" s="389" t="s">
        <v>85</v>
      </c>
      <c r="D42" s="390">
        <f>AVERAGE(D38:D41)</f>
        <v>547687.33333333337</v>
      </c>
      <c r="E42" s="391">
        <f>AVERAGE(E38:E41)</f>
        <v>572127.7138653174</v>
      </c>
      <c r="F42" s="390">
        <f>AVERAGE(F38:F41)</f>
        <v>581383</v>
      </c>
      <c r="G42" s="392">
        <f>AVERAGE(G38:G41)</f>
        <v>564922.51376297977</v>
      </c>
      <c r="H42" s="393"/>
    </row>
    <row r="43" spans="1:14" ht="26.25" customHeight="1" x14ac:dyDescent="0.4">
      <c r="A43" s="367" t="s">
        <v>86</v>
      </c>
      <c r="B43" s="368">
        <v>1</v>
      </c>
      <c r="C43" s="394" t="s">
        <v>130</v>
      </c>
      <c r="D43" s="395">
        <v>11.99</v>
      </c>
      <c r="E43" s="441"/>
      <c r="F43" s="395">
        <v>12.89</v>
      </c>
      <c r="H43" s="393"/>
    </row>
    <row r="44" spans="1:14" ht="26.25" customHeight="1" x14ac:dyDescent="0.4">
      <c r="A44" s="367" t="s">
        <v>88</v>
      </c>
      <c r="B44" s="368">
        <v>1</v>
      </c>
      <c r="C44" s="396" t="s">
        <v>131</v>
      </c>
      <c r="D44" s="397">
        <f>D43*$B$34</f>
        <v>11.99</v>
      </c>
      <c r="E44" s="460"/>
      <c r="F44" s="397">
        <f>F43*$B$34</f>
        <v>12.89</v>
      </c>
      <c r="H44" s="393"/>
    </row>
    <row r="45" spans="1:14" ht="19.5" customHeight="1" thickBot="1" x14ac:dyDescent="0.35">
      <c r="A45" s="367" t="s">
        <v>90</v>
      </c>
      <c r="B45" s="399">
        <f>(B44/B43)*(B42/B41)*(B40/B39)*(B38/B37)*B36</f>
        <v>2500</v>
      </c>
      <c r="C45" s="396" t="s">
        <v>91</v>
      </c>
      <c r="D45" s="400">
        <f>D44*$B$30/100</f>
        <v>11.96602</v>
      </c>
      <c r="E45" s="437"/>
      <c r="F45" s="400">
        <f>F44*$B$30/100</f>
        <v>12.86422</v>
      </c>
      <c r="H45" s="393"/>
    </row>
    <row r="46" spans="1:14" ht="19.5" customHeight="1" thickBot="1" x14ac:dyDescent="0.35">
      <c r="A46" s="559" t="s">
        <v>92</v>
      </c>
      <c r="B46" s="560"/>
      <c r="C46" s="396" t="s">
        <v>93</v>
      </c>
      <c r="D46" s="402">
        <f>D45/$B$45</f>
        <v>4.7864079999999998E-3</v>
      </c>
      <c r="E46" s="403"/>
      <c r="F46" s="404">
        <f>F45/$B$45</f>
        <v>5.1456879999999998E-3</v>
      </c>
      <c r="H46" s="393"/>
    </row>
    <row r="47" spans="1:14" ht="27" customHeight="1" thickBot="1" x14ac:dyDescent="0.45">
      <c r="A47" s="561"/>
      <c r="B47" s="562"/>
      <c r="C47" s="405" t="s">
        <v>132</v>
      </c>
      <c r="D47" s="406">
        <v>5.0000000000000001E-3</v>
      </c>
      <c r="E47" s="407"/>
      <c r="F47" s="403"/>
      <c r="H47" s="393"/>
    </row>
    <row r="48" spans="1:14" ht="18.75" x14ac:dyDescent="0.3">
      <c r="C48" s="408" t="s">
        <v>95</v>
      </c>
      <c r="D48" s="400">
        <f>D47*$B$45</f>
        <v>12.5</v>
      </c>
      <c r="F48" s="409"/>
      <c r="H48" s="393"/>
    </row>
    <row r="49" spans="1:12" ht="19.5" customHeight="1" thickBot="1" x14ac:dyDescent="0.35">
      <c r="C49" s="410" t="s">
        <v>96</v>
      </c>
      <c r="D49" s="411">
        <f>D48/B34</f>
        <v>12.5</v>
      </c>
      <c r="F49" s="409"/>
      <c r="H49" s="393"/>
    </row>
    <row r="50" spans="1:12" ht="18.75" x14ac:dyDescent="0.3">
      <c r="C50" s="365" t="s">
        <v>97</v>
      </c>
      <c r="D50" s="412">
        <f>AVERAGE(E38:E41,G38:G41)</f>
        <v>568525.11381414859</v>
      </c>
      <c r="F50" s="413"/>
      <c r="H50" s="393"/>
    </row>
    <row r="51" spans="1:12" ht="18.75" x14ac:dyDescent="0.3">
      <c r="C51" s="367" t="s">
        <v>60</v>
      </c>
      <c r="D51" s="414">
        <f>STDEV(E38:E41,G38:G41)/D50</f>
        <v>7.550786253182255E-3</v>
      </c>
      <c r="F51" s="413"/>
      <c r="H51" s="393"/>
    </row>
    <row r="52" spans="1:12" ht="19.5" customHeight="1" thickBot="1" x14ac:dyDescent="0.35">
      <c r="C52" s="415" t="s">
        <v>20</v>
      </c>
      <c r="D52" s="416">
        <f>COUNT(E38:E41,G38:G41)</f>
        <v>6</v>
      </c>
      <c r="F52" s="413"/>
    </row>
    <row r="54" spans="1:12" ht="18.75" x14ac:dyDescent="0.3">
      <c r="A54" s="417" t="s">
        <v>1</v>
      </c>
      <c r="B54" s="418" t="s">
        <v>98</v>
      </c>
    </row>
    <row r="55" spans="1:12" ht="18.75" x14ac:dyDescent="0.3">
      <c r="A55" s="441" t="s">
        <v>49</v>
      </c>
      <c r="B55" s="420" t="str">
        <f>B21</f>
        <v>Each uncoated tablet contains: Glibenclamide BP 5 mg and Metformin Hydrochloride BP 500 mg.</v>
      </c>
    </row>
    <row r="56" spans="1:12" ht="26.25" customHeight="1" x14ac:dyDescent="0.4">
      <c r="A56" s="420" t="s">
        <v>61</v>
      </c>
      <c r="B56" s="421">
        <v>5</v>
      </c>
      <c r="C56" s="441" t="str">
        <f>B20</f>
        <v xml:space="preserve">Glibenclamide </v>
      </c>
      <c r="H56" s="460"/>
    </row>
    <row r="57" spans="1:12" ht="18.75" x14ac:dyDescent="0.3">
      <c r="A57" s="420" t="s">
        <v>62</v>
      </c>
      <c r="B57" s="490">
        <f>Uniformity!C46</f>
        <v>593.495</v>
      </c>
      <c r="H57" s="460"/>
    </row>
    <row r="58" spans="1:12" ht="19.5" customHeight="1" thickBot="1" x14ac:dyDescent="0.35">
      <c r="H58" s="460"/>
    </row>
    <row r="59" spans="1:12" s="16" customFormat="1" ht="27" customHeight="1" thickBot="1" x14ac:dyDescent="0.45">
      <c r="A59" s="365" t="s">
        <v>133</v>
      </c>
      <c r="B59" s="366">
        <v>100</v>
      </c>
      <c r="C59" s="441"/>
      <c r="D59" s="423" t="s">
        <v>134</v>
      </c>
      <c r="E59" s="513" t="s">
        <v>77</v>
      </c>
      <c r="F59" s="513" t="s">
        <v>78</v>
      </c>
      <c r="G59" s="513" t="s">
        <v>135</v>
      </c>
      <c r="H59" s="369" t="s">
        <v>136</v>
      </c>
      <c r="L59" s="355"/>
    </row>
    <row r="60" spans="1:12" s="16" customFormat="1" ht="26.25" customHeight="1" x14ac:dyDescent="0.4">
      <c r="A60" s="367" t="s">
        <v>137</v>
      </c>
      <c r="B60" s="368">
        <v>10</v>
      </c>
      <c r="C60" s="572" t="s">
        <v>138</v>
      </c>
      <c r="D60" s="575">
        <v>600.6</v>
      </c>
      <c r="E60" s="518">
        <v>1</v>
      </c>
      <c r="F60" s="426">
        <v>553698</v>
      </c>
      <c r="G60" s="491">
        <f>IF(ISBLANK(F60),"-",(F60/$D$50*$D$47*$B$68)*($B$57/$D$60))</f>
        <v>4.8119936104164447</v>
      </c>
      <c r="H60" s="509">
        <f t="shared" ref="H60:H71" si="0">IF(ISBLANK(F60),"-",(G60/$B$56)*100)</f>
        <v>96.23987220832889</v>
      </c>
      <c r="L60" s="355"/>
    </row>
    <row r="61" spans="1:12" s="16" customFormat="1" ht="26.25" customHeight="1" x14ac:dyDescent="0.4">
      <c r="A61" s="367" t="s">
        <v>118</v>
      </c>
      <c r="B61" s="368">
        <v>100</v>
      </c>
      <c r="C61" s="573"/>
      <c r="D61" s="576"/>
      <c r="E61" s="514">
        <v>2</v>
      </c>
      <c r="F61" s="380">
        <v>550627</v>
      </c>
      <c r="G61" s="492">
        <f>IF(ISBLANK(F61),"-",(F61/$D$50*$D$47*$B$68)*($B$57/$D$60))</f>
        <v>4.7853046348781758</v>
      </c>
      <c r="H61" s="510">
        <f t="shared" si="0"/>
        <v>95.70609269756352</v>
      </c>
      <c r="L61" s="355"/>
    </row>
    <row r="62" spans="1:12" s="16" customFormat="1" ht="26.25" customHeight="1" x14ac:dyDescent="0.4">
      <c r="A62" s="367" t="s">
        <v>119</v>
      </c>
      <c r="B62" s="368">
        <v>1</v>
      </c>
      <c r="C62" s="573"/>
      <c r="D62" s="576"/>
      <c r="E62" s="514">
        <v>3</v>
      </c>
      <c r="F62" s="428">
        <v>552976</v>
      </c>
      <c r="G62" s="492">
        <f>IF(ISBLANK(F62),"-",(F62/$D$50*$D$47*$B$68)*($B$57/$D$60))</f>
        <v>4.80571896361129</v>
      </c>
      <c r="H62" s="510">
        <f t="shared" si="0"/>
        <v>96.114379272225804</v>
      </c>
      <c r="L62" s="355"/>
    </row>
    <row r="63" spans="1:12" ht="27" customHeight="1" thickBot="1" x14ac:dyDescent="0.45">
      <c r="A63" s="367" t="s">
        <v>120</v>
      </c>
      <c r="B63" s="368">
        <v>1</v>
      </c>
      <c r="C63" s="582"/>
      <c r="D63" s="577"/>
      <c r="E63" s="515">
        <v>4</v>
      </c>
      <c r="F63" s="430"/>
      <c r="G63" s="492" t="str">
        <f>IF(ISBLANK(F63),"-",(F63/$D$50*$D$47*$B$68)*($B$57/$D$60))</f>
        <v>-</v>
      </c>
      <c r="H63" s="510" t="str">
        <f t="shared" si="0"/>
        <v>-</v>
      </c>
    </row>
    <row r="64" spans="1:12" ht="26.25" customHeight="1" x14ac:dyDescent="0.4">
      <c r="A64" s="367" t="s">
        <v>121</v>
      </c>
      <c r="B64" s="368">
        <v>1</v>
      </c>
      <c r="C64" s="572" t="s">
        <v>139</v>
      </c>
      <c r="D64" s="575">
        <v>598.17999999999995</v>
      </c>
      <c r="E64" s="518">
        <v>1</v>
      </c>
      <c r="F64" s="426">
        <v>549921</v>
      </c>
      <c r="G64" s="491">
        <f>IF(ISBLANK(F64),"-",(F64/$D$50*$D$47*$B$68)*($B$57/$D$64))</f>
        <v>4.7985036685841891</v>
      </c>
      <c r="H64" s="509">
        <f t="shared" si="0"/>
        <v>95.970073371683782</v>
      </c>
    </row>
    <row r="65" spans="1:8" ht="26.25" customHeight="1" x14ac:dyDescent="0.4">
      <c r="A65" s="367" t="s">
        <v>122</v>
      </c>
      <c r="B65" s="368">
        <v>1</v>
      </c>
      <c r="C65" s="573"/>
      <c r="D65" s="576"/>
      <c r="E65" s="514">
        <v>2</v>
      </c>
      <c r="F65" s="380">
        <v>547552</v>
      </c>
      <c r="G65" s="492">
        <f>IF(ISBLANK(F65),"-",(F65/$D$50*$D$47*$B$68)*($B$57/$D$64))</f>
        <v>4.7778322354312905</v>
      </c>
      <c r="H65" s="510">
        <f t="shared" si="0"/>
        <v>95.556644708625811</v>
      </c>
    </row>
    <row r="66" spans="1:8" ht="26.25" customHeight="1" x14ac:dyDescent="0.4">
      <c r="A66" s="367" t="s">
        <v>123</v>
      </c>
      <c r="B66" s="368">
        <v>1</v>
      </c>
      <c r="C66" s="573"/>
      <c r="D66" s="576"/>
      <c r="E66" s="514">
        <v>3</v>
      </c>
      <c r="F66" s="380">
        <v>549016</v>
      </c>
      <c r="G66" s="492">
        <f>IF(ISBLANK(F66),"-",(F66/$D$50*$D$47*$B$68)*($B$57/$D$64))</f>
        <v>4.7906068146359519</v>
      </c>
      <c r="H66" s="510">
        <f t="shared" si="0"/>
        <v>95.812136292719046</v>
      </c>
    </row>
    <row r="67" spans="1:8" ht="27" customHeight="1" thickBot="1" x14ac:dyDescent="0.45">
      <c r="A67" s="367" t="s">
        <v>124</v>
      </c>
      <c r="B67" s="368">
        <v>1</v>
      </c>
      <c r="C67" s="582"/>
      <c r="D67" s="577"/>
      <c r="E67" s="515">
        <v>4</v>
      </c>
      <c r="F67" s="430"/>
      <c r="G67" s="508" t="str">
        <f>IF(ISBLANK(F67),"-",(F67/$D$50*$D$47*$B$68)*($B$57/$D$64))</f>
        <v>-</v>
      </c>
      <c r="H67" s="511" t="str">
        <f t="shared" si="0"/>
        <v>-</v>
      </c>
    </row>
    <row r="68" spans="1:8" ht="26.25" customHeight="1" x14ac:dyDescent="0.4">
      <c r="A68" s="367" t="s">
        <v>125</v>
      </c>
      <c r="B68" s="431">
        <f>(B67/B66)*(B65/B64)*(B63/B62)*(B61/B60)*B59</f>
        <v>1000</v>
      </c>
      <c r="C68" s="572" t="s">
        <v>140</v>
      </c>
      <c r="D68" s="575">
        <v>594</v>
      </c>
      <c r="E68" s="518">
        <v>1</v>
      </c>
      <c r="F68" s="426">
        <v>542733</v>
      </c>
      <c r="G68" s="491">
        <f>IF(ISBLANK(F68),"-",(F68/$D$50*$D$47*$B$68)*($B$57/$D$68))</f>
        <v>4.76910845628956</v>
      </c>
      <c r="H68" s="510">
        <f t="shared" si="0"/>
        <v>95.382169125791208</v>
      </c>
    </row>
    <row r="69" spans="1:8" ht="27" customHeight="1" thickBot="1" x14ac:dyDescent="0.45">
      <c r="A69" s="415" t="s">
        <v>141</v>
      </c>
      <c r="B69" s="432">
        <f>(D47*B68)/B56*B57</f>
        <v>593.495</v>
      </c>
      <c r="C69" s="573"/>
      <c r="D69" s="576"/>
      <c r="E69" s="514">
        <v>2</v>
      </c>
      <c r="F69" s="380">
        <v>544218</v>
      </c>
      <c r="G69" s="492">
        <f>IF(ISBLANK(F69),"-",(F69/$D$50*$D$47*$B$68)*($B$57/$D$68))</f>
        <v>4.7821574620761798</v>
      </c>
      <c r="H69" s="510">
        <f t="shared" si="0"/>
        <v>95.643149241523588</v>
      </c>
    </row>
    <row r="70" spans="1:8" ht="26.25" customHeight="1" x14ac:dyDescent="0.4">
      <c r="A70" s="578" t="s">
        <v>92</v>
      </c>
      <c r="B70" s="579"/>
      <c r="C70" s="573"/>
      <c r="D70" s="576"/>
      <c r="E70" s="514">
        <v>3</v>
      </c>
      <c r="F70" s="380">
        <v>544258</v>
      </c>
      <c r="G70" s="492">
        <f>IF(ISBLANK(F70),"-",(F70/$D$50*$D$47*$B$68)*($B$57/$D$68))</f>
        <v>4.7825089504475375</v>
      </c>
      <c r="H70" s="510">
        <f t="shared" si="0"/>
        <v>95.650179008950758</v>
      </c>
    </row>
    <row r="71" spans="1:8" ht="27" customHeight="1" thickBot="1" x14ac:dyDescent="0.45">
      <c r="A71" s="580"/>
      <c r="B71" s="581"/>
      <c r="C71" s="574"/>
      <c r="D71" s="577"/>
      <c r="E71" s="515">
        <v>4</v>
      </c>
      <c r="F71" s="430"/>
      <c r="G71" s="508" t="str">
        <f>IF(ISBLANK(F71),"-",(F71/$D$50*$D$47*$B$68)*($B$57/$D$68))</f>
        <v>-</v>
      </c>
      <c r="H71" s="511" t="str">
        <f t="shared" si="0"/>
        <v>-</v>
      </c>
    </row>
    <row r="72" spans="1:8" ht="26.25" customHeight="1" x14ac:dyDescent="0.4">
      <c r="A72" s="460"/>
      <c r="B72" s="460"/>
      <c r="C72" s="460"/>
      <c r="D72" s="460"/>
      <c r="E72" s="460"/>
      <c r="F72" s="435" t="s">
        <v>85</v>
      </c>
      <c r="G72" s="497">
        <f>AVERAGE(G60:G71)</f>
        <v>4.7893038662634018</v>
      </c>
      <c r="H72" s="512">
        <f>AVERAGE(H60:H71)</f>
        <v>95.786077325268039</v>
      </c>
    </row>
    <row r="73" spans="1:8" ht="26.25" customHeight="1" x14ac:dyDescent="0.4">
      <c r="C73" s="460"/>
      <c r="D73" s="460"/>
      <c r="E73" s="460"/>
      <c r="F73" s="436" t="s">
        <v>60</v>
      </c>
      <c r="G73" s="499">
        <f>STDEV(G60:G71)/G72</f>
        <v>2.8812153230405031E-3</v>
      </c>
      <c r="H73" s="499">
        <f>STDEV(H60:H71)/H72</f>
        <v>2.8812153230404866E-3</v>
      </c>
    </row>
    <row r="74" spans="1:8" ht="27" customHeight="1" thickBot="1" x14ac:dyDescent="0.45">
      <c r="A74" s="460"/>
      <c r="B74" s="460"/>
      <c r="C74" s="460"/>
      <c r="D74" s="460"/>
      <c r="E74" s="437"/>
      <c r="F74" s="438" t="s">
        <v>20</v>
      </c>
      <c r="G74" s="439">
        <f>COUNT(G60:G71)</f>
        <v>9</v>
      </c>
      <c r="H74" s="439">
        <f>COUNT(H60:H71)</f>
        <v>9</v>
      </c>
    </row>
    <row r="76" spans="1:8" ht="26.25" customHeight="1" x14ac:dyDescent="0.4">
      <c r="A76" s="483" t="s">
        <v>142</v>
      </c>
      <c r="B76" s="452" t="s">
        <v>105</v>
      </c>
      <c r="C76" s="563" t="str">
        <f>B26</f>
        <v>Glibenclamide</v>
      </c>
      <c r="D76" s="563"/>
      <c r="E76" s="441" t="s">
        <v>106</v>
      </c>
      <c r="F76" s="441"/>
      <c r="G76" s="442">
        <f>H72</f>
        <v>95.786077325268039</v>
      </c>
      <c r="H76" s="527"/>
    </row>
    <row r="77" spans="1:8" ht="18.75" x14ac:dyDescent="0.3">
      <c r="A77" s="350" t="s">
        <v>108</v>
      </c>
      <c r="B77" s="350" t="s">
        <v>109</v>
      </c>
    </row>
    <row r="78" spans="1:8" ht="18.75" x14ac:dyDescent="0.3">
      <c r="A78" s="350"/>
      <c r="B78" s="350"/>
    </row>
    <row r="79" spans="1:8" ht="26.25" customHeight="1" x14ac:dyDescent="0.4">
      <c r="A79" s="483" t="s">
        <v>4</v>
      </c>
      <c r="B79" s="551" t="str">
        <f>B26</f>
        <v>Glibenclamide</v>
      </c>
      <c r="C79" s="551"/>
    </row>
    <row r="80" spans="1:8" ht="26.25" customHeight="1" x14ac:dyDescent="0.4">
      <c r="A80" s="452" t="s">
        <v>63</v>
      </c>
      <c r="B80" s="551" t="str">
        <f>B27</f>
        <v>G23-1</v>
      </c>
      <c r="C80" s="551"/>
    </row>
    <row r="81" spans="1:12" ht="27" customHeight="1" thickBot="1" x14ac:dyDescent="0.45">
      <c r="A81" s="452" t="s">
        <v>6</v>
      </c>
      <c r="B81" s="444">
        <f>B28</f>
        <v>99.8</v>
      </c>
    </row>
    <row r="82" spans="1:12" s="16" customFormat="1" ht="27" customHeight="1" thickBot="1" x14ac:dyDescent="0.45">
      <c r="A82" s="452" t="s">
        <v>64</v>
      </c>
      <c r="B82" s="354">
        <v>0</v>
      </c>
      <c r="C82" s="568" t="s">
        <v>110</v>
      </c>
      <c r="D82" s="569"/>
      <c r="E82" s="569"/>
      <c r="F82" s="569"/>
      <c r="G82" s="570"/>
      <c r="I82" s="355"/>
      <c r="J82" s="355"/>
      <c r="K82" s="355"/>
      <c r="L82" s="355"/>
    </row>
    <row r="83" spans="1:12" s="16" customFormat="1" ht="19.5" customHeight="1" thickBot="1" x14ac:dyDescent="0.35">
      <c r="A83" s="452" t="s">
        <v>66</v>
      </c>
      <c r="B83" s="527">
        <f>B81-B82</f>
        <v>99.8</v>
      </c>
      <c r="C83" s="357"/>
      <c r="D83" s="357"/>
      <c r="E83" s="357"/>
      <c r="F83" s="357"/>
      <c r="G83" s="358"/>
      <c r="I83" s="355"/>
      <c r="J83" s="355"/>
      <c r="K83" s="355"/>
      <c r="L83" s="355"/>
    </row>
    <row r="84" spans="1:12" s="16" customFormat="1" ht="27" customHeight="1" thickBot="1" x14ac:dyDescent="0.45">
      <c r="A84" s="452" t="s">
        <v>67</v>
      </c>
      <c r="B84" s="359">
        <v>1</v>
      </c>
      <c r="C84" s="555" t="s">
        <v>143</v>
      </c>
      <c r="D84" s="556"/>
      <c r="E84" s="556"/>
      <c r="F84" s="556"/>
      <c r="G84" s="556"/>
      <c r="H84" s="557"/>
      <c r="I84" s="355"/>
      <c r="J84" s="355"/>
      <c r="K84" s="355"/>
      <c r="L84" s="355"/>
    </row>
    <row r="85" spans="1:12" s="16" customFormat="1" ht="27" customHeight="1" thickBot="1" x14ac:dyDescent="0.45">
      <c r="A85" s="452" t="s">
        <v>69</v>
      </c>
      <c r="B85" s="359">
        <v>1</v>
      </c>
      <c r="C85" s="555" t="s">
        <v>144</v>
      </c>
      <c r="D85" s="556"/>
      <c r="E85" s="556"/>
      <c r="F85" s="556"/>
      <c r="G85" s="556"/>
      <c r="H85" s="557"/>
      <c r="I85" s="355"/>
      <c r="J85" s="355"/>
      <c r="K85" s="355"/>
      <c r="L85" s="355"/>
    </row>
    <row r="86" spans="1:12" s="16" customFormat="1" ht="18.75" x14ac:dyDescent="0.3">
      <c r="A86" s="452"/>
      <c r="B86" s="362"/>
      <c r="C86" s="363"/>
      <c r="D86" s="363"/>
      <c r="E86" s="363"/>
      <c r="F86" s="363"/>
      <c r="G86" s="363"/>
      <c r="H86" s="363"/>
      <c r="I86" s="355"/>
      <c r="J86" s="355"/>
      <c r="K86" s="355"/>
      <c r="L86" s="355"/>
    </row>
    <row r="87" spans="1:12" s="16" customFormat="1" ht="18.75" x14ac:dyDescent="0.3">
      <c r="A87" s="452" t="s">
        <v>71</v>
      </c>
      <c r="B87" s="364">
        <f>B84/B85</f>
        <v>1</v>
      </c>
      <c r="C87" s="441" t="s">
        <v>72</v>
      </c>
      <c r="D87" s="441"/>
      <c r="E87" s="441"/>
      <c r="F87" s="441"/>
      <c r="G87" s="441"/>
      <c r="I87" s="355"/>
      <c r="J87" s="355"/>
      <c r="K87" s="355"/>
      <c r="L87" s="355"/>
    </row>
    <row r="88" spans="1:12" ht="19.5" customHeight="1" thickBot="1" x14ac:dyDescent="0.35">
      <c r="A88" s="350"/>
      <c r="B88" s="350"/>
    </row>
    <row r="89" spans="1:12" ht="27" customHeight="1" thickBot="1" x14ac:dyDescent="0.45">
      <c r="A89" s="365" t="s">
        <v>128</v>
      </c>
      <c r="B89" s="366">
        <v>50</v>
      </c>
      <c r="D89" s="525" t="s">
        <v>74</v>
      </c>
      <c r="E89" s="526"/>
      <c r="F89" s="547" t="s">
        <v>75</v>
      </c>
      <c r="G89" s="548"/>
    </row>
    <row r="90" spans="1:12" ht="27" customHeight="1" thickBot="1" x14ac:dyDescent="0.45">
      <c r="A90" s="367" t="s">
        <v>76</v>
      </c>
      <c r="B90" s="368">
        <v>2</v>
      </c>
      <c r="C90" s="528" t="s">
        <v>77</v>
      </c>
      <c r="D90" s="370" t="s">
        <v>78</v>
      </c>
      <c r="E90" s="371" t="s">
        <v>79</v>
      </c>
      <c r="F90" s="370" t="s">
        <v>78</v>
      </c>
      <c r="G90" s="448" t="s">
        <v>79</v>
      </c>
      <c r="I90" s="373" t="s">
        <v>129</v>
      </c>
    </row>
    <row r="91" spans="1:12" ht="26.25" customHeight="1" x14ac:dyDescent="0.4">
      <c r="A91" s="367" t="s">
        <v>80</v>
      </c>
      <c r="B91" s="368">
        <v>100</v>
      </c>
      <c r="C91" s="449">
        <v>1</v>
      </c>
      <c r="D91" s="375">
        <v>545956</v>
      </c>
      <c r="E91" s="376">
        <f>IF(ISBLANK(D91),"-",$D$101/$D$98*D91)</f>
        <v>570319.12030900829</v>
      </c>
      <c r="F91" s="375">
        <v>579374</v>
      </c>
      <c r="G91" s="377">
        <f>IF(ISBLANK(F91),"-",$D$101/$F$98*F91)</f>
        <v>562970.39385209524</v>
      </c>
      <c r="I91" s="378"/>
    </row>
    <row r="92" spans="1:12" ht="26.25" customHeight="1" x14ac:dyDescent="0.4">
      <c r="A92" s="367" t="s">
        <v>81</v>
      </c>
      <c r="B92" s="368">
        <v>1</v>
      </c>
      <c r="C92" s="460">
        <v>2</v>
      </c>
      <c r="D92" s="380">
        <v>548277</v>
      </c>
      <c r="E92" s="381">
        <f>IF(ISBLANK(D92),"-",$D$101/$D$98*D92)</f>
        <v>572743.69422748743</v>
      </c>
      <c r="F92" s="380">
        <v>581030</v>
      </c>
      <c r="G92" s="382">
        <f>IF(ISBLANK(F92),"-",$D$101/$F$98*F92)</f>
        <v>564579.50812408375</v>
      </c>
      <c r="I92" s="571">
        <f>ABS((F96/D96*D95)-F95)/D95</f>
        <v>1.3539006454119699E-2</v>
      </c>
    </row>
    <row r="93" spans="1:12" ht="26.25" customHeight="1" x14ac:dyDescent="0.4">
      <c r="A93" s="367" t="s">
        <v>82</v>
      </c>
      <c r="B93" s="368">
        <v>1</v>
      </c>
      <c r="C93" s="460">
        <v>3</v>
      </c>
      <c r="D93" s="380">
        <v>548829</v>
      </c>
      <c r="E93" s="381">
        <f>IF(ISBLANK(D93),"-",$D$101/$D$98*D93)</f>
        <v>573320.32705945661</v>
      </c>
      <c r="F93" s="380">
        <v>583745</v>
      </c>
      <c r="G93" s="382">
        <f>IF(ISBLANK(F93),"-",$D$101/$F$98*F93)</f>
        <v>567217.63931276056</v>
      </c>
      <c r="I93" s="571"/>
    </row>
    <row r="94" spans="1:12" ht="27" customHeight="1" thickBot="1" x14ac:dyDescent="0.45">
      <c r="A94" s="367" t="s">
        <v>83</v>
      </c>
      <c r="B94" s="368">
        <v>1</v>
      </c>
      <c r="C94" s="450">
        <v>4</v>
      </c>
      <c r="D94" s="385"/>
      <c r="E94" s="386" t="str">
        <f>IF(ISBLANK(D94),"-",$D$101/$D$98*D94)</f>
        <v>-</v>
      </c>
      <c r="F94" s="451"/>
      <c r="G94" s="387" t="str">
        <f>IF(ISBLANK(F94),"-",$D$101/$F$98*F94)</f>
        <v>-</v>
      </c>
      <c r="I94" s="388"/>
    </row>
    <row r="95" spans="1:12" ht="27" customHeight="1" thickBot="1" x14ac:dyDescent="0.45">
      <c r="A95" s="367" t="s">
        <v>84</v>
      </c>
      <c r="B95" s="368">
        <v>1</v>
      </c>
      <c r="C95" s="452" t="s">
        <v>85</v>
      </c>
      <c r="D95" s="453">
        <f>AVERAGE(D91:D94)</f>
        <v>547687.33333333337</v>
      </c>
      <c r="E95" s="391">
        <f>AVERAGE(E91:E94)</f>
        <v>572127.7138653174</v>
      </c>
      <c r="F95" s="454">
        <f>AVERAGE(F91:F94)</f>
        <v>581383</v>
      </c>
      <c r="G95" s="455">
        <f>AVERAGE(G91:G94)</f>
        <v>564922.51376297977</v>
      </c>
    </row>
    <row r="96" spans="1:12" ht="26.25" customHeight="1" x14ac:dyDescent="0.4">
      <c r="A96" s="367" t="s">
        <v>86</v>
      </c>
      <c r="B96" s="444">
        <v>1</v>
      </c>
      <c r="C96" s="456" t="s">
        <v>87</v>
      </c>
      <c r="D96" s="457">
        <v>11.99</v>
      </c>
      <c r="E96" s="441"/>
      <c r="F96" s="395">
        <v>12.89</v>
      </c>
    </row>
    <row r="97" spans="1:10" ht="26.25" customHeight="1" x14ac:dyDescent="0.4">
      <c r="A97" s="367" t="s">
        <v>88</v>
      </c>
      <c r="B97" s="444">
        <v>1</v>
      </c>
      <c r="C97" s="458" t="s">
        <v>89</v>
      </c>
      <c r="D97" s="459">
        <f>D96*$B$87</f>
        <v>11.99</v>
      </c>
      <c r="E97" s="460"/>
      <c r="F97" s="397">
        <f>F96*$B$87</f>
        <v>12.89</v>
      </c>
    </row>
    <row r="98" spans="1:10" ht="19.5" customHeight="1" thickBot="1" x14ac:dyDescent="0.35">
      <c r="A98" s="367" t="s">
        <v>90</v>
      </c>
      <c r="B98" s="460">
        <f>(B97/B96)*(B95/B94)*(B93/B92)*(B91/B90)*B89</f>
        <v>2500</v>
      </c>
      <c r="C98" s="458" t="s">
        <v>145</v>
      </c>
      <c r="D98" s="461">
        <f>D97*$B$83/100</f>
        <v>11.96602</v>
      </c>
      <c r="E98" s="437"/>
      <c r="F98" s="400">
        <f>F97*$B$83/100</f>
        <v>12.86422</v>
      </c>
    </row>
    <row r="99" spans="1:10" ht="19.5" customHeight="1" thickBot="1" x14ac:dyDescent="0.35">
      <c r="A99" s="559" t="s">
        <v>92</v>
      </c>
      <c r="B99" s="564"/>
      <c r="C99" s="458" t="s">
        <v>146</v>
      </c>
      <c r="D99" s="462">
        <f>D98/$B$98</f>
        <v>4.7864079999999998E-3</v>
      </c>
      <c r="E99" s="437"/>
      <c r="F99" s="404">
        <f>F98/$B$98</f>
        <v>5.1456879999999998E-3</v>
      </c>
      <c r="H99" s="393"/>
    </row>
    <row r="100" spans="1:10" ht="19.5" customHeight="1" thickBot="1" x14ac:dyDescent="0.35">
      <c r="A100" s="561"/>
      <c r="B100" s="565"/>
      <c r="C100" s="458" t="s">
        <v>132</v>
      </c>
      <c r="D100" s="464">
        <f>$B$56/$B$116</f>
        <v>5.0000000000000001E-3</v>
      </c>
      <c r="F100" s="409"/>
      <c r="G100" s="471"/>
      <c r="H100" s="393"/>
    </row>
    <row r="101" spans="1:10" ht="18.75" x14ac:dyDescent="0.3">
      <c r="C101" s="458" t="s">
        <v>95</v>
      </c>
      <c r="D101" s="459">
        <f>D100*$B$98</f>
        <v>12.5</v>
      </c>
      <c r="F101" s="409"/>
      <c r="H101" s="393"/>
    </row>
    <row r="102" spans="1:10" ht="19.5" customHeight="1" thickBot="1" x14ac:dyDescent="0.35">
      <c r="C102" s="466" t="s">
        <v>96</v>
      </c>
      <c r="D102" s="467">
        <f>D101/B34</f>
        <v>12.5</v>
      </c>
      <c r="F102" s="413"/>
      <c r="H102" s="393"/>
      <c r="J102" s="468"/>
    </row>
    <row r="103" spans="1:10" ht="18.75" x14ac:dyDescent="0.3">
      <c r="C103" s="469" t="s">
        <v>147</v>
      </c>
      <c r="D103" s="470">
        <f>AVERAGE(E91:E94,G91:G94)</f>
        <v>568525.11381414859</v>
      </c>
      <c r="F103" s="413"/>
      <c r="G103" s="471"/>
      <c r="H103" s="393"/>
      <c r="J103" s="472"/>
    </row>
    <row r="104" spans="1:10" ht="18.75" x14ac:dyDescent="0.3">
      <c r="C104" s="436" t="s">
        <v>60</v>
      </c>
      <c r="D104" s="473">
        <f>STDEV(E91:E94,G91:G94)/D103</f>
        <v>7.550786253182255E-3</v>
      </c>
      <c r="F104" s="413"/>
      <c r="H104" s="393"/>
      <c r="J104" s="472"/>
    </row>
    <row r="105" spans="1:10" ht="19.5" customHeight="1" thickBot="1" x14ac:dyDescent="0.35">
      <c r="C105" s="438" t="s">
        <v>20</v>
      </c>
      <c r="D105" s="474">
        <f>COUNT(E91:E94,G91:G94)</f>
        <v>6</v>
      </c>
      <c r="F105" s="413"/>
      <c r="H105" s="393"/>
      <c r="J105" s="472"/>
    </row>
    <row r="106" spans="1:10" ht="19.5" customHeight="1" thickBot="1" x14ac:dyDescent="0.35">
      <c r="A106" s="417"/>
      <c r="B106" s="417"/>
      <c r="C106" s="417"/>
      <c r="D106" s="417"/>
      <c r="E106" s="417"/>
    </row>
    <row r="107" spans="1:10" ht="27" customHeight="1" thickBot="1" x14ac:dyDescent="0.45">
      <c r="A107" s="365" t="s">
        <v>113</v>
      </c>
      <c r="B107" s="366">
        <v>500</v>
      </c>
      <c r="C107" s="513" t="s">
        <v>148</v>
      </c>
      <c r="D107" s="513" t="s">
        <v>78</v>
      </c>
      <c r="E107" s="513" t="s">
        <v>115</v>
      </c>
      <c r="F107" s="475" t="s">
        <v>116</v>
      </c>
    </row>
    <row r="108" spans="1:10" ht="26.25" customHeight="1" x14ac:dyDescent="0.4">
      <c r="A108" s="367" t="s">
        <v>117</v>
      </c>
      <c r="B108" s="368">
        <v>5</v>
      </c>
      <c r="C108" s="518">
        <v>1</v>
      </c>
      <c r="D108" s="519">
        <v>550861</v>
      </c>
      <c r="E108" s="493">
        <f t="shared" ref="E108:E113" si="1">IF(ISBLANK(D108),"-",D108/$D$103*$D$100*$B$116)</f>
        <v>4.8446496611588294</v>
      </c>
      <c r="F108" s="520">
        <f t="shared" ref="F108:F113" si="2">IF(ISBLANK(D108), "-", (E108/$B$56)*100)</f>
        <v>96.892993223176589</v>
      </c>
    </row>
    <row r="109" spans="1:10" ht="26.25" customHeight="1" x14ac:dyDescent="0.4">
      <c r="A109" s="367" t="s">
        <v>118</v>
      </c>
      <c r="B109" s="368">
        <v>10</v>
      </c>
      <c r="C109" s="514">
        <v>2</v>
      </c>
      <c r="D109" s="516">
        <v>552111</v>
      </c>
      <c r="E109" s="494">
        <f t="shared" si="1"/>
        <v>4.8556430189686015</v>
      </c>
      <c r="F109" s="523">
        <f t="shared" si="2"/>
        <v>97.112860379372037</v>
      </c>
    </row>
    <row r="110" spans="1:10" ht="26.25" customHeight="1" x14ac:dyDescent="0.4">
      <c r="A110" s="367" t="s">
        <v>119</v>
      </c>
      <c r="B110" s="368">
        <v>1</v>
      </c>
      <c r="C110" s="514">
        <v>3</v>
      </c>
      <c r="D110" s="516">
        <v>556117</v>
      </c>
      <c r="E110" s="494">
        <f t="shared" si="1"/>
        <v>4.8908745320773566</v>
      </c>
      <c r="F110" s="523">
        <f t="shared" si="2"/>
        <v>97.817490641547138</v>
      </c>
    </row>
    <row r="111" spans="1:10" ht="26.25" customHeight="1" x14ac:dyDescent="0.4">
      <c r="A111" s="367" t="s">
        <v>120</v>
      </c>
      <c r="B111" s="368">
        <v>1</v>
      </c>
      <c r="C111" s="514">
        <v>4</v>
      </c>
      <c r="D111" s="516">
        <v>553729</v>
      </c>
      <c r="E111" s="494">
        <f t="shared" si="1"/>
        <v>4.8698728213175695</v>
      </c>
      <c r="F111" s="523">
        <f t="shared" si="2"/>
        <v>97.397456426351397</v>
      </c>
    </row>
    <row r="112" spans="1:10" ht="26.25" customHeight="1" x14ac:dyDescent="0.4">
      <c r="A112" s="367" t="s">
        <v>121</v>
      </c>
      <c r="B112" s="368">
        <v>1</v>
      </c>
      <c r="C112" s="514">
        <v>5</v>
      </c>
      <c r="D112" s="516">
        <v>550529</v>
      </c>
      <c r="E112" s="494">
        <f t="shared" si="1"/>
        <v>4.8417298253245544</v>
      </c>
      <c r="F112" s="523">
        <f t="shared" si="2"/>
        <v>96.834596506491096</v>
      </c>
    </row>
    <row r="113" spans="1:10" ht="27" customHeight="1" thickBot="1" x14ac:dyDescent="0.45">
      <c r="A113" s="367" t="s">
        <v>122</v>
      </c>
      <c r="B113" s="368">
        <v>1</v>
      </c>
      <c r="C113" s="515">
        <v>6</v>
      </c>
      <c r="D113" s="517">
        <v>548336</v>
      </c>
      <c r="E113" s="495">
        <f t="shared" si="1"/>
        <v>4.8224430783830918</v>
      </c>
      <c r="F113" s="522">
        <f t="shared" si="2"/>
        <v>96.448861567661837</v>
      </c>
    </row>
    <row r="114" spans="1:10" ht="27" customHeight="1" thickBot="1" x14ac:dyDescent="0.45">
      <c r="A114" s="367" t="s">
        <v>123</v>
      </c>
      <c r="B114" s="368">
        <v>1</v>
      </c>
      <c r="C114" s="476"/>
      <c r="D114" s="460"/>
      <c r="E114" s="441"/>
      <c r="F114" s="523"/>
    </row>
    <row r="115" spans="1:10" ht="26.25" customHeight="1" x14ac:dyDescent="0.4">
      <c r="A115" s="367" t="s">
        <v>124</v>
      </c>
      <c r="B115" s="368">
        <v>1</v>
      </c>
      <c r="C115" s="476"/>
      <c r="D115" s="500" t="s">
        <v>85</v>
      </c>
      <c r="E115" s="502">
        <f>AVERAGE(E108:E113)</f>
        <v>4.8542021562050008</v>
      </c>
      <c r="F115" s="530">
        <f>AVERAGE(F108:F113)</f>
        <v>97.084043124100006</v>
      </c>
    </row>
    <row r="116" spans="1:10" ht="27" customHeight="1" thickBot="1" x14ac:dyDescent="0.45">
      <c r="A116" s="367" t="s">
        <v>125</v>
      </c>
      <c r="B116" s="399">
        <f>(B115/B114)*(B113/B112)*(B111/B110)*(B109/B108)*B107</f>
        <v>1000</v>
      </c>
      <c r="C116" s="477"/>
      <c r="D116" s="501" t="s">
        <v>60</v>
      </c>
      <c r="E116" s="499">
        <f>STDEV(E108:E113)/E115</f>
        <v>4.9165885862020014E-3</v>
      </c>
      <c r="F116" s="478">
        <f>STDEV(F108:F113)/F115</f>
        <v>4.9165885862020283E-3</v>
      </c>
      <c r="I116" s="441"/>
    </row>
    <row r="117" spans="1:10" ht="27" customHeight="1" thickBot="1" x14ac:dyDescent="0.45">
      <c r="A117" s="559" t="s">
        <v>92</v>
      </c>
      <c r="B117" s="560"/>
      <c r="C117" s="479"/>
      <c r="D117" s="438" t="s">
        <v>20</v>
      </c>
      <c r="E117" s="504">
        <f>COUNT(E108:E113)</f>
        <v>6</v>
      </c>
      <c r="F117" s="505">
        <f>COUNT(F108:F113)</f>
        <v>6</v>
      </c>
      <c r="I117" s="441"/>
      <c r="J117" s="472"/>
    </row>
    <row r="118" spans="1:10" ht="26.25" customHeight="1" thickBot="1" x14ac:dyDescent="0.35">
      <c r="A118" s="561"/>
      <c r="B118" s="562"/>
      <c r="C118" s="441"/>
      <c r="D118" s="503"/>
      <c r="E118" s="583" t="s">
        <v>149</v>
      </c>
      <c r="F118" s="584"/>
      <c r="G118" s="441"/>
      <c r="H118" s="441"/>
      <c r="I118" s="441"/>
    </row>
    <row r="119" spans="1:10" ht="25.5" customHeight="1" x14ac:dyDescent="0.4">
      <c r="A119" s="488"/>
      <c r="B119" s="363"/>
      <c r="C119" s="441"/>
      <c r="D119" s="501" t="s">
        <v>150</v>
      </c>
      <c r="E119" s="506">
        <f>MIN(E108:E113)</f>
        <v>4.8224430783830918</v>
      </c>
      <c r="F119" s="531">
        <f>MIN(F108:F113)</f>
        <v>96.448861567661837</v>
      </c>
      <c r="G119" s="441"/>
      <c r="H119" s="441"/>
      <c r="I119" s="441"/>
    </row>
    <row r="120" spans="1:10" ht="24" customHeight="1" thickBot="1" x14ac:dyDescent="0.45">
      <c r="A120" s="488"/>
      <c r="B120" s="363"/>
      <c r="C120" s="441"/>
      <c r="D120" s="410" t="s">
        <v>151</v>
      </c>
      <c r="E120" s="507">
        <f>MAX(E108:E113)</f>
        <v>4.8908745320773566</v>
      </c>
      <c r="F120" s="532">
        <f>MAX(F108:F113)</f>
        <v>97.817490641547138</v>
      </c>
      <c r="G120" s="441"/>
      <c r="H120" s="441"/>
      <c r="I120" s="441"/>
    </row>
    <row r="121" spans="1:10" ht="27" customHeight="1" x14ac:dyDescent="0.3">
      <c r="A121" s="488"/>
      <c r="B121" s="363"/>
      <c r="C121" s="441"/>
      <c r="D121" s="441"/>
      <c r="E121" s="441"/>
      <c r="F121" s="460"/>
      <c r="G121" s="441"/>
      <c r="H121" s="441"/>
      <c r="I121" s="441"/>
    </row>
    <row r="122" spans="1:10" ht="25.5" customHeight="1" x14ac:dyDescent="0.3">
      <c r="A122" s="488"/>
      <c r="B122" s="363"/>
      <c r="C122" s="441"/>
      <c r="D122" s="441"/>
      <c r="E122" s="441"/>
      <c r="F122" s="460"/>
      <c r="G122" s="441"/>
      <c r="H122" s="441"/>
      <c r="I122" s="441"/>
    </row>
    <row r="123" spans="1:10" ht="18.75" x14ac:dyDescent="0.3">
      <c r="A123" s="488"/>
      <c r="B123" s="363"/>
      <c r="C123" s="441"/>
      <c r="D123" s="441"/>
      <c r="E123" s="441"/>
      <c r="F123" s="460"/>
      <c r="G123" s="441"/>
      <c r="H123" s="441"/>
      <c r="I123" s="441"/>
    </row>
    <row r="124" spans="1:10" ht="45.75" customHeight="1" x14ac:dyDescent="0.65">
      <c r="A124" s="483" t="s">
        <v>142</v>
      </c>
      <c r="B124" s="452" t="s">
        <v>126</v>
      </c>
      <c r="C124" s="563" t="str">
        <f>B26</f>
        <v>Glibenclamide</v>
      </c>
      <c r="D124" s="563"/>
      <c r="E124" s="441" t="s">
        <v>127</v>
      </c>
      <c r="F124" s="441"/>
      <c r="G124" s="533">
        <f>F115</f>
        <v>97.084043124100006</v>
      </c>
      <c r="H124" s="441"/>
      <c r="I124" s="441"/>
    </row>
    <row r="125" spans="1:10" ht="45.75" customHeight="1" x14ac:dyDescent="0.65">
      <c r="A125" s="483"/>
      <c r="B125" s="452" t="s">
        <v>152</v>
      </c>
      <c r="C125" s="452" t="s">
        <v>153</v>
      </c>
      <c r="D125" s="533">
        <f>MIN(F108:F113)</f>
        <v>96.448861567661837</v>
      </c>
      <c r="E125" s="452" t="s">
        <v>154</v>
      </c>
      <c r="F125" s="533">
        <f>MAX(F108:F113)</f>
        <v>97.817490641547138</v>
      </c>
      <c r="G125" s="442"/>
      <c r="H125" s="441"/>
      <c r="I125" s="441"/>
    </row>
    <row r="126" spans="1:10" ht="19.5" customHeight="1" thickBot="1" x14ac:dyDescent="0.35">
      <c r="A126" s="529"/>
      <c r="B126" s="529"/>
      <c r="C126" s="481"/>
      <c r="D126" s="481"/>
      <c r="E126" s="481"/>
      <c r="F126" s="481"/>
      <c r="G126" s="481"/>
      <c r="H126" s="481"/>
    </row>
    <row r="127" spans="1:10" ht="18.75" x14ac:dyDescent="0.3">
      <c r="B127" s="546" t="s">
        <v>26</v>
      </c>
      <c r="C127" s="546"/>
      <c r="E127" s="528" t="s">
        <v>27</v>
      </c>
      <c r="F127" s="482"/>
      <c r="G127" s="546" t="s">
        <v>28</v>
      </c>
      <c r="H127" s="546"/>
    </row>
    <row r="128" spans="1:10" ht="69.95" customHeight="1" x14ac:dyDescent="0.3">
      <c r="A128" s="483" t="s">
        <v>29</v>
      </c>
      <c r="B128" s="485"/>
      <c r="C128" s="485"/>
      <c r="E128" s="485"/>
      <c r="F128" s="441"/>
      <c r="G128" s="485"/>
      <c r="H128" s="485"/>
    </row>
    <row r="129" spans="1:9" ht="69.95" customHeight="1" x14ac:dyDescent="0.3">
      <c r="A129" s="483" t="s">
        <v>30</v>
      </c>
      <c r="B129" s="486"/>
      <c r="C129" s="486"/>
      <c r="E129" s="486"/>
      <c r="F129" s="441"/>
      <c r="G129" s="487"/>
      <c r="H129" s="487"/>
    </row>
    <row r="130" spans="1:9" ht="18.75" x14ac:dyDescent="0.3">
      <c r="A130" s="460"/>
      <c r="B130" s="460"/>
      <c r="C130" s="460"/>
      <c r="D130" s="460"/>
      <c r="E130" s="460"/>
      <c r="F130" s="437"/>
      <c r="G130" s="460"/>
      <c r="H130" s="460"/>
      <c r="I130" s="441"/>
    </row>
    <row r="131" spans="1:9" ht="18.75" x14ac:dyDescent="0.3">
      <c r="A131" s="460"/>
      <c r="B131" s="460"/>
      <c r="C131" s="460"/>
      <c r="D131" s="460"/>
      <c r="E131" s="460"/>
      <c r="F131" s="437"/>
      <c r="G131" s="460"/>
      <c r="H131" s="460"/>
      <c r="I131" s="441"/>
    </row>
    <row r="132" spans="1:9" ht="18.75" x14ac:dyDescent="0.3">
      <c r="A132" s="460"/>
      <c r="B132" s="460"/>
      <c r="C132" s="460"/>
      <c r="D132" s="460"/>
      <c r="E132" s="460"/>
      <c r="F132" s="437"/>
      <c r="G132" s="460"/>
      <c r="H132" s="460"/>
      <c r="I132" s="441"/>
    </row>
    <row r="133" spans="1:9" ht="18.75" x14ac:dyDescent="0.3">
      <c r="A133" s="460"/>
      <c r="B133" s="460"/>
      <c r="C133" s="460"/>
      <c r="D133" s="460"/>
      <c r="E133" s="460"/>
      <c r="F133" s="437"/>
      <c r="G133" s="460"/>
      <c r="H133" s="460"/>
      <c r="I133" s="441"/>
    </row>
    <row r="134" spans="1:9" ht="18.75" x14ac:dyDescent="0.3">
      <c r="A134" s="460"/>
      <c r="B134" s="460"/>
      <c r="C134" s="460"/>
      <c r="D134" s="460"/>
      <c r="E134" s="460"/>
      <c r="F134" s="437"/>
      <c r="G134" s="460"/>
      <c r="H134" s="460"/>
      <c r="I134" s="441"/>
    </row>
    <row r="135" spans="1:9" ht="18.75" x14ac:dyDescent="0.3">
      <c r="A135" s="460"/>
      <c r="B135" s="460"/>
      <c r="C135" s="460"/>
      <c r="D135" s="460"/>
      <c r="E135" s="460"/>
      <c r="F135" s="437"/>
      <c r="G135" s="460"/>
      <c r="H135" s="460"/>
      <c r="I135" s="441"/>
    </row>
    <row r="136" spans="1:9" ht="18.75" x14ac:dyDescent="0.3">
      <c r="A136" s="460"/>
      <c r="B136" s="460"/>
      <c r="C136" s="460"/>
      <c r="D136" s="460"/>
      <c r="E136" s="460"/>
      <c r="F136" s="437"/>
      <c r="G136" s="460"/>
      <c r="H136" s="460"/>
      <c r="I136" s="441"/>
    </row>
    <row r="137" spans="1:9" ht="18.75" x14ac:dyDescent="0.3">
      <c r="A137" s="460"/>
      <c r="B137" s="460"/>
      <c r="C137" s="460"/>
      <c r="D137" s="460"/>
      <c r="E137" s="460"/>
      <c r="F137" s="437"/>
      <c r="G137" s="460"/>
      <c r="H137" s="460"/>
      <c r="I137" s="441"/>
    </row>
    <row r="138" spans="1:9" ht="18.75" x14ac:dyDescent="0.3">
      <c r="A138" s="460"/>
      <c r="B138" s="460"/>
      <c r="C138" s="460"/>
      <c r="D138" s="460"/>
      <c r="E138" s="460"/>
      <c r="F138" s="437"/>
      <c r="G138" s="460"/>
      <c r="H138" s="460"/>
      <c r="I138" s="441"/>
    </row>
    <row r="250" spans="1:1" x14ac:dyDescent="0.25">
      <c r="A250" s="46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Metformin HCL</vt:lpstr>
      <vt:lpstr>SST Glibenclamide</vt:lpstr>
      <vt:lpstr>Uniformity</vt:lpstr>
      <vt:lpstr>Metformin Hydrochloride WV</vt:lpstr>
      <vt:lpstr>Glibenclamide UC</vt:lpstr>
      <vt:lpstr>Metformin Hydrochloride Assay</vt:lpstr>
      <vt:lpstr>Glibenclamide Assay</vt:lpstr>
      <vt:lpstr>'Glibenclamide Assay'!Print_Area</vt:lpstr>
      <vt:lpstr>'Glibenclamide UC'!Print_Area</vt:lpstr>
      <vt:lpstr>'Metformin Hydrochloride Assay'!Print_Area</vt:lpstr>
      <vt:lpstr>'Metformin Hydrochloride WV'!Print_Area</vt:lpstr>
      <vt:lpstr>'SST Glibenclamide'!Print_Area</vt:lpstr>
      <vt:lpstr>'SST Metformin HCL'!Print_Area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2017-01-27T12:15:43Z</cp:lastPrinted>
  <dcterms:created xsi:type="dcterms:W3CDTF">2005-07-05T10:19:27Z</dcterms:created>
  <dcterms:modified xsi:type="dcterms:W3CDTF">2017-01-27T12:15:59Z</dcterms:modified>
</cp:coreProperties>
</file>