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Glimepiride-U-Content" sheetId="3" r:id="rId3"/>
    <sheet name="Glimepiride-Assay" sheetId="4" r:id="rId4"/>
  </sheets>
  <externalReferences>
    <externalReference r:id="rId5"/>
  </externalReferences>
  <definedNames>
    <definedName name="_xlnm.Print_Area" localSheetId="3">'Glimepiride-Assay'!$A$1:$I$129</definedName>
    <definedName name="_xlnm.Print_Area" localSheetId="2">'Glimepiride-U-Content'!$A$1:$G$133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4"/>
  <c r="B116" i="4"/>
  <c r="D100" i="4" s="1"/>
  <c r="B98" i="4"/>
  <c r="F95" i="4"/>
  <c r="D95" i="4"/>
  <c r="B87" i="4"/>
  <c r="D97" i="4" s="1"/>
  <c r="D98" i="4" s="1"/>
  <c r="B83" i="4"/>
  <c r="B81" i="4"/>
  <c r="B80" i="4"/>
  <c r="B79" i="4"/>
  <c r="C76" i="4"/>
  <c r="H71" i="4"/>
  <c r="G71" i="4"/>
  <c r="B68" i="4"/>
  <c r="B69" i="4" s="1"/>
  <c r="H67" i="4"/>
  <c r="G67" i="4"/>
  <c r="H63" i="4"/>
  <c r="G63" i="4"/>
  <c r="B57" i="4"/>
  <c r="C56" i="4"/>
  <c r="B55" i="4"/>
  <c r="B45" i="4"/>
  <c r="D48" i="4" s="1"/>
  <c r="D44" i="4"/>
  <c r="D45" i="4" s="1"/>
  <c r="D46" i="4" s="1"/>
  <c r="F42" i="4"/>
  <c r="D42" i="4"/>
  <c r="I39" i="4" s="1"/>
  <c r="G41" i="4"/>
  <c r="E41" i="4"/>
  <c r="B34" i="4"/>
  <c r="F44" i="4" s="1"/>
  <c r="F45" i="4" s="1"/>
  <c r="F46" i="4" s="1"/>
  <c r="B30" i="4"/>
  <c r="I92" i="4" l="1"/>
  <c r="D99" i="4"/>
  <c r="D101" i="4"/>
  <c r="E91" i="4" s="1"/>
  <c r="F97" i="4"/>
  <c r="F98" i="4" s="1"/>
  <c r="F99" i="4" s="1"/>
  <c r="E40" i="4"/>
  <c r="G40" i="4"/>
  <c r="E39" i="4"/>
  <c r="E38" i="4"/>
  <c r="G39" i="4"/>
  <c r="D49" i="4"/>
  <c r="G38" i="4"/>
  <c r="C129" i="3"/>
  <c r="B125" i="3"/>
  <c r="F122" i="3"/>
  <c r="E122" i="3"/>
  <c r="F121" i="3"/>
  <c r="E121" i="3"/>
  <c r="F120" i="3"/>
  <c r="E120" i="3"/>
  <c r="F119" i="3"/>
  <c r="E119" i="3"/>
  <c r="F118" i="3"/>
  <c r="F126" i="3" s="1"/>
  <c r="E118" i="3"/>
  <c r="F117" i="3"/>
  <c r="E117" i="3"/>
  <c r="D109" i="3"/>
  <c r="D110" i="3" s="1"/>
  <c r="D111" i="3" s="1"/>
  <c r="B107" i="3"/>
  <c r="F104" i="3"/>
  <c r="D104" i="3"/>
  <c r="G103" i="3"/>
  <c r="E103" i="3"/>
  <c r="G102" i="3"/>
  <c r="E102" i="3"/>
  <c r="G101" i="3"/>
  <c r="G104" i="3" s="1"/>
  <c r="E101" i="3"/>
  <c r="G100" i="3"/>
  <c r="E100" i="3"/>
  <c r="B96" i="3"/>
  <c r="F106" i="3" s="1"/>
  <c r="B90" i="3"/>
  <c r="B89" i="3"/>
  <c r="B91" i="3" s="1"/>
  <c r="C74" i="3"/>
  <c r="B67" i="3"/>
  <c r="C56" i="3"/>
  <c r="B55" i="3"/>
  <c r="B45" i="3"/>
  <c r="D48" i="3" s="1"/>
  <c r="D49" i="3" s="1"/>
  <c r="F44" i="3"/>
  <c r="D44" i="3"/>
  <c r="F42" i="3"/>
  <c r="D42" i="3"/>
  <c r="G41" i="3"/>
  <c r="E41" i="3"/>
  <c r="G39" i="3"/>
  <c r="B34" i="3"/>
  <c r="B30" i="3"/>
  <c r="F45" i="3" s="1"/>
  <c r="F46" i="3" s="1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4" l="1"/>
  <c r="G93" i="4"/>
  <c r="G94" i="4"/>
  <c r="D102" i="4"/>
  <c r="E92" i="4"/>
  <c r="E94" i="4"/>
  <c r="E93" i="4"/>
  <c r="G91" i="4"/>
  <c r="G92" i="4"/>
  <c r="D50" i="4"/>
  <c r="E42" i="4"/>
  <c r="D52" i="4"/>
  <c r="D112" i="3"/>
  <c r="D113" i="3" s="1"/>
  <c r="F124" i="3"/>
  <c r="G40" i="3"/>
  <c r="G38" i="3"/>
  <c r="G42" i="3" s="1"/>
  <c r="D45" i="3"/>
  <c r="G129" i="3"/>
  <c r="F125" i="3"/>
  <c r="F107" i="3"/>
  <c r="F108" i="3" s="1"/>
  <c r="D41" i="2"/>
  <c r="D26" i="2"/>
  <c r="D34" i="2"/>
  <c r="D38" i="2"/>
  <c r="D42" i="2"/>
  <c r="B49" i="2"/>
  <c r="D50" i="2"/>
  <c r="D106" i="3"/>
  <c r="D107" i="3" s="1"/>
  <c r="D108" i="3" s="1"/>
  <c r="D114" i="3"/>
  <c r="D25" i="2"/>
  <c r="D37" i="2"/>
  <c r="C50" i="2"/>
  <c r="D27" i="2"/>
  <c r="D31" i="2"/>
  <c r="D35" i="2"/>
  <c r="D39" i="2"/>
  <c r="D43" i="2"/>
  <c r="C49" i="2"/>
  <c r="B57" i="3"/>
  <c r="E104" i="3"/>
  <c r="D29" i="2"/>
  <c r="D33" i="2"/>
  <c r="D30" i="2"/>
  <c r="D24" i="2"/>
  <c r="D28" i="2"/>
  <c r="D32" i="2"/>
  <c r="D36" i="2"/>
  <c r="D40" i="2"/>
  <c r="G69" i="4" l="1"/>
  <c r="H69" i="4" s="1"/>
  <c r="G66" i="4"/>
  <c r="H66" i="4" s="1"/>
  <c r="G62" i="4"/>
  <c r="H62" i="4" s="1"/>
  <c r="G65" i="4"/>
  <c r="H65" i="4" s="1"/>
  <c r="G61" i="4"/>
  <c r="H61" i="4" s="1"/>
  <c r="G70" i="4"/>
  <c r="H70" i="4" s="1"/>
  <c r="D103" i="4"/>
  <c r="E109" i="4" s="1"/>
  <c r="F109" i="4" s="1"/>
  <c r="E95" i="4"/>
  <c r="G95" i="4"/>
  <c r="D105" i="4"/>
  <c r="G68" i="4"/>
  <c r="H68" i="4" s="1"/>
  <c r="G64" i="4"/>
  <c r="H64" i="4" s="1"/>
  <c r="G60" i="4"/>
  <c r="D51" i="4"/>
  <c r="D46" i="3"/>
  <c r="E39" i="3"/>
  <c r="E40" i="3"/>
  <c r="E38" i="3"/>
  <c r="E113" i="4" l="1"/>
  <c r="F113" i="4" s="1"/>
  <c r="E110" i="4"/>
  <c r="F110" i="4" s="1"/>
  <c r="E112" i="4"/>
  <c r="F112" i="4" s="1"/>
  <c r="E111" i="4"/>
  <c r="F111" i="4" s="1"/>
  <c r="D104" i="4"/>
  <c r="E108" i="4"/>
  <c r="G74" i="4"/>
  <c r="G72" i="4"/>
  <c r="G73" i="4" s="1"/>
  <c r="H60" i="4"/>
  <c r="E42" i="3"/>
  <c r="D50" i="3"/>
  <c r="D52" i="3"/>
  <c r="D51" i="3" l="1"/>
  <c r="E63" i="3"/>
  <c r="E60" i="3"/>
  <c r="E66" i="3"/>
  <c r="G66" i="3" s="1"/>
  <c r="E62" i="3"/>
  <c r="E59" i="3"/>
  <c r="E68" i="3"/>
  <c r="E65" i="3"/>
  <c r="E67" i="3"/>
  <c r="E64" i="3"/>
  <c r="E61" i="3"/>
  <c r="E120" i="4"/>
  <c r="E115" i="4"/>
  <c r="E116" i="4" s="1"/>
  <c r="F108" i="4"/>
  <c r="F120" i="4" s="1"/>
  <c r="E117" i="4"/>
  <c r="E119" i="4"/>
  <c r="H74" i="4"/>
  <c r="H72" i="4"/>
  <c r="G67" i="3" l="1"/>
  <c r="G61" i="3"/>
  <c r="G68" i="3"/>
  <c r="G60" i="3"/>
  <c r="G62" i="3"/>
  <c r="G65" i="3"/>
  <c r="G64" i="3"/>
  <c r="G59" i="3"/>
  <c r="E72" i="3"/>
  <c r="E70" i="3"/>
  <c r="G63" i="3"/>
  <c r="F125" i="4"/>
  <c r="F115" i="4"/>
  <c r="F116" i="4" s="1"/>
  <c r="D125" i="4"/>
  <c r="F117" i="4"/>
  <c r="F119" i="4"/>
  <c r="G76" i="4"/>
  <c r="H73" i="4"/>
  <c r="F66" i="3" l="1"/>
  <c r="E71" i="3"/>
  <c r="C81" i="3"/>
  <c r="F63" i="3"/>
  <c r="F65" i="3"/>
  <c r="F61" i="3"/>
  <c r="G70" i="3"/>
  <c r="G72" i="3"/>
  <c r="F60" i="3"/>
  <c r="F59" i="3"/>
  <c r="F64" i="3"/>
  <c r="F62" i="3"/>
  <c r="F68" i="3"/>
  <c r="F67" i="3"/>
  <c r="G124" i="4"/>
  <c r="G71" i="3" l="1"/>
  <c r="C79" i="3"/>
  <c r="G74" i="3"/>
  <c r="C82" i="3"/>
  <c r="C83" i="3" s="1"/>
  <c r="F70" i="3"/>
  <c r="F71" i="3" s="1"/>
  <c r="F72" i="3"/>
</calcChain>
</file>

<file path=xl/sharedStrings.xml><?xml version="1.0" encoding="utf-8"?>
<sst xmlns="http://schemas.openxmlformats.org/spreadsheetml/2006/main" count="401" uniqueCount="154">
  <si>
    <t>HPLC System Suitability Report</t>
  </si>
  <si>
    <t>Analysis Data</t>
  </si>
  <si>
    <t>Assay</t>
  </si>
  <si>
    <t>Sample(s)</t>
  </si>
  <si>
    <t>Reference Substance:</t>
  </si>
  <si>
    <t xml:space="preserve">PERGLIM 2 </t>
  </si>
  <si>
    <t>% age Purity:</t>
  </si>
  <si>
    <t>NDQA201611211</t>
  </si>
  <si>
    <t>Weight (mg):</t>
  </si>
  <si>
    <t xml:space="preserve">Glimepiride </t>
  </si>
  <si>
    <t>Standard Conc (mg/mL):</t>
  </si>
  <si>
    <t>Each uncoated tablet contains:Glimepiride USP 2 mg.</t>
  </si>
  <si>
    <t>2016-11-09 08:14:44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</si>
  <si>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</si>
  <si>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</si>
  <si>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</si>
  <si>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</si>
  <si>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</si>
  <si>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</si>
  <si>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</si>
  <si>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</si>
  <si>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</si>
  <si>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</si>
  <si>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</si>
  <si>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</si>
  <si>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</si>
  <si>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</si>
  <si>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</si>
  <si>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</si>
  <si>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</si>
  <si>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</si>
  <si>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</si>
  <si>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</si>
  <si>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</si>
  <si>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</si>
  <si>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</si>
  <si>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</si>
  <si>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</si>
  <si>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</si>
  <si>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</si>
  <si>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</si>
  <si>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</si>
  <si>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</si>
  <si>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</si>
  <si>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</si>
  <si>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</si>
  <si>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</si>
  <si>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</si>
  <si>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</si>
  <si>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</si>
  <si>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</si>
  <si>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</si>
  <si>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</si>
  <si>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</si>
  <si>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</si>
  <si>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</si>
  <si>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</si>
  <si>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</si>
  <si>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</si>
  <si>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</si>
  <si>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</si>
  <si>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</si>
  <si>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</si>
  <si>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</si>
  <si>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</si>
  <si>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</si>
  <si>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</si>
  <si>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</si>
  <si>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</si>
  <si>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</si>
  <si>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</si>
  <si>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</si>
  <si>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</si>
  <si>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</si>
  <si>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</si>
  <si>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</si>
  <si>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</si>
  <si>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</si>
  <si>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</si>
  <si>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</si>
  <si>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</si>
  <si>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</si>
  <si>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</si>
  <si>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</si>
  <si>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</si>
  <si>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</si>
  <si>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</si>
  <si>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</si>
  <si>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</si>
  <si>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</si>
  <si>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</si>
  <si>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</si>
  <si>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</si>
  <si>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</si>
  <si>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</si>
  <si>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</si>
  <si>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</si>
  <si>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</si>
  <si>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</si>
  <si>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</si>
  <si>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</si>
  <si>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</si>
  <si>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</si>
  <si>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</si>
  <si>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</si>
  <si>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</si>
  <si>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</si>
  <si>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</si>
  <si>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</si>
  <si>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</si>
  <si>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</si>
  <si>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</si>
  <si>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</si>
  <si>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</si>
  <si>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</si>
  <si>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</si>
  <si>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</si>
  <si>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</si>
  <si>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</si>
  <si>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</si>
  <si>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</si>
  <si>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</si>
  <si>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</si>
  <si>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</si>
  <si>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</si>
  <si>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</si>
  <si>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</si>
  <si>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</si>
  <si>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</si>
  <si>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</si>
  <si>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</si>
  <si>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</si>
  <si>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</si>
  <si>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</si>
  <si>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</si>
  <si>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</si>
  <si>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</si>
  <si>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</si>
  <si>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</si>
  <si>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</si>
  <si>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</si>
  <si>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</si>
  <si>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</si>
  <si>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</si>
  <si>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</si>
  <si>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</si>
  <si>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</si>
  <si>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</si>
  <si>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</si>
  <si>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</si>
  <si>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</si>
  <si>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G2-3</t>
  </si>
  <si>
    <t>RUTTO KENNEDY</t>
  </si>
  <si>
    <t>20/01/2016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</si>
</sst>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3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2" fillId="2" borderId="0" xfId="1" applyFont="1" applyFill="1"/>
    <xf numFmtId="0" fontId="20" fillId="2" borderId="0" xfId="1" applyFont="1" applyFill="1" applyAlignment="1">
      <alignment horizontal="center" vertical="center"/>
    </xf>
    <xf numFmtId="0" fontId="11" fillId="2" borderId="0" xfId="1" applyFont="1" applyFill="1"/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23" fillId="2" borderId="0" xfId="1" applyFill="1"/>
    <xf numFmtId="0" fontId="12" fillId="2" borderId="0" xfId="1" applyFont="1" applyFill="1"/>
    <xf numFmtId="0" fontId="14" fillId="3" borderId="0" xfId="1" applyFont="1" applyFill="1" applyAlignment="1" applyProtection="1">
      <alignment horizontal="left" wrapText="1"/>
      <protection locked="0"/>
    </xf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4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4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4" fontId="11" fillId="2" borderId="15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74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166" fontId="11" fillId="6" borderId="49" xfId="1" applyNumberFormat="1" applyFont="1" applyFill="1" applyBorder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4" fontId="11" fillId="2" borderId="25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4" fontId="11" fillId="2" borderId="31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4" fontId="11" fillId="2" borderId="4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2" fontId="14" fillId="7" borderId="59" xfId="1" applyNumberFormat="1" applyFont="1" applyFill="1" applyBorder="1" applyAlignment="1">
      <alignment horizontal="center"/>
    </xf>
    <xf numFmtId="171" fontId="14" fillId="7" borderId="54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4" fillId="7" borderId="29" xfId="1" applyFont="1" applyFill="1" applyBorder="1" applyAlignment="1">
      <alignment horizontal="center"/>
    </xf>
    <xf numFmtId="0" fontId="14" fillId="7" borderId="65" xfId="1" applyFont="1" applyFill="1" applyBorder="1" applyAlignment="1">
      <alignment horizontal="center"/>
    </xf>
    <xf numFmtId="0" fontId="11" fillId="2" borderId="13" xfId="1" applyFont="1" applyFill="1" applyBorder="1"/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right" vertical="center" wrapText="1"/>
    </xf>
    <xf numFmtId="2" fontId="14" fillId="6" borderId="61" xfId="1" applyNumberFormat="1" applyFont="1" applyFill="1" applyBorder="1" applyAlignment="1">
      <alignment horizontal="center"/>
    </xf>
    <xf numFmtId="171" fontId="14" fillId="6" borderId="61" xfId="1" applyNumberFormat="1" applyFont="1" applyFill="1" applyBorder="1" applyAlignment="1">
      <alignment horizontal="center"/>
    </xf>
    <xf numFmtId="2" fontId="14" fillId="7" borderId="62" xfId="1" applyNumberFormat="1" applyFont="1" applyFill="1" applyBorder="1" applyAlignment="1">
      <alignment horizontal="center"/>
    </xf>
    <xf numFmtId="171" fontId="14" fillId="7" borderId="62" xfId="1" applyNumberFormat="1" applyFont="1" applyFill="1" applyBorder="1" applyAlignment="1">
      <alignment horizontal="center"/>
    </xf>
    <xf numFmtId="175" fontId="26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2">
    <cellStyle name="Normal" xfId="0" builtinId="0"/>
    <cellStyle name="Normal 2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NDQA20161121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Glimepiride"/>
      <sheetName val="Glimepiride 1"/>
    </sheetNames>
    <sheetDataSet>
      <sheetData sheetId="0" refreshError="1"/>
      <sheetData sheetId="1">
        <row r="46">
          <cell r="C46">
            <v>259.31150000000002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42" sqref="C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98.71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10.25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10.42/100</f>
        <v>0.1042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35170041</v>
      </c>
      <c r="C24" s="18">
        <v>4304.1000000000004</v>
      </c>
      <c r="D24" s="19">
        <v>1</v>
      </c>
      <c r="E24" s="20">
        <v>4.3</v>
      </c>
    </row>
    <row r="25" spans="1:6" ht="16.5" customHeight="1" x14ac:dyDescent="0.3">
      <c r="A25" s="17">
        <v>2</v>
      </c>
      <c r="B25" s="18">
        <v>35169836</v>
      </c>
      <c r="C25" s="18">
        <v>4320</v>
      </c>
      <c r="D25" s="19">
        <v>1</v>
      </c>
      <c r="E25" s="19">
        <v>4.3</v>
      </c>
    </row>
    <row r="26" spans="1:6" ht="16.5" customHeight="1" x14ac:dyDescent="0.3">
      <c r="A26" s="17">
        <v>3</v>
      </c>
      <c r="B26" s="18">
        <v>35162303</v>
      </c>
      <c r="C26" s="18">
        <v>4312.3999999999996</v>
      </c>
      <c r="D26" s="19">
        <v>1</v>
      </c>
      <c r="E26" s="19">
        <v>4.3</v>
      </c>
    </row>
    <row r="27" spans="1:6" ht="16.5" customHeight="1" x14ac:dyDescent="0.3">
      <c r="A27" s="17">
        <v>4</v>
      </c>
      <c r="B27" s="18">
        <v>35153659</v>
      </c>
      <c r="C27" s="18">
        <v>4293</v>
      </c>
      <c r="D27" s="19">
        <v>1</v>
      </c>
      <c r="E27" s="19">
        <v>4.3</v>
      </c>
    </row>
    <row r="28" spans="1:6" ht="16.5" customHeight="1" x14ac:dyDescent="0.3">
      <c r="A28" s="17">
        <v>5</v>
      </c>
      <c r="B28" s="18">
        <v>35196219</v>
      </c>
      <c r="C28" s="18">
        <v>4290.8999999999996</v>
      </c>
      <c r="D28" s="19">
        <v>1</v>
      </c>
      <c r="E28" s="19">
        <v>4.3</v>
      </c>
    </row>
    <row r="29" spans="1:6" ht="16.5" customHeight="1" x14ac:dyDescent="0.3">
      <c r="A29" s="17">
        <v>6</v>
      </c>
      <c r="B29" s="21">
        <v>35209098</v>
      </c>
      <c r="C29" s="21">
        <v>4297.8999999999996</v>
      </c>
      <c r="D29" s="22">
        <v>1</v>
      </c>
      <c r="E29" s="22">
        <v>4.3</v>
      </c>
    </row>
    <row r="30" spans="1:6" ht="16.5" customHeight="1" x14ac:dyDescent="0.3">
      <c r="A30" s="23" t="s">
        <v>18</v>
      </c>
      <c r="B30" s="24">
        <f>AVERAGE(B24:B29)</f>
        <v>35176859.333333336</v>
      </c>
      <c r="C30" s="25">
        <f>AVERAGE(C24:C29)</f>
        <v>4303.05</v>
      </c>
      <c r="D30" s="26">
        <f>AVERAGE(D24:D29)</f>
        <v>1</v>
      </c>
      <c r="E30" s="26">
        <f>AVERAGE(E24:E29)</f>
        <v>4.3</v>
      </c>
    </row>
    <row r="31" spans="1:6" ht="16.5" customHeight="1" x14ac:dyDescent="0.3">
      <c r="A31" s="27" t="s">
        <v>19</v>
      </c>
      <c r="B31" s="28">
        <f>(STDEV(B24:B29)/B30)</f>
        <v>6.0439458307804761E-4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8" t="s">
        <v>9</v>
      </c>
      <c r="C40" s="10"/>
      <c r="D40" s="10"/>
      <c r="E40" s="10"/>
    </row>
    <row r="41" spans="1:6" ht="16.5" customHeight="1" x14ac:dyDescent="0.3">
      <c r="A41" s="7" t="s">
        <v>8</v>
      </c>
      <c r="B41" s="12">
        <v>13.34</v>
      </c>
      <c r="C41" s="10"/>
      <c r="D41" s="10"/>
      <c r="E41" s="10"/>
    </row>
    <row r="42" spans="1:6" ht="16.5" customHeight="1" x14ac:dyDescent="0.3">
      <c r="A42" s="7" t="s">
        <v>10</v>
      </c>
      <c r="B42" s="13">
        <f>13.34/100*2/100*15/50</f>
        <v>8.0040000000000005E-4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1426705</v>
      </c>
      <c r="C45" s="18">
        <v>3745</v>
      </c>
      <c r="D45" s="19">
        <v>1.03</v>
      </c>
      <c r="E45" s="20">
        <v>4.3899999999999997</v>
      </c>
    </row>
    <row r="46" spans="1:6" ht="16.5" customHeight="1" x14ac:dyDescent="0.3">
      <c r="A46" s="17">
        <v>2</v>
      </c>
      <c r="B46" s="18">
        <v>1427860</v>
      </c>
      <c r="C46" s="18">
        <v>3733.16</v>
      </c>
      <c r="D46" s="19">
        <v>1.02</v>
      </c>
      <c r="E46" s="19">
        <v>4.3899999999999997</v>
      </c>
    </row>
    <row r="47" spans="1:6" ht="16.5" customHeight="1" x14ac:dyDescent="0.3">
      <c r="A47" s="17">
        <v>3</v>
      </c>
      <c r="B47" s="18">
        <v>1429724</v>
      </c>
      <c r="C47" s="18">
        <v>3742.26</v>
      </c>
      <c r="D47" s="19">
        <v>1.03</v>
      </c>
      <c r="E47" s="19">
        <v>4.3899999999999997</v>
      </c>
    </row>
    <row r="48" spans="1:6" ht="16.5" customHeight="1" x14ac:dyDescent="0.3">
      <c r="A48" s="17">
        <v>4</v>
      </c>
      <c r="B48" s="18">
        <v>1430063</v>
      </c>
      <c r="C48" s="18">
        <v>3740.13</v>
      </c>
      <c r="D48" s="19">
        <v>1.02</v>
      </c>
      <c r="E48" s="19">
        <v>4.3899999999999997</v>
      </c>
    </row>
    <row r="49" spans="1:7" ht="16.5" customHeight="1" x14ac:dyDescent="0.3">
      <c r="A49" s="17">
        <v>5</v>
      </c>
      <c r="B49" s="18">
        <v>1427101</v>
      </c>
      <c r="C49" s="18">
        <v>3732.87</v>
      </c>
      <c r="D49" s="19">
        <v>1.03</v>
      </c>
      <c r="E49" s="19">
        <v>4.3899999999999997</v>
      </c>
    </row>
    <row r="50" spans="1:7" ht="16.5" customHeight="1" x14ac:dyDescent="0.3">
      <c r="A50" s="17">
        <v>6</v>
      </c>
      <c r="B50" s="21">
        <v>1433837</v>
      </c>
      <c r="C50" s="21">
        <v>3722.5</v>
      </c>
      <c r="D50" s="22">
        <v>1.02</v>
      </c>
      <c r="E50" s="22">
        <v>4.3899999999999997</v>
      </c>
    </row>
    <row r="51" spans="1:7" ht="16.5" customHeight="1" x14ac:dyDescent="0.3">
      <c r="A51" s="23" t="s">
        <v>18</v>
      </c>
      <c r="B51" s="24">
        <f>AVERAGE(B45:B50)</f>
        <v>1429215</v>
      </c>
      <c r="C51" s="25">
        <f>AVERAGE(C45:C50)</f>
        <v>3735.9866666666662</v>
      </c>
      <c r="D51" s="26">
        <f>AVERAGE(D45:D50)</f>
        <v>1.0250000000000001</v>
      </c>
      <c r="E51" s="26">
        <f>AVERAGE(E45:E50)</f>
        <v>4.3899999999999997</v>
      </c>
    </row>
    <row r="52" spans="1:7" ht="16.5" customHeight="1" x14ac:dyDescent="0.3">
      <c r="A52" s="27" t="s">
        <v>19</v>
      </c>
      <c r="B52" s="28">
        <f>(STDEV(B45:B50)/B51)</f>
        <v>1.8497683706915787E-3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152</v>
      </c>
      <c r="C60" s="48"/>
      <c r="E60" s="48" t="s">
        <v>153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2" workbookViewId="0">
      <selection activeCell="E18" sqref="E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257.10000000000002</v>
      </c>
      <c r="D24" s="87">
        <f t="shared" ref="D24:D43" si="0">(C24-$C$46)/$C$46</f>
        <v>-8.5283529654488939E-3</v>
      </c>
      <c r="E24" s="53"/>
    </row>
    <row r="25" spans="1:5" ht="15.75" customHeight="1" x14ac:dyDescent="0.3">
      <c r="C25" s="95">
        <v>260.89</v>
      </c>
      <c r="D25" s="88">
        <f t="shared" si="0"/>
        <v>6.0872734144068524E-3</v>
      </c>
      <c r="E25" s="53"/>
    </row>
    <row r="26" spans="1:5" ht="15.75" customHeight="1" x14ac:dyDescent="0.3">
      <c r="C26" s="95">
        <v>260.55</v>
      </c>
      <c r="D26" s="88">
        <f t="shared" si="0"/>
        <v>4.7761090425992971E-3</v>
      </c>
      <c r="E26" s="53"/>
    </row>
    <row r="27" spans="1:5" ht="15.75" customHeight="1" x14ac:dyDescent="0.3">
      <c r="C27" s="95">
        <v>258.76</v>
      </c>
      <c r="D27" s="88">
        <f t="shared" si="0"/>
        <v>-2.1267857383881266E-3</v>
      </c>
      <c r="E27" s="53"/>
    </row>
    <row r="28" spans="1:5" ht="15.75" customHeight="1" x14ac:dyDescent="0.3">
      <c r="C28" s="95">
        <v>256.22000000000003</v>
      </c>
      <c r="D28" s="88">
        <f t="shared" si="0"/>
        <v>-1.1921954868951035E-2</v>
      </c>
      <c r="E28" s="53"/>
    </row>
    <row r="29" spans="1:5" ht="15.75" customHeight="1" x14ac:dyDescent="0.3">
      <c r="C29" s="95">
        <v>255.4</v>
      </c>
      <c r="D29" s="88">
        <f t="shared" si="0"/>
        <v>-1.5084174824487219E-2</v>
      </c>
      <c r="E29" s="53"/>
    </row>
    <row r="30" spans="1:5" ht="15.75" customHeight="1" x14ac:dyDescent="0.3">
      <c r="C30" s="95">
        <v>258.98</v>
      </c>
      <c r="D30" s="88">
        <f t="shared" si="0"/>
        <v>-1.2783852625124817E-3</v>
      </c>
      <c r="E30" s="53"/>
    </row>
    <row r="31" spans="1:5" ht="15.75" customHeight="1" x14ac:dyDescent="0.3">
      <c r="C31" s="95">
        <v>260</v>
      </c>
      <c r="D31" s="88">
        <f t="shared" si="0"/>
        <v>2.6551078529104041E-3</v>
      </c>
      <c r="E31" s="53"/>
    </row>
    <row r="32" spans="1:5" ht="15.75" customHeight="1" x14ac:dyDescent="0.3">
      <c r="C32" s="95">
        <v>256.38</v>
      </c>
      <c r="D32" s="88">
        <f t="shared" si="0"/>
        <v>-1.1304936341041674E-2</v>
      </c>
      <c r="E32" s="53"/>
    </row>
    <row r="33" spans="1:7" ht="15.75" customHeight="1" x14ac:dyDescent="0.3">
      <c r="C33" s="95">
        <v>257.48</v>
      </c>
      <c r="D33" s="88">
        <f t="shared" si="0"/>
        <v>-7.0629339616638878E-3</v>
      </c>
      <c r="E33" s="53"/>
    </row>
    <row r="34" spans="1:7" ht="15.75" customHeight="1" x14ac:dyDescent="0.3">
      <c r="C34" s="95">
        <v>261.77</v>
      </c>
      <c r="D34" s="88">
        <f t="shared" si="0"/>
        <v>9.480875317908994E-3</v>
      </c>
      <c r="E34" s="53"/>
    </row>
    <row r="35" spans="1:7" ht="15.75" customHeight="1" x14ac:dyDescent="0.3">
      <c r="C35" s="95">
        <v>262.44</v>
      </c>
      <c r="D35" s="88">
        <f t="shared" si="0"/>
        <v>1.2064640403530016E-2</v>
      </c>
      <c r="E35" s="53"/>
    </row>
    <row r="36" spans="1:7" ht="15.75" customHeight="1" x14ac:dyDescent="0.3">
      <c r="C36" s="95">
        <v>258.41000000000003</v>
      </c>
      <c r="D36" s="88">
        <f t="shared" si="0"/>
        <v>-3.47651376818999E-3</v>
      </c>
      <c r="E36" s="53"/>
    </row>
    <row r="37" spans="1:7" ht="15.75" customHeight="1" x14ac:dyDescent="0.3">
      <c r="C37" s="95">
        <v>258.82</v>
      </c>
      <c r="D37" s="88">
        <f t="shared" si="0"/>
        <v>-1.8954037904220615E-3</v>
      </c>
      <c r="E37" s="53"/>
    </row>
    <row r="38" spans="1:7" ht="15.75" customHeight="1" x14ac:dyDescent="0.3">
      <c r="C38" s="95">
        <v>262</v>
      </c>
      <c r="D38" s="88">
        <f t="shared" si="0"/>
        <v>1.0367839451778946E-2</v>
      </c>
      <c r="E38" s="53"/>
    </row>
    <row r="39" spans="1:7" ht="15.75" customHeight="1" x14ac:dyDescent="0.3">
      <c r="C39" s="95">
        <v>260.69</v>
      </c>
      <c r="D39" s="88">
        <f t="shared" si="0"/>
        <v>5.3160002545200426E-3</v>
      </c>
      <c r="E39" s="53"/>
    </row>
    <row r="40" spans="1:7" ht="15.75" customHeight="1" x14ac:dyDescent="0.3">
      <c r="C40" s="95">
        <v>259.19</v>
      </c>
      <c r="D40" s="88">
        <f t="shared" si="0"/>
        <v>-4.6854844463136385E-4</v>
      </c>
      <c r="E40" s="53"/>
    </row>
    <row r="41" spans="1:7" ht="15.75" customHeight="1" x14ac:dyDescent="0.3">
      <c r="C41" s="95">
        <v>262.22000000000003</v>
      </c>
      <c r="D41" s="88">
        <f t="shared" si="0"/>
        <v>1.1216239927654591E-2</v>
      </c>
      <c r="E41" s="53"/>
    </row>
    <row r="42" spans="1:7" ht="15.75" customHeight="1" x14ac:dyDescent="0.3">
      <c r="C42" s="95">
        <v>260.76</v>
      </c>
      <c r="D42" s="88">
        <f t="shared" si="0"/>
        <v>5.5859458604804154E-3</v>
      </c>
      <c r="E42" s="53"/>
    </row>
    <row r="43" spans="1:7" ht="16.5" customHeight="1" x14ac:dyDescent="0.3">
      <c r="C43" s="96">
        <v>258.17</v>
      </c>
      <c r="D43" s="89">
        <f t="shared" si="0"/>
        <v>-4.4020415600542501E-3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5186.2300000000005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259.31150000000002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259.31150000000002</v>
      </c>
      <c r="C49" s="93">
        <f>-IF(C46&lt;=80,10%,IF(C46&lt;250,7.5%,5%))</f>
        <v>-0.05</v>
      </c>
      <c r="D49" s="81">
        <f>IF(C46&lt;=80,C46*0.9,IF(C46&lt;250,C46*0.925,C46*0.95))</f>
        <v>246.34592500000002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272.27707500000002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43" zoomScale="60" zoomScaleNormal="70" workbookViewId="0">
      <selection activeCell="E18" sqref="E18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291" t="s">
        <v>45</v>
      </c>
      <c r="B1" s="291"/>
      <c r="C1" s="291"/>
      <c r="D1" s="291"/>
      <c r="E1" s="291"/>
      <c r="F1" s="291"/>
      <c r="G1" s="291"/>
    </row>
    <row r="2" spans="1:7" x14ac:dyDescent="0.2">
      <c r="A2" s="291"/>
      <c r="B2" s="291"/>
      <c r="C2" s="291"/>
      <c r="D2" s="291"/>
      <c r="E2" s="291"/>
      <c r="F2" s="291"/>
      <c r="G2" s="291"/>
    </row>
    <row r="3" spans="1:7" x14ac:dyDescent="0.2">
      <c r="A3" s="291"/>
      <c r="B3" s="291"/>
      <c r="C3" s="291"/>
      <c r="D3" s="291"/>
      <c r="E3" s="291"/>
      <c r="F3" s="291"/>
      <c r="G3" s="291"/>
    </row>
    <row r="4" spans="1:7" x14ac:dyDescent="0.2">
      <c r="A4" s="291"/>
      <c r="B4" s="291"/>
      <c r="C4" s="291"/>
      <c r="D4" s="291"/>
      <c r="E4" s="291"/>
      <c r="F4" s="291"/>
      <c r="G4" s="291"/>
    </row>
    <row r="5" spans="1:7" x14ac:dyDescent="0.2">
      <c r="A5" s="291"/>
      <c r="B5" s="291"/>
      <c r="C5" s="291"/>
      <c r="D5" s="291"/>
      <c r="E5" s="291"/>
      <c r="F5" s="291"/>
      <c r="G5" s="291"/>
    </row>
    <row r="6" spans="1:7" x14ac:dyDescent="0.2">
      <c r="A6" s="291"/>
      <c r="B6" s="291"/>
      <c r="C6" s="291"/>
      <c r="D6" s="291"/>
      <c r="E6" s="291"/>
      <c r="F6" s="291"/>
      <c r="G6" s="291"/>
    </row>
    <row r="7" spans="1:7" x14ac:dyDescent="0.2">
      <c r="A7" s="291"/>
      <c r="B7" s="291"/>
      <c r="C7" s="291"/>
      <c r="D7" s="291"/>
      <c r="E7" s="291"/>
      <c r="F7" s="291"/>
      <c r="G7" s="291"/>
    </row>
    <row r="8" spans="1:7" x14ac:dyDescent="0.2">
      <c r="A8" s="292" t="s">
        <v>46</v>
      </c>
      <c r="B8" s="292"/>
      <c r="C8" s="292"/>
      <c r="D8" s="292"/>
      <c r="E8" s="292"/>
      <c r="F8" s="292"/>
      <c r="G8" s="292"/>
    </row>
    <row r="9" spans="1:7" x14ac:dyDescent="0.2">
      <c r="A9" s="292"/>
      <c r="B9" s="292"/>
      <c r="C9" s="292"/>
      <c r="D9" s="292"/>
      <c r="E9" s="292"/>
      <c r="F9" s="292"/>
      <c r="G9" s="292"/>
    </row>
    <row r="10" spans="1:7" x14ac:dyDescent="0.2">
      <c r="A10" s="292"/>
      <c r="B10" s="292"/>
      <c r="C10" s="292"/>
      <c r="D10" s="292"/>
      <c r="E10" s="292"/>
      <c r="F10" s="292"/>
      <c r="G10" s="292"/>
    </row>
    <row r="11" spans="1:7" x14ac:dyDescent="0.2">
      <c r="A11" s="292"/>
      <c r="B11" s="292"/>
      <c r="C11" s="292"/>
      <c r="D11" s="292"/>
      <c r="E11" s="292"/>
      <c r="F11" s="292"/>
      <c r="G11" s="292"/>
    </row>
    <row r="12" spans="1:7" x14ac:dyDescent="0.2">
      <c r="A12" s="292"/>
      <c r="B12" s="292"/>
      <c r="C12" s="292"/>
      <c r="D12" s="292"/>
      <c r="E12" s="292"/>
      <c r="F12" s="292"/>
      <c r="G12" s="292"/>
    </row>
    <row r="13" spans="1:7" x14ac:dyDescent="0.2">
      <c r="A13" s="292"/>
      <c r="B13" s="292"/>
      <c r="C13" s="292"/>
      <c r="D13" s="292"/>
      <c r="E13" s="292"/>
      <c r="F13" s="292"/>
      <c r="G13" s="292"/>
    </row>
    <row r="14" spans="1:7" x14ac:dyDescent="0.2">
      <c r="A14" s="292"/>
      <c r="B14" s="292"/>
      <c r="C14" s="292"/>
      <c r="D14" s="292"/>
      <c r="E14" s="292"/>
      <c r="F14" s="292"/>
      <c r="G14" s="292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314" t="s">
        <v>31</v>
      </c>
      <c r="B16" s="315"/>
      <c r="C16" s="315"/>
      <c r="D16" s="315"/>
      <c r="E16" s="315"/>
      <c r="F16" s="315"/>
      <c r="G16" s="315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307" t="s">
        <v>5</v>
      </c>
      <c r="C18" s="307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308" t="s">
        <v>9</v>
      </c>
      <c r="C20" s="308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>
        <v>42748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>
        <v>42751</v>
      </c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307" t="s">
        <v>9</v>
      </c>
      <c r="C26" s="307"/>
      <c r="D26" s="98"/>
      <c r="E26" s="98"/>
      <c r="F26" s="98"/>
      <c r="G26" s="98"/>
    </row>
    <row r="27" spans="1:7" ht="26.25" customHeight="1" x14ac:dyDescent="0.4">
      <c r="A27" s="109" t="s">
        <v>48</v>
      </c>
      <c r="B27" s="308" t="s">
        <v>151</v>
      </c>
      <c r="C27" s="308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98.71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294" t="s">
        <v>50</v>
      </c>
      <c r="D29" s="295"/>
      <c r="E29" s="295"/>
      <c r="F29" s="295"/>
      <c r="G29" s="312"/>
    </row>
    <row r="30" spans="1:7" ht="19.5" customHeight="1" x14ac:dyDescent="0.3">
      <c r="A30" s="109" t="s">
        <v>51</v>
      </c>
      <c r="B30" s="113">
        <f>B28-B29</f>
        <v>98.71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294" t="s">
        <v>53</v>
      </c>
      <c r="D31" s="295"/>
      <c r="E31" s="295"/>
      <c r="F31" s="295"/>
      <c r="G31" s="312"/>
    </row>
    <row r="32" spans="1:7" ht="27" customHeight="1" x14ac:dyDescent="0.4">
      <c r="A32" s="109" t="s">
        <v>54</v>
      </c>
      <c r="B32" s="115">
        <v>1</v>
      </c>
      <c r="C32" s="294" t="s">
        <v>55</v>
      </c>
      <c r="D32" s="295"/>
      <c r="E32" s="295"/>
      <c r="F32" s="295"/>
      <c r="G32" s="312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100</v>
      </c>
      <c r="C36" s="98"/>
      <c r="D36" s="296" t="s">
        <v>59</v>
      </c>
      <c r="E36" s="313"/>
      <c r="F36" s="296" t="s">
        <v>60</v>
      </c>
      <c r="G36" s="297"/>
    </row>
    <row r="37" spans="1:7" ht="26.25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</v>
      </c>
      <c r="C38" s="127">
        <v>1</v>
      </c>
      <c r="D38" s="128">
        <v>35163699</v>
      </c>
      <c r="E38" s="129">
        <f>IF(ISBLANK(D38),"-",$D$48/$D$45*D38)</f>
        <v>34754379.297819927</v>
      </c>
      <c r="F38" s="128">
        <v>34702273</v>
      </c>
      <c r="G38" s="130">
        <f>IF(ISBLANK(F38),"-",$D$48/$F$45*F38)</f>
        <v>35475058.118548654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35227704</v>
      </c>
      <c r="E39" s="133">
        <f>IF(ISBLANK(D39),"-",$D$48/$D$45*D39)</f>
        <v>34817639.253689669</v>
      </c>
      <c r="F39" s="132">
        <v>34720589</v>
      </c>
      <c r="G39" s="134">
        <f>IF(ISBLANK(F39),"-",$D$48/$F$45*F39)</f>
        <v>35493781.997658797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35241825</v>
      </c>
      <c r="E40" s="133">
        <f>IF(ISBLANK(D40),"-",$D$48/$D$45*D40)</f>
        <v>34831595.87952885</v>
      </c>
      <c r="F40" s="132">
        <v>34711431</v>
      </c>
      <c r="G40" s="134">
        <f>IF(ISBLANK(F40),"-",$D$48/$F$45*F40)</f>
        <v>35484420.058103725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35211076</v>
      </c>
      <c r="E42" s="141">
        <f>AVERAGE(E38:E41)</f>
        <v>34801204.810346149</v>
      </c>
      <c r="F42" s="140">
        <f>AVERAGE(F38:F41)</f>
        <v>34711431</v>
      </c>
      <c r="G42" s="142">
        <f>AVERAGE(G38:G41)</f>
        <v>35484420.058103725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10.25</v>
      </c>
      <c r="E43" s="145"/>
      <c r="F43" s="144">
        <v>9.91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10.25</v>
      </c>
      <c r="E44" s="148"/>
      <c r="F44" s="147">
        <f>F43*$B$34</f>
        <v>9.91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100</v>
      </c>
      <c r="C45" s="146" t="s">
        <v>76</v>
      </c>
      <c r="D45" s="150">
        <f>D44*$B$30/100</f>
        <v>10.117775</v>
      </c>
      <c r="E45" s="151"/>
      <c r="F45" s="150">
        <f>F44*$B$30/100</f>
        <v>9.7821610000000003</v>
      </c>
      <c r="G45" s="98"/>
    </row>
    <row r="46" spans="1:7" ht="19.5" customHeight="1" x14ac:dyDescent="0.3">
      <c r="A46" s="298" t="s">
        <v>77</v>
      </c>
      <c r="B46" s="299"/>
      <c r="C46" s="146" t="s">
        <v>78</v>
      </c>
      <c r="D46" s="147">
        <f>D45/$B$45</f>
        <v>0.10117775</v>
      </c>
      <c r="E46" s="151"/>
      <c r="F46" s="152">
        <f>F45/$B$45</f>
        <v>9.7821610000000003E-2</v>
      </c>
      <c r="G46" s="98"/>
    </row>
    <row r="47" spans="1:7" ht="27" customHeight="1" x14ac:dyDescent="0.4">
      <c r="A47" s="300"/>
      <c r="B47" s="301"/>
      <c r="C47" s="153" t="s">
        <v>79</v>
      </c>
      <c r="D47" s="154">
        <v>0.1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10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10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35142812.434224933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1.0675382421100563E-2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uncoated tablet contains:Glimepiride USP 2 mg.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2</v>
      </c>
      <c r="C56" s="98" t="str">
        <f>B20</f>
        <v xml:space="preserve">Glimepiride 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259.31150000000002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20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</v>
      </c>
      <c r="C59" s="175">
        <v>1</v>
      </c>
      <c r="D59" s="278">
        <v>35356989</v>
      </c>
      <c r="E59" s="176">
        <f t="shared" ref="E59:E68" si="0">IF(ISBLANK(D59),"-",D59/$D$50*$D$47*$B$67)</f>
        <v>2.0121889257540744</v>
      </c>
      <c r="F59" s="177">
        <f t="shared" ref="F59:F68" si="1">IF(ISBLANK(D59),"-",E59/$E$70*100)</f>
        <v>99.393894119047815</v>
      </c>
      <c r="G59" s="178">
        <f t="shared" ref="G59:G68" si="2">IF(ISBLANK(D59),"-",E59/$B$56*100)</f>
        <v>100.60944628770372</v>
      </c>
    </row>
    <row r="60" spans="1:7" ht="26.25" customHeight="1" x14ac:dyDescent="0.4">
      <c r="A60" s="121" t="s">
        <v>65</v>
      </c>
      <c r="B60" s="122">
        <v>1</v>
      </c>
      <c r="C60" s="179">
        <v>2</v>
      </c>
      <c r="D60" s="279">
        <v>35440472</v>
      </c>
      <c r="E60" s="180">
        <f t="shared" si="0"/>
        <v>2.0169399968390227</v>
      </c>
      <c r="F60" s="181">
        <f t="shared" si="1"/>
        <v>99.628577577606478</v>
      </c>
      <c r="G60" s="182">
        <f t="shared" si="2"/>
        <v>100.84699984195113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9">
        <v>35865443</v>
      </c>
      <c r="E61" s="180">
        <f t="shared" si="0"/>
        <v>2.0411253690709916</v>
      </c>
      <c r="F61" s="181">
        <f t="shared" si="1"/>
        <v>100.82323593999322</v>
      </c>
      <c r="G61" s="182">
        <f t="shared" si="2"/>
        <v>102.05626845354958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9">
        <v>35107501</v>
      </c>
      <c r="E62" s="180">
        <f t="shared" si="0"/>
        <v>1.997990403625719</v>
      </c>
      <c r="F62" s="181">
        <f t="shared" si="1"/>
        <v>98.692545261090132</v>
      </c>
      <c r="G62" s="182">
        <f t="shared" si="2"/>
        <v>99.899520181285951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9">
        <v>35400324</v>
      </c>
      <c r="E63" s="180">
        <f t="shared" si="0"/>
        <v>2.0146551484037905</v>
      </c>
      <c r="F63" s="181">
        <f t="shared" si="1"/>
        <v>99.515715420110794</v>
      </c>
      <c r="G63" s="182">
        <f t="shared" si="2"/>
        <v>100.73275742018953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9">
        <v>35539485</v>
      </c>
      <c r="E64" s="180">
        <f t="shared" si="0"/>
        <v>2.0225748901865783</v>
      </c>
      <c r="F64" s="181">
        <f t="shared" si="1"/>
        <v>99.906918237169151</v>
      </c>
      <c r="G64" s="182">
        <f t="shared" si="2"/>
        <v>101.12874450932891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9">
        <v>35808238</v>
      </c>
      <c r="E65" s="180">
        <f t="shared" si="0"/>
        <v>2.0378697958235703</v>
      </c>
      <c r="F65" s="181">
        <f t="shared" si="1"/>
        <v>100.6624239513626</v>
      </c>
      <c r="G65" s="182">
        <f t="shared" si="2"/>
        <v>101.89348979117851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9">
        <v>35616871</v>
      </c>
      <c r="E66" s="180">
        <f t="shared" si="0"/>
        <v>2.0269789770902564</v>
      </c>
      <c r="F66" s="181">
        <f t="shared" si="1"/>
        <v>100.12446209788352</v>
      </c>
      <c r="G66" s="182">
        <f t="shared" si="2"/>
        <v>101.34894885451283</v>
      </c>
    </row>
    <row r="67" spans="1:7" ht="27" customHeight="1" x14ac:dyDescent="0.4">
      <c r="A67" s="121" t="s">
        <v>75</v>
      </c>
      <c r="B67" s="149">
        <f>(B66/B65)*(B64/B63)*(B62/B61)*(B60/B59)*B58</f>
        <v>20</v>
      </c>
      <c r="C67" s="179">
        <v>9</v>
      </c>
      <c r="D67" s="279">
        <v>35762990</v>
      </c>
      <c r="E67" s="180">
        <f t="shared" si="0"/>
        <v>2.0352947031166515</v>
      </c>
      <c r="F67" s="181">
        <f t="shared" si="1"/>
        <v>100.53522491523717</v>
      </c>
      <c r="G67" s="182">
        <f t="shared" si="2"/>
        <v>101.76473515583257</v>
      </c>
    </row>
    <row r="68" spans="1:7" ht="27" customHeight="1" x14ac:dyDescent="0.4">
      <c r="A68" s="298" t="s">
        <v>77</v>
      </c>
      <c r="B68" s="303"/>
      <c r="C68" s="183">
        <v>10</v>
      </c>
      <c r="D68" s="280">
        <v>35827653</v>
      </c>
      <c r="E68" s="184">
        <f t="shared" si="0"/>
        <v>2.0389747159284335</v>
      </c>
      <c r="F68" s="185">
        <f t="shared" si="1"/>
        <v>100.71700248049929</v>
      </c>
      <c r="G68" s="186">
        <f t="shared" si="2"/>
        <v>101.94873579642167</v>
      </c>
    </row>
    <row r="69" spans="1:7" ht="19.5" customHeight="1" x14ac:dyDescent="0.3">
      <c r="A69" s="300"/>
      <c r="B69" s="304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2.0244592925839084</v>
      </c>
      <c r="F70" s="191">
        <f>AVERAGE(F59:F68)</f>
        <v>100.00000000000003</v>
      </c>
      <c r="G70" s="192">
        <f>AVERAGE(G59:G68)</f>
        <v>101.22296462919545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6.9845262329963059E-3</v>
      </c>
      <c r="F71" s="193">
        <f>STDEV(F59:F68)/F70</f>
        <v>6.9845262329963111E-3</v>
      </c>
      <c r="G71" s="194">
        <f>STDEV(G59:G68)/G70</f>
        <v>6.9845262329962842E-3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302" t="str">
        <f>B20</f>
        <v xml:space="preserve">Glimepiride </v>
      </c>
      <c r="D74" s="302"/>
      <c r="E74" s="202" t="s">
        <v>97</v>
      </c>
      <c r="F74" s="202"/>
      <c r="G74" s="203">
        <f>G70</f>
        <v>101.22296462919545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305" t="s">
        <v>99</v>
      </c>
      <c r="C78" s="306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101.22296462919545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0.70699445183427057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101.22296462919545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1.6967866844022492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307"/>
      <c r="C87" s="307"/>
      <c r="D87" s="98"/>
      <c r="E87" s="98"/>
      <c r="F87" s="98"/>
      <c r="G87" s="98"/>
    </row>
    <row r="88" spans="1:7" ht="26.25" customHeight="1" x14ac:dyDescent="0.4">
      <c r="A88" s="109" t="s">
        <v>48</v>
      </c>
      <c r="B88" s="308"/>
      <c r="C88" s="308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f>B32</f>
        <v>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309" t="s">
        <v>106</v>
      </c>
      <c r="D90" s="310"/>
      <c r="E90" s="310"/>
      <c r="F90" s="310"/>
      <c r="G90" s="311"/>
    </row>
    <row r="91" spans="1:7" ht="18.75" customHeight="1" x14ac:dyDescent="0.3">
      <c r="A91" s="109" t="s">
        <v>51</v>
      </c>
      <c r="B91" s="113">
        <f>B89-B90</f>
        <v>1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294" t="s">
        <v>107</v>
      </c>
      <c r="D93" s="295"/>
      <c r="E93" s="295"/>
      <c r="F93" s="295"/>
      <c r="G93" s="295"/>
    </row>
    <row r="94" spans="1:7" ht="27" customHeight="1" x14ac:dyDescent="0.4">
      <c r="A94" s="109" t="s">
        <v>54</v>
      </c>
      <c r="B94" s="115">
        <v>1</v>
      </c>
      <c r="C94" s="294" t="s">
        <v>108</v>
      </c>
      <c r="D94" s="295"/>
      <c r="E94" s="295"/>
      <c r="F94" s="295"/>
      <c r="G94" s="295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1</v>
      </c>
      <c r="C98" s="98"/>
      <c r="D98" s="215" t="s">
        <v>59</v>
      </c>
      <c r="E98" s="216"/>
      <c r="F98" s="296" t="s">
        <v>60</v>
      </c>
      <c r="G98" s="297"/>
    </row>
    <row r="99" spans="1:7" ht="26.25" customHeight="1" x14ac:dyDescent="0.4">
      <c r="A99" s="121" t="s">
        <v>61</v>
      </c>
      <c r="B99" s="217">
        <v>1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1</v>
      </c>
      <c r="C100" s="127">
        <v>1</v>
      </c>
      <c r="D100" s="128"/>
      <c r="E100" s="218" t="str">
        <f>IF(ISBLANK(D100),"-",$D$110/$D$107*D100)</f>
        <v>-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/>
      <c r="E101" s="220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/>
      <c r="E102" s="220" t="str">
        <f>IF(ISBLANK(D102),"-",$D$110/$D$107*D102)</f>
        <v>-</v>
      </c>
      <c r="F102" s="221"/>
      <c r="G102" s="134" t="str">
        <f>IF(ISBLANK(F102),"-",$D$110/$F$107*F102)</f>
        <v>-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4" t="e">
        <f>AVERAGE(D100:D103)</f>
        <v>#DIV/0!</v>
      </c>
      <c r="E104" s="141" t="e">
        <f>AVERAGE(E100:E103)</f>
        <v>#DIV/0!</v>
      </c>
      <c r="F104" s="224" t="e">
        <f>AVERAGE(F100:F103)</f>
        <v>#DIV/0!</v>
      </c>
      <c r="G104" s="225" t="e">
        <f>AVERAGE(G100:G103)</f>
        <v>#DIV/0!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6"/>
      <c r="E105" s="145"/>
      <c r="F105" s="144"/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7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75</v>
      </c>
      <c r="B107" s="259">
        <f>(B106/B105)*(B104/B103)*(B102/B101)*(B100/B99)*B98</f>
        <v>1</v>
      </c>
      <c r="C107" s="146" t="s">
        <v>76</v>
      </c>
      <c r="D107" s="228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298" t="s">
        <v>77</v>
      </c>
      <c r="B108" s="299"/>
      <c r="C108" s="146" t="s">
        <v>78</v>
      </c>
      <c r="D108" s="227">
        <f>D107/$B$107</f>
        <v>0</v>
      </c>
      <c r="E108" s="151"/>
      <c r="F108" s="152">
        <f>F107/$B$107</f>
        <v>0</v>
      </c>
      <c r="G108" s="229"/>
    </row>
    <row r="109" spans="1:7" ht="19.5" customHeight="1" x14ac:dyDescent="0.3">
      <c r="A109" s="300"/>
      <c r="B109" s="301"/>
      <c r="C109" s="277" t="s">
        <v>79</v>
      </c>
      <c r="D109" s="231">
        <f>$B$56/$B$125</f>
        <v>2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80</v>
      </c>
      <c r="D110" s="227">
        <f>D109*$B$107</f>
        <v>2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81</v>
      </c>
      <c r="D111" s="234">
        <f>D110/B96</f>
        <v>2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82</v>
      </c>
      <c r="D112" s="236" t="e">
        <f>AVERAGE(E100:E103,G100:G103)</f>
        <v>#DIV/0!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83</v>
      </c>
      <c r="D113" s="239" t="e">
        <f>STDEV(E100:E103,G100:G103)/D112</f>
        <v>#DIV/0!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0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1</v>
      </c>
      <c r="C116" s="242" t="s">
        <v>110</v>
      </c>
      <c r="D116" s="243" t="s">
        <v>63</v>
      </c>
      <c r="E116" s="244" t="s">
        <v>111</v>
      </c>
      <c r="F116" s="245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246"/>
      <c r="E117" s="247" t="str">
        <f t="shared" ref="E117:E122" si="3">IF(ISBLANK(D117),"-",D117/$D$112*$D$109*$B$125)</f>
        <v>-</v>
      </c>
      <c r="F117" s="248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246"/>
      <c r="E118" s="249" t="str">
        <f t="shared" si="3"/>
        <v>-</v>
      </c>
      <c r="F118" s="250" t="str">
        <f t="shared" si="4"/>
        <v>-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246"/>
      <c r="E119" s="249" t="str">
        <f t="shared" si="3"/>
        <v>-</v>
      </c>
      <c r="F119" s="250" t="str">
        <f t="shared" si="4"/>
        <v>-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246"/>
      <c r="E120" s="249" t="str">
        <f t="shared" si="3"/>
        <v>-</v>
      </c>
      <c r="F120" s="250" t="str">
        <f t="shared" si="4"/>
        <v>-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246"/>
      <c r="E121" s="249" t="str">
        <f t="shared" si="3"/>
        <v>-</v>
      </c>
      <c r="F121" s="250" t="str">
        <f t="shared" si="4"/>
        <v>-</v>
      </c>
      <c r="G121" s="98"/>
    </row>
    <row r="122" spans="1:7" ht="26.25" customHeight="1" x14ac:dyDescent="0.4">
      <c r="A122" s="121" t="s">
        <v>118</v>
      </c>
      <c r="B122" s="217">
        <v>1</v>
      </c>
      <c r="C122" s="251">
        <v>6</v>
      </c>
      <c r="D122" s="252"/>
      <c r="E122" s="253" t="str">
        <f t="shared" si="3"/>
        <v>-</v>
      </c>
      <c r="F122" s="254" t="str">
        <f t="shared" si="4"/>
        <v>-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6"/>
      <c r="E124" s="257" t="s">
        <v>70</v>
      </c>
      <c r="F124" s="258" t="e">
        <f>AVERAGE(F117:F122)</f>
        <v>#DIV/0!</v>
      </c>
      <c r="G124" s="98"/>
    </row>
    <row r="125" spans="1:7" ht="27" customHeight="1" x14ac:dyDescent="0.4">
      <c r="A125" s="121" t="s">
        <v>121</v>
      </c>
      <c r="B125" s="259">
        <f>(B124/B123)*(B122/B121)*(B120/B119)*(B118/B117)*B116</f>
        <v>1</v>
      </c>
      <c r="C125" s="260"/>
      <c r="D125" s="261"/>
      <c r="E125" s="157" t="s">
        <v>83</v>
      </c>
      <c r="F125" s="194" t="e">
        <f>STDEV(F117:F122)/F124</f>
        <v>#DIV/0!</v>
      </c>
      <c r="G125" s="98"/>
    </row>
    <row r="126" spans="1:7" ht="27" customHeight="1" x14ac:dyDescent="0.4">
      <c r="A126" s="298" t="s">
        <v>77</v>
      </c>
      <c r="B126" s="299"/>
      <c r="C126" s="262"/>
      <c r="D126" s="263"/>
      <c r="E126" s="264" t="s">
        <v>20</v>
      </c>
      <c r="F126" s="265">
        <f>COUNT(F117:F122)</f>
        <v>0</v>
      </c>
      <c r="G126" s="98"/>
    </row>
    <row r="127" spans="1:7" ht="19.5" customHeight="1" x14ac:dyDescent="0.3">
      <c r="A127" s="300"/>
      <c r="B127" s="301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95</v>
      </c>
      <c r="B129" s="201" t="s">
        <v>122</v>
      </c>
      <c r="C129" s="302" t="str">
        <f>B20</f>
        <v xml:space="preserve">Glimepiride </v>
      </c>
      <c r="D129" s="302"/>
      <c r="E129" s="202" t="s">
        <v>123</v>
      </c>
      <c r="F129" s="202"/>
      <c r="G129" s="205" t="e">
        <f>F124</f>
        <v>#DIV/0!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293" t="s">
        <v>26</v>
      </c>
      <c r="C131" s="293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9" zoomScale="50" zoomScaleNormal="40" zoomScalePageLayoutView="50" workbookViewId="0">
      <selection activeCell="A80" sqref="A80"/>
    </sheetView>
  </sheetViews>
  <sheetFormatPr defaultColWidth="9.140625" defaultRowHeight="13.5" x14ac:dyDescent="0.25"/>
  <cols>
    <col min="1" max="1" width="55.42578125" style="317" customWidth="1"/>
    <col min="2" max="2" width="33.7109375" style="317" customWidth="1"/>
    <col min="3" max="3" width="42.28515625" style="317" customWidth="1"/>
    <col min="4" max="4" width="30.5703125" style="317" customWidth="1"/>
    <col min="5" max="5" width="39.85546875" style="317" customWidth="1"/>
    <col min="6" max="6" width="30.7109375" style="317" customWidth="1"/>
    <col min="7" max="7" width="39.85546875" style="317" customWidth="1"/>
    <col min="8" max="8" width="30" style="317" customWidth="1"/>
    <col min="9" max="9" width="30.28515625" style="317" hidden="1" customWidth="1"/>
    <col min="10" max="10" width="30.42578125" style="317" customWidth="1"/>
    <col min="11" max="11" width="21.28515625" style="317" customWidth="1"/>
    <col min="12" max="12" width="9.140625" style="317"/>
    <col min="13" max="16384" width="9.140625" style="324"/>
  </cols>
  <sheetData>
    <row r="1" spans="1:9" ht="18.75" customHeight="1" x14ac:dyDescent="0.25">
      <c r="A1" s="316" t="s">
        <v>45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25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25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25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25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25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25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25">
      <c r="A8" s="318" t="s">
        <v>46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thickBot="1" x14ac:dyDescent="0.35">
      <c r="A15" s="319"/>
    </row>
    <row r="16" spans="1:9" ht="19.5" customHeight="1" thickBot="1" x14ac:dyDescent="0.35">
      <c r="A16" s="320" t="s">
        <v>31</v>
      </c>
      <c r="B16" s="321"/>
      <c r="C16" s="321"/>
      <c r="D16" s="321"/>
      <c r="E16" s="321"/>
      <c r="F16" s="321"/>
      <c r="G16" s="321"/>
      <c r="H16" s="322"/>
    </row>
    <row r="17" spans="1:14" ht="20.25" customHeight="1" x14ac:dyDescent="0.25">
      <c r="A17" s="323" t="s">
        <v>47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325" t="s">
        <v>33</v>
      </c>
      <c r="B18" s="326" t="s">
        <v>5</v>
      </c>
      <c r="C18" s="326"/>
      <c r="D18" s="327"/>
      <c r="E18" s="328"/>
      <c r="F18" s="329"/>
      <c r="G18" s="329"/>
      <c r="H18" s="329"/>
    </row>
    <row r="19" spans="1:14" ht="26.25" customHeight="1" x14ac:dyDescent="0.4">
      <c r="A19" s="325" t="s">
        <v>34</v>
      </c>
      <c r="B19" s="330" t="s">
        <v>7</v>
      </c>
      <c r="C19" s="329">
        <v>1</v>
      </c>
      <c r="D19" s="329"/>
      <c r="E19" s="329"/>
      <c r="F19" s="329"/>
      <c r="G19" s="329"/>
      <c r="H19" s="329"/>
    </row>
    <row r="20" spans="1:14" ht="26.25" customHeight="1" x14ac:dyDescent="0.4">
      <c r="A20" s="325" t="s">
        <v>35</v>
      </c>
      <c r="B20" s="331" t="s">
        <v>9</v>
      </c>
      <c r="C20" s="331"/>
      <c r="D20" s="329"/>
      <c r="E20" s="329"/>
      <c r="F20" s="329"/>
      <c r="G20" s="329"/>
      <c r="H20" s="329"/>
    </row>
    <row r="21" spans="1:14" ht="26.25" customHeight="1" x14ac:dyDescent="0.4">
      <c r="A21" s="325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332"/>
    </row>
    <row r="22" spans="1:14" ht="26.25" customHeight="1" x14ac:dyDescent="0.4">
      <c r="A22" s="325" t="s">
        <v>37</v>
      </c>
      <c r="B22" s="333">
        <v>42748</v>
      </c>
      <c r="C22" s="329"/>
      <c r="D22" s="329"/>
      <c r="E22" s="329"/>
      <c r="F22" s="329"/>
      <c r="G22" s="329"/>
      <c r="H22" s="329"/>
    </row>
    <row r="23" spans="1:14" ht="26.25" customHeight="1" x14ac:dyDescent="0.4">
      <c r="A23" s="325" t="s">
        <v>38</v>
      </c>
      <c r="B23" s="333">
        <v>42751</v>
      </c>
      <c r="C23" s="329"/>
      <c r="D23" s="329"/>
      <c r="E23" s="329"/>
      <c r="F23" s="329"/>
      <c r="G23" s="329"/>
      <c r="H23" s="329"/>
    </row>
    <row r="24" spans="1:14" ht="18.75" x14ac:dyDescent="0.3">
      <c r="A24" s="325"/>
      <c r="B24" s="334"/>
    </row>
    <row r="25" spans="1:14" ht="18.75" x14ac:dyDescent="0.3">
      <c r="A25" s="335" t="s">
        <v>1</v>
      </c>
      <c r="B25" s="334"/>
    </row>
    <row r="26" spans="1:14" ht="26.25" customHeight="1" x14ac:dyDescent="0.4">
      <c r="A26" s="336" t="s">
        <v>4</v>
      </c>
      <c r="B26" s="326" t="s">
        <v>9</v>
      </c>
      <c r="C26" s="326"/>
    </row>
    <row r="27" spans="1:14" ht="26.25" customHeight="1" x14ac:dyDescent="0.4">
      <c r="A27" s="337" t="s">
        <v>48</v>
      </c>
      <c r="B27" s="338" t="s">
        <v>151</v>
      </c>
      <c r="C27" s="338"/>
    </row>
    <row r="28" spans="1:14" ht="27" customHeight="1" thickBot="1" x14ac:dyDescent="0.45">
      <c r="A28" s="337" t="s">
        <v>6</v>
      </c>
      <c r="B28" s="339">
        <v>98.71</v>
      </c>
    </row>
    <row r="29" spans="1:14" s="344" customFormat="1" ht="27" customHeight="1" thickBot="1" x14ac:dyDescent="0.45">
      <c r="A29" s="337" t="s">
        <v>49</v>
      </c>
      <c r="B29" s="340">
        <v>0</v>
      </c>
      <c r="C29" s="341" t="s">
        <v>106</v>
      </c>
      <c r="D29" s="342"/>
      <c r="E29" s="342"/>
      <c r="F29" s="342"/>
      <c r="G29" s="343"/>
      <c r="I29" s="345"/>
      <c r="J29" s="345"/>
      <c r="K29" s="345"/>
      <c r="L29" s="345"/>
    </row>
    <row r="30" spans="1:14" s="344" customFormat="1" ht="19.5" customHeight="1" thickBot="1" x14ac:dyDescent="0.35">
      <c r="A30" s="337" t="s">
        <v>51</v>
      </c>
      <c r="B30" s="346">
        <f>B28-B29</f>
        <v>98.71</v>
      </c>
      <c r="C30" s="347"/>
      <c r="D30" s="347"/>
      <c r="E30" s="347"/>
      <c r="F30" s="347"/>
      <c r="G30" s="348"/>
      <c r="I30" s="345"/>
      <c r="J30" s="345"/>
      <c r="K30" s="345"/>
      <c r="L30" s="345"/>
    </row>
    <row r="31" spans="1:14" s="344" customFormat="1" ht="27" customHeight="1" thickBot="1" x14ac:dyDescent="0.45">
      <c r="A31" s="337" t="s">
        <v>52</v>
      </c>
      <c r="B31" s="349">
        <v>1</v>
      </c>
      <c r="C31" s="350" t="s">
        <v>53</v>
      </c>
      <c r="D31" s="351"/>
      <c r="E31" s="351"/>
      <c r="F31" s="351"/>
      <c r="G31" s="351"/>
      <c r="H31" s="352"/>
      <c r="I31" s="345"/>
      <c r="J31" s="345"/>
      <c r="K31" s="345"/>
      <c r="L31" s="345"/>
    </row>
    <row r="32" spans="1:14" s="344" customFormat="1" ht="27" customHeight="1" thickBot="1" x14ac:dyDescent="0.45">
      <c r="A32" s="337" t="s">
        <v>54</v>
      </c>
      <c r="B32" s="349">
        <v>1</v>
      </c>
      <c r="C32" s="350" t="s">
        <v>55</v>
      </c>
      <c r="D32" s="351"/>
      <c r="E32" s="351"/>
      <c r="F32" s="351"/>
      <c r="G32" s="351"/>
      <c r="H32" s="352"/>
      <c r="I32" s="345"/>
      <c r="J32" s="345"/>
      <c r="K32" s="345"/>
      <c r="L32" s="353"/>
      <c r="M32" s="353"/>
      <c r="N32" s="354"/>
    </row>
    <row r="33" spans="1:14" s="344" customFormat="1" ht="17.25" customHeight="1" x14ac:dyDescent="0.3">
      <c r="A33" s="337"/>
      <c r="B33" s="355"/>
      <c r="C33" s="356"/>
      <c r="D33" s="356"/>
      <c r="E33" s="356"/>
      <c r="F33" s="356"/>
      <c r="G33" s="356"/>
      <c r="H33" s="356"/>
      <c r="I33" s="345"/>
      <c r="J33" s="345"/>
      <c r="K33" s="345"/>
      <c r="L33" s="353"/>
      <c r="M33" s="353"/>
      <c r="N33" s="354"/>
    </row>
    <row r="34" spans="1:14" s="344" customFormat="1" ht="18.75" x14ac:dyDescent="0.3">
      <c r="A34" s="337" t="s">
        <v>56</v>
      </c>
      <c r="B34" s="357">
        <f>B31/B32</f>
        <v>1</v>
      </c>
      <c r="C34" s="319" t="s">
        <v>57</v>
      </c>
      <c r="D34" s="319"/>
      <c r="E34" s="319"/>
      <c r="F34" s="319"/>
      <c r="G34" s="319"/>
      <c r="I34" s="345"/>
      <c r="J34" s="345"/>
      <c r="K34" s="345"/>
      <c r="L34" s="353"/>
      <c r="M34" s="353"/>
      <c r="N34" s="354"/>
    </row>
    <row r="35" spans="1:14" s="344" customFormat="1" ht="19.5" customHeight="1" thickBot="1" x14ac:dyDescent="0.35">
      <c r="A35" s="337"/>
      <c r="B35" s="346"/>
      <c r="G35" s="319"/>
      <c r="I35" s="345"/>
      <c r="J35" s="345"/>
      <c r="K35" s="345"/>
      <c r="L35" s="353"/>
      <c r="M35" s="353"/>
      <c r="N35" s="354"/>
    </row>
    <row r="36" spans="1:14" s="344" customFormat="1" ht="27" customHeight="1" thickBot="1" x14ac:dyDescent="0.45">
      <c r="A36" s="358" t="s">
        <v>124</v>
      </c>
      <c r="B36" s="359">
        <v>100</v>
      </c>
      <c r="C36" s="319"/>
      <c r="D36" s="360" t="s">
        <v>59</v>
      </c>
      <c r="E36" s="361"/>
      <c r="F36" s="360" t="s">
        <v>60</v>
      </c>
      <c r="G36" s="362"/>
      <c r="J36" s="345"/>
      <c r="K36" s="345"/>
      <c r="L36" s="353"/>
      <c r="M36" s="353"/>
      <c r="N36" s="354"/>
    </row>
    <row r="37" spans="1:14" s="344" customFormat="1" ht="27" customHeight="1" thickBot="1" x14ac:dyDescent="0.45">
      <c r="A37" s="363" t="s">
        <v>61</v>
      </c>
      <c r="B37" s="364">
        <v>1</v>
      </c>
      <c r="C37" s="365" t="s">
        <v>62</v>
      </c>
      <c r="D37" s="366" t="s">
        <v>63</v>
      </c>
      <c r="E37" s="367" t="s">
        <v>64</v>
      </c>
      <c r="F37" s="366" t="s">
        <v>63</v>
      </c>
      <c r="G37" s="368" t="s">
        <v>64</v>
      </c>
      <c r="I37" s="369" t="s">
        <v>125</v>
      </c>
      <c r="J37" s="345"/>
      <c r="K37" s="345"/>
      <c r="L37" s="353"/>
      <c r="M37" s="353"/>
      <c r="N37" s="354"/>
    </row>
    <row r="38" spans="1:14" s="344" customFormat="1" ht="26.25" customHeight="1" x14ac:dyDescent="0.4">
      <c r="A38" s="363" t="s">
        <v>65</v>
      </c>
      <c r="B38" s="364">
        <v>1</v>
      </c>
      <c r="C38" s="370">
        <v>1</v>
      </c>
      <c r="D38" s="371">
        <v>35163699</v>
      </c>
      <c r="E38" s="372">
        <f>IF(ISBLANK(D38),"-",$D$48/$D$45*D38)</f>
        <v>34754379.297819927</v>
      </c>
      <c r="F38" s="371">
        <v>34702273</v>
      </c>
      <c r="G38" s="373">
        <f>IF(ISBLANK(F38),"-",$D$48/$F$45*F38)</f>
        <v>35475058.118548654</v>
      </c>
      <c r="I38" s="374"/>
      <c r="J38" s="345"/>
      <c r="K38" s="345"/>
      <c r="L38" s="353"/>
      <c r="M38" s="353"/>
      <c r="N38" s="354"/>
    </row>
    <row r="39" spans="1:14" s="344" customFormat="1" ht="26.25" customHeight="1" x14ac:dyDescent="0.4">
      <c r="A39" s="363" t="s">
        <v>66</v>
      </c>
      <c r="B39" s="364">
        <v>1</v>
      </c>
      <c r="C39" s="375">
        <v>2</v>
      </c>
      <c r="D39" s="376">
        <v>35227704</v>
      </c>
      <c r="E39" s="377">
        <f>IF(ISBLANK(D39),"-",$D$48/$D$45*D39)</f>
        <v>34817639.253689669</v>
      </c>
      <c r="F39" s="376">
        <v>34720589</v>
      </c>
      <c r="G39" s="378">
        <f>IF(ISBLANK(F39),"-",$D$48/$F$45*F39)</f>
        <v>35493781.997658797</v>
      </c>
      <c r="I39" s="379">
        <f>ABS((F43/D43*D42)-F42)/D42</f>
        <v>1.8980736491039134E-2</v>
      </c>
      <c r="J39" s="345"/>
      <c r="K39" s="345"/>
      <c r="L39" s="353"/>
      <c r="M39" s="353"/>
      <c r="N39" s="354"/>
    </row>
    <row r="40" spans="1:14" ht="26.25" customHeight="1" x14ac:dyDescent="0.4">
      <c r="A40" s="363" t="s">
        <v>67</v>
      </c>
      <c r="B40" s="364">
        <v>1</v>
      </c>
      <c r="C40" s="375">
        <v>3</v>
      </c>
      <c r="D40" s="376">
        <v>35241825</v>
      </c>
      <c r="E40" s="377">
        <f>IF(ISBLANK(D40),"-",$D$48/$D$45*D40)</f>
        <v>34831595.87952885</v>
      </c>
      <c r="F40" s="376">
        <v>34711431</v>
      </c>
      <c r="G40" s="378">
        <f>IF(ISBLANK(F40),"-",$D$48/$F$45*F40)</f>
        <v>35484420.058103725</v>
      </c>
      <c r="I40" s="379"/>
      <c r="L40" s="353"/>
      <c r="M40" s="353"/>
      <c r="N40" s="319"/>
    </row>
    <row r="41" spans="1:14" ht="27" customHeight="1" thickBot="1" x14ac:dyDescent="0.45">
      <c r="A41" s="363" t="s">
        <v>68</v>
      </c>
      <c r="B41" s="364">
        <v>1</v>
      </c>
      <c r="C41" s="380">
        <v>4</v>
      </c>
      <c r="D41" s="381"/>
      <c r="E41" s="382" t="str">
        <f>IF(ISBLANK(D41),"-",$D$48/$D$45*D41)</f>
        <v>-</v>
      </c>
      <c r="F41" s="381"/>
      <c r="G41" s="383" t="str">
        <f>IF(ISBLANK(F41),"-",$D$48/$F$45*F41)</f>
        <v>-</v>
      </c>
      <c r="I41" s="384"/>
      <c r="L41" s="353"/>
      <c r="M41" s="353"/>
      <c r="N41" s="319"/>
    </row>
    <row r="42" spans="1:14" ht="27" customHeight="1" thickBot="1" x14ac:dyDescent="0.45">
      <c r="A42" s="363" t="s">
        <v>69</v>
      </c>
      <c r="B42" s="364">
        <v>1</v>
      </c>
      <c r="C42" s="385" t="s">
        <v>70</v>
      </c>
      <c r="D42" s="386">
        <f>AVERAGE(D38:D41)</f>
        <v>35211076</v>
      </c>
      <c r="E42" s="387">
        <f>AVERAGE(E38:E41)</f>
        <v>34801204.810346149</v>
      </c>
      <c r="F42" s="386">
        <f>AVERAGE(F38:F41)</f>
        <v>34711431</v>
      </c>
      <c r="G42" s="388">
        <f>AVERAGE(G38:G41)</f>
        <v>35484420.058103725</v>
      </c>
      <c r="H42" s="389"/>
    </row>
    <row r="43" spans="1:14" ht="26.25" customHeight="1" x14ac:dyDescent="0.4">
      <c r="A43" s="363" t="s">
        <v>71</v>
      </c>
      <c r="B43" s="364">
        <v>1</v>
      </c>
      <c r="C43" s="390" t="s">
        <v>126</v>
      </c>
      <c r="D43" s="391">
        <v>10.25</v>
      </c>
      <c r="E43" s="319"/>
      <c r="F43" s="391">
        <v>9.91</v>
      </c>
      <c r="H43" s="389"/>
    </row>
    <row r="44" spans="1:14" ht="26.25" customHeight="1" x14ac:dyDescent="0.4">
      <c r="A44" s="363" t="s">
        <v>73</v>
      </c>
      <c r="B44" s="364">
        <v>1</v>
      </c>
      <c r="C44" s="392" t="s">
        <v>127</v>
      </c>
      <c r="D44" s="393">
        <f>D43*$B$34</f>
        <v>10.25</v>
      </c>
      <c r="E44" s="394"/>
      <c r="F44" s="393">
        <f>F43*$B$34</f>
        <v>9.91</v>
      </c>
      <c r="H44" s="389"/>
    </row>
    <row r="45" spans="1:14" ht="19.5" customHeight="1" thickBot="1" x14ac:dyDescent="0.35">
      <c r="A45" s="363" t="s">
        <v>75</v>
      </c>
      <c r="B45" s="375">
        <f>(B44/B43)*(B42/B41)*(B40/B39)*(B38/B37)*B36</f>
        <v>100</v>
      </c>
      <c r="C45" s="392" t="s">
        <v>76</v>
      </c>
      <c r="D45" s="395">
        <f>D44*$B$30/100</f>
        <v>10.117775</v>
      </c>
      <c r="E45" s="396"/>
      <c r="F45" s="395">
        <f>F44*$B$30/100</f>
        <v>9.7821610000000003</v>
      </c>
      <c r="H45" s="389"/>
    </row>
    <row r="46" spans="1:14" ht="19.5" customHeight="1" thickBot="1" x14ac:dyDescent="0.35">
      <c r="A46" s="397" t="s">
        <v>77</v>
      </c>
      <c r="B46" s="398"/>
      <c r="C46" s="392" t="s">
        <v>78</v>
      </c>
      <c r="D46" s="399">
        <f>D45/$B$45</f>
        <v>0.10117775</v>
      </c>
      <c r="E46" s="400"/>
      <c r="F46" s="401">
        <f>F45/$B$45</f>
        <v>9.7821610000000003E-2</v>
      </c>
      <c r="H46" s="389"/>
    </row>
    <row r="47" spans="1:14" ht="27" customHeight="1" thickBot="1" x14ac:dyDescent="0.45">
      <c r="A47" s="402"/>
      <c r="B47" s="403"/>
      <c r="C47" s="404" t="s">
        <v>128</v>
      </c>
      <c r="D47" s="405">
        <v>0.1</v>
      </c>
      <c r="E47" s="406"/>
      <c r="F47" s="400"/>
      <c r="H47" s="389"/>
    </row>
    <row r="48" spans="1:14" ht="18.75" x14ac:dyDescent="0.3">
      <c r="C48" s="407" t="s">
        <v>80</v>
      </c>
      <c r="D48" s="395">
        <f>D47*$B$45</f>
        <v>10</v>
      </c>
      <c r="F48" s="408"/>
      <c r="H48" s="389"/>
    </row>
    <row r="49" spans="1:12" ht="19.5" customHeight="1" thickBot="1" x14ac:dyDescent="0.35">
      <c r="C49" s="409" t="s">
        <v>81</v>
      </c>
      <c r="D49" s="410">
        <f>D48/B34</f>
        <v>10</v>
      </c>
      <c r="F49" s="408"/>
      <c r="H49" s="389"/>
    </row>
    <row r="50" spans="1:12" ht="18.75" x14ac:dyDescent="0.3">
      <c r="C50" s="358" t="s">
        <v>82</v>
      </c>
      <c r="D50" s="411">
        <f>AVERAGE(E38:E41,G38:G41)</f>
        <v>35142812.434224933</v>
      </c>
      <c r="F50" s="412"/>
      <c r="H50" s="389"/>
    </row>
    <row r="51" spans="1:12" ht="18.75" x14ac:dyDescent="0.3">
      <c r="C51" s="363" t="s">
        <v>83</v>
      </c>
      <c r="D51" s="413">
        <f>STDEV(E38:E41,G38:G41)/D50</f>
        <v>1.0675382421100563E-2</v>
      </c>
      <c r="F51" s="412"/>
      <c r="H51" s="389"/>
    </row>
    <row r="52" spans="1:12" ht="19.5" customHeight="1" thickBot="1" x14ac:dyDescent="0.35">
      <c r="C52" s="414" t="s">
        <v>20</v>
      </c>
      <c r="D52" s="415">
        <f>COUNT(E38:E41,G38:G41)</f>
        <v>6</v>
      </c>
      <c r="F52" s="412"/>
    </row>
    <row r="54" spans="1:12" ht="18.75" x14ac:dyDescent="0.3">
      <c r="A54" s="416" t="s">
        <v>1</v>
      </c>
      <c r="B54" s="417" t="s">
        <v>84</v>
      </c>
    </row>
    <row r="55" spans="1:12" ht="18.75" x14ac:dyDescent="0.3">
      <c r="A55" s="319" t="s">
        <v>85</v>
      </c>
      <c r="B55" s="418" t="str">
        <f>B21</f>
        <v>Each uncoated tablet contains:Glimepiride USP 2 mg.</v>
      </c>
    </row>
    <row r="56" spans="1:12" ht="26.25" customHeight="1" x14ac:dyDescent="0.4">
      <c r="A56" s="418" t="s">
        <v>86</v>
      </c>
      <c r="B56" s="419">
        <v>2</v>
      </c>
      <c r="C56" s="319" t="str">
        <f>B20</f>
        <v xml:space="preserve">Glimepiride </v>
      </c>
      <c r="H56" s="394"/>
    </row>
    <row r="57" spans="1:12" ht="18.75" x14ac:dyDescent="0.3">
      <c r="A57" s="418" t="s">
        <v>87</v>
      </c>
      <c r="B57" s="420">
        <f>[1]Uniformity!C46</f>
        <v>259.31150000000002</v>
      </c>
      <c r="H57" s="394"/>
    </row>
    <row r="58" spans="1:12" ht="19.5" customHeight="1" thickBot="1" x14ac:dyDescent="0.35">
      <c r="H58" s="394"/>
    </row>
    <row r="59" spans="1:12" s="344" customFormat="1" ht="27" customHeight="1" thickBot="1" x14ac:dyDescent="0.45">
      <c r="A59" s="358" t="s">
        <v>129</v>
      </c>
      <c r="B59" s="359">
        <v>100</v>
      </c>
      <c r="C59" s="319"/>
      <c r="D59" s="421" t="s">
        <v>130</v>
      </c>
      <c r="E59" s="422" t="s">
        <v>62</v>
      </c>
      <c r="F59" s="422" t="s">
        <v>63</v>
      </c>
      <c r="G59" s="422" t="s">
        <v>131</v>
      </c>
      <c r="H59" s="365" t="s">
        <v>132</v>
      </c>
      <c r="L59" s="345"/>
    </row>
    <row r="60" spans="1:12" s="344" customFormat="1" ht="26.25" customHeight="1" x14ac:dyDescent="0.4">
      <c r="A60" s="363" t="s">
        <v>133</v>
      </c>
      <c r="B60" s="364">
        <v>1</v>
      </c>
      <c r="C60" s="423" t="s">
        <v>134</v>
      </c>
      <c r="D60" s="424">
        <v>1298.3599999999999</v>
      </c>
      <c r="E60" s="425">
        <v>1</v>
      </c>
      <c r="F60" s="426">
        <v>35401565</v>
      </c>
      <c r="G60" s="427">
        <f>IF(ISBLANK(F60),"-",(F60/$D$50*$D$47*$B$68)*($B$57/$D$60))</f>
        <v>2.0119287511815842</v>
      </c>
      <c r="H60" s="428">
        <f t="shared" ref="H60:H71" si="0">IF(ISBLANK(F60),"-",(G60/$B$56)*100)</f>
        <v>100.59643755907921</v>
      </c>
      <c r="L60" s="345"/>
    </row>
    <row r="61" spans="1:12" s="344" customFormat="1" ht="26.25" customHeight="1" x14ac:dyDescent="0.4">
      <c r="A61" s="363" t="s">
        <v>114</v>
      </c>
      <c r="B61" s="364">
        <v>1</v>
      </c>
      <c r="C61" s="429"/>
      <c r="D61" s="430"/>
      <c r="E61" s="431">
        <v>2</v>
      </c>
      <c r="F61" s="376">
        <v>35385974</v>
      </c>
      <c r="G61" s="432">
        <f>IF(ISBLANK(F61),"-",(F61/$D$50*$D$47*$B$68)*($B$57/$D$60))</f>
        <v>2.0110426891908308</v>
      </c>
      <c r="H61" s="433">
        <f t="shared" si="0"/>
        <v>100.55213445954155</v>
      </c>
      <c r="L61" s="345"/>
    </row>
    <row r="62" spans="1:12" s="344" customFormat="1" ht="26.25" customHeight="1" x14ac:dyDescent="0.4">
      <c r="A62" s="363" t="s">
        <v>115</v>
      </c>
      <c r="B62" s="364">
        <v>1</v>
      </c>
      <c r="C62" s="429"/>
      <c r="D62" s="430"/>
      <c r="E62" s="431">
        <v>3</v>
      </c>
      <c r="F62" s="434">
        <v>35353607</v>
      </c>
      <c r="G62" s="432">
        <f>IF(ISBLANK(F62),"-",(F62/$D$50*$D$47*$B$68)*($B$57/$D$60))</f>
        <v>2.0092032197241703</v>
      </c>
      <c r="H62" s="433">
        <f t="shared" si="0"/>
        <v>100.46016098620851</v>
      </c>
      <c r="L62" s="345"/>
    </row>
    <row r="63" spans="1:12" ht="27" customHeight="1" thickBot="1" x14ac:dyDescent="0.45">
      <c r="A63" s="363" t="s">
        <v>116</v>
      </c>
      <c r="B63" s="364">
        <v>1</v>
      </c>
      <c r="C63" s="435"/>
      <c r="D63" s="436"/>
      <c r="E63" s="437">
        <v>4</v>
      </c>
      <c r="F63" s="438"/>
      <c r="G63" s="432" t="str">
        <f>IF(ISBLANK(F63),"-",(F63/$D$50*$D$47*$B$68)*($B$57/$D$60))</f>
        <v>-</v>
      </c>
      <c r="H63" s="433" t="str">
        <f t="shared" si="0"/>
        <v>-</v>
      </c>
    </row>
    <row r="64" spans="1:12" ht="26.25" customHeight="1" x14ac:dyDescent="0.4">
      <c r="A64" s="363" t="s">
        <v>117</v>
      </c>
      <c r="B64" s="364">
        <v>1</v>
      </c>
      <c r="C64" s="423" t="s">
        <v>135</v>
      </c>
      <c r="D64" s="424">
        <v>1293.45</v>
      </c>
      <c r="E64" s="425">
        <v>1</v>
      </c>
      <c r="F64" s="426">
        <v>35267797</v>
      </c>
      <c r="G64" s="427">
        <f>IF(ISBLANK(F64),"-",(F64/$D$50*$D$47*$B$68)*($B$57/$D$64))</f>
        <v>2.0119350195408883</v>
      </c>
      <c r="H64" s="428">
        <f t="shared" si="0"/>
        <v>100.59675097704441</v>
      </c>
    </row>
    <row r="65" spans="1:8" ht="26.25" customHeight="1" x14ac:dyDescent="0.4">
      <c r="A65" s="363" t="s">
        <v>118</v>
      </c>
      <c r="B65" s="364">
        <v>1</v>
      </c>
      <c r="C65" s="429"/>
      <c r="D65" s="430"/>
      <c r="E65" s="431">
        <v>2</v>
      </c>
      <c r="F65" s="376">
        <v>35279712</v>
      </c>
      <c r="G65" s="432">
        <f>IF(ISBLANK(F65),"-",(F65/$D$50*$D$47*$B$68)*($B$57/$D$64))</f>
        <v>2.0126147389392339</v>
      </c>
      <c r="H65" s="433">
        <f t="shared" si="0"/>
        <v>100.63073694696169</v>
      </c>
    </row>
    <row r="66" spans="1:8" ht="26.25" customHeight="1" x14ac:dyDescent="0.4">
      <c r="A66" s="363" t="s">
        <v>119</v>
      </c>
      <c r="B66" s="364">
        <v>1</v>
      </c>
      <c r="C66" s="429"/>
      <c r="D66" s="430"/>
      <c r="E66" s="431">
        <v>3</v>
      </c>
      <c r="F66" s="376">
        <v>35245288</v>
      </c>
      <c r="G66" s="432">
        <f>IF(ISBLANK(F66),"-",(F66/$D$50*$D$47*$B$68)*($B$57/$D$64))</f>
        <v>2.0106509403182802</v>
      </c>
      <c r="H66" s="433">
        <f t="shared" si="0"/>
        <v>100.53254701591401</v>
      </c>
    </row>
    <row r="67" spans="1:8" ht="27" customHeight="1" thickBot="1" x14ac:dyDescent="0.45">
      <c r="A67" s="363" t="s">
        <v>120</v>
      </c>
      <c r="B67" s="364">
        <v>1</v>
      </c>
      <c r="C67" s="435"/>
      <c r="D67" s="436"/>
      <c r="E67" s="437">
        <v>4</v>
      </c>
      <c r="F67" s="438"/>
      <c r="G67" s="439" t="str">
        <f>IF(ISBLANK(F67),"-",(F67/$D$50*$D$47*$B$68)*($B$57/$D$64))</f>
        <v>-</v>
      </c>
      <c r="H67" s="440" t="str">
        <f t="shared" si="0"/>
        <v>-</v>
      </c>
    </row>
    <row r="68" spans="1:8" ht="26.25" customHeight="1" x14ac:dyDescent="0.4">
      <c r="A68" s="363" t="s">
        <v>121</v>
      </c>
      <c r="B68" s="441">
        <f>(B67/B66)*(B65/B64)*(B63/B62)*(B61/B60)*B59</f>
        <v>100</v>
      </c>
      <c r="C68" s="423" t="s">
        <v>136</v>
      </c>
      <c r="D68" s="424">
        <v>1296</v>
      </c>
      <c r="E68" s="425">
        <v>1</v>
      </c>
      <c r="F68" s="426">
        <v>35344213</v>
      </c>
      <c r="G68" s="427">
        <f>IF(ISBLANK(F68),"-",(F68/$D$50*$D$47*$B$68)*($B$57/$D$68))</f>
        <v>2.0123271054392542</v>
      </c>
      <c r="H68" s="433">
        <f t="shared" si="0"/>
        <v>100.6163552719627</v>
      </c>
    </row>
    <row r="69" spans="1:8" ht="27" customHeight="1" thickBot="1" x14ac:dyDescent="0.45">
      <c r="A69" s="414" t="s">
        <v>137</v>
      </c>
      <c r="B69" s="442">
        <f>(D47*B68)/B56*B57</f>
        <v>1296.5575000000001</v>
      </c>
      <c r="C69" s="429"/>
      <c r="D69" s="430"/>
      <c r="E69" s="431">
        <v>2</v>
      </c>
      <c r="F69" s="376">
        <v>36111334</v>
      </c>
      <c r="G69" s="432">
        <f>IF(ISBLANK(F69),"-",(F69/$D$50*$D$47*$B$68)*($B$57/$D$68))</f>
        <v>2.0560032337336285</v>
      </c>
      <c r="H69" s="433">
        <f t="shared" si="0"/>
        <v>102.80016168668142</v>
      </c>
    </row>
    <row r="70" spans="1:8" ht="26.25" customHeight="1" x14ac:dyDescent="0.4">
      <c r="A70" s="443" t="s">
        <v>77</v>
      </c>
      <c r="B70" s="444"/>
      <c r="C70" s="429"/>
      <c r="D70" s="430"/>
      <c r="E70" s="431">
        <v>3</v>
      </c>
      <c r="F70" s="376">
        <v>35542126</v>
      </c>
      <c r="G70" s="432">
        <f>IF(ISBLANK(F70),"-",(F70/$D$50*$D$47*$B$68)*($B$57/$D$68))</f>
        <v>2.0235953063868553</v>
      </c>
      <c r="H70" s="433">
        <f t="shared" si="0"/>
        <v>101.17976531934276</v>
      </c>
    </row>
    <row r="71" spans="1:8" ht="27" customHeight="1" thickBot="1" x14ac:dyDescent="0.45">
      <c r="A71" s="445"/>
      <c r="B71" s="446"/>
      <c r="C71" s="447"/>
      <c r="D71" s="436"/>
      <c r="E71" s="437">
        <v>4</v>
      </c>
      <c r="F71" s="438"/>
      <c r="G71" s="439" t="str">
        <f>IF(ISBLANK(F71),"-",(F71/$D$50*$D$47*$B$68)*($B$57/$D$68))</f>
        <v>-</v>
      </c>
      <c r="H71" s="440" t="str">
        <f t="shared" si="0"/>
        <v>-</v>
      </c>
    </row>
    <row r="72" spans="1:8" ht="26.25" customHeight="1" x14ac:dyDescent="0.4">
      <c r="A72" s="394"/>
      <c r="B72" s="394"/>
      <c r="C72" s="394"/>
      <c r="D72" s="394"/>
      <c r="E72" s="394"/>
      <c r="F72" s="448" t="s">
        <v>70</v>
      </c>
      <c r="G72" s="449">
        <f>AVERAGE(G60:G71)</f>
        <v>2.0177001116060804</v>
      </c>
      <c r="H72" s="450">
        <f>AVERAGE(H60:H71)</f>
        <v>100.88500558030404</v>
      </c>
    </row>
    <row r="73" spans="1:8" ht="26.25" customHeight="1" x14ac:dyDescent="0.4">
      <c r="C73" s="394"/>
      <c r="D73" s="394"/>
      <c r="E73" s="394"/>
      <c r="F73" s="451" t="s">
        <v>83</v>
      </c>
      <c r="G73" s="452">
        <f>STDEV(G60:G71)/G72</f>
        <v>7.4122162540844663E-3</v>
      </c>
      <c r="H73" s="452">
        <f>STDEV(H60:H71)/H72</f>
        <v>7.412216254084468E-3</v>
      </c>
    </row>
    <row r="74" spans="1:8" ht="27" customHeight="1" thickBot="1" x14ac:dyDescent="0.45">
      <c r="A74" s="394"/>
      <c r="B74" s="394"/>
      <c r="C74" s="394"/>
      <c r="D74" s="394"/>
      <c r="E74" s="396"/>
      <c r="F74" s="453" t="s">
        <v>20</v>
      </c>
      <c r="G74" s="454">
        <f>COUNT(G60:G71)</f>
        <v>9</v>
      </c>
      <c r="H74" s="454">
        <f>COUNT(H60:H71)</f>
        <v>9</v>
      </c>
    </row>
    <row r="76" spans="1:8" ht="26.25" customHeight="1" x14ac:dyDescent="0.4">
      <c r="A76" s="336" t="s">
        <v>138</v>
      </c>
      <c r="B76" s="337" t="s">
        <v>96</v>
      </c>
      <c r="C76" s="455" t="str">
        <f>B26</f>
        <v xml:space="preserve">Glimepiride </v>
      </c>
      <c r="D76" s="455"/>
      <c r="E76" s="319" t="s">
        <v>97</v>
      </c>
      <c r="F76" s="319"/>
      <c r="G76" s="456">
        <f>H72</f>
        <v>100.88500558030404</v>
      </c>
      <c r="H76" s="346"/>
    </row>
    <row r="77" spans="1:8" ht="18.75" x14ac:dyDescent="0.3">
      <c r="A77" s="335" t="s">
        <v>104</v>
      </c>
      <c r="B77" s="335" t="s">
        <v>105</v>
      </c>
    </row>
    <row r="78" spans="1:8" ht="18.75" x14ac:dyDescent="0.3">
      <c r="A78" s="335"/>
      <c r="B78" s="335"/>
    </row>
    <row r="79" spans="1:8" ht="26.25" customHeight="1" x14ac:dyDescent="0.4">
      <c r="A79" s="336" t="s">
        <v>4</v>
      </c>
      <c r="B79" s="457" t="str">
        <f>B26</f>
        <v xml:space="preserve">Glimepiride </v>
      </c>
      <c r="C79" s="457"/>
    </row>
    <row r="80" spans="1:8" ht="26.25" customHeight="1" x14ac:dyDescent="0.4">
      <c r="A80" s="337" t="s">
        <v>48</v>
      </c>
      <c r="B80" s="457" t="str">
        <f>B27</f>
        <v>G2-3</v>
      </c>
      <c r="C80" s="457"/>
    </row>
    <row r="81" spans="1:12" ht="27" customHeight="1" thickBot="1" x14ac:dyDescent="0.45">
      <c r="A81" s="337" t="s">
        <v>6</v>
      </c>
      <c r="B81" s="339">
        <f>B28</f>
        <v>98.71</v>
      </c>
    </row>
    <row r="82" spans="1:12" s="344" customFormat="1" ht="27" customHeight="1" thickBot="1" x14ac:dyDescent="0.45">
      <c r="A82" s="337" t="s">
        <v>49</v>
      </c>
      <c r="B82" s="340">
        <v>0</v>
      </c>
      <c r="C82" s="341" t="s">
        <v>106</v>
      </c>
      <c r="D82" s="342"/>
      <c r="E82" s="342"/>
      <c r="F82" s="342"/>
      <c r="G82" s="343"/>
      <c r="I82" s="345"/>
      <c r="J82" s="345"/>
      <c r="K82" s="345"/>
      <c r="L82" s="345"/>
    </row>
    <row r="83" spans="1:12" s="344" customFormat="1" ht="19.5" customHeight="1" thickBot="1" x14ac:dyDescent="0.35">
      <c r="A83" s="337" t="s">
        <v>51</v>
      </c>
      <c r="B83" s="346">
        <f>B81-B82</f>
        <v>98.71</v>
      </c>
      <c r="C83" s="347"/>
      <c r="D83" s="347"/>
      <c r="E83" s="347"/>
      <c r="F83" s="347"/>
      <c r="G83" s="348"/>
      <c r="I83" s="345"/>
      <c r="J83" s="345"/>
      <c r="K83" s="345"/>
      <c r="L83" s="345"/>
    </row>
    <row r="84" spans="1:12" s="344" customFormat="1" ht="27" customHeight="1" thickBot="1" x14ac:dyDescent="0.45">
      <c r="A84" s="337" t="s">
        <v>52</v>
      </c>
      <c r="B84" s="349">
        <v>1</v>
      </c>
      <c r="C84" s="350" t="s">
        <v>139</v>
      </c>
      <c r="D84" s="351"/>
      <c r="E84" s="351"/>
      <c r="F84" s="351"/>
      <c r="G84" s="351"/>
      <c r="H84" s="352"/>
      <c r="I84" s="345"/>
      <c r="J84" s="345"/>
      <c r="K84" s="345"/>
      <c r="L84" s="345"/>
    </row>
    <row r="85" spans="1:12" s="344" customFormat="1" ht="27" customHeight="1" thickBot="1" x14ac:dyDescent="0.45">
      <c r="A85" s="337" t="s">
        <v>54</v>
      </c>
      <c r="B85" s="349">
        <v>1</v>
      </c>
      <c r="C85" s="350" t="s">
        <v>140</v>
      </c>
      <c r="D85" s="351"/>
      <c r="E85" s="351"/>
      <c r="F85" s="351"/>
      <c r="G85" s="351"/>
      <c r="H85" s="352"/>
      <c r="I85" s="345"/>
      <c r="J85" s="345"/>
      <c r="K85" s="345"/>
      <c r="L85" s="345"/>
    </row>
    <row r="86" spans="1:12" s="344" customFormat="1" ht="18.75" x14ac:dyDescent="0.3">
      <c r="A86" s="337"/>
      <c r="B86" s="355"/>
      <c r="C86" s="356"/>
      <c r="D86" s="356"/>
      <c r="E86" s="356"/>
      <c r="F86" s="356"/>
      <c r="G86" s="356"/>
      <c r="H86" s="356"/>
      <c r="I86" s="345"/>
      <c r="J86" s="345"/>
      <c r="K86" s="345"/>
      <c r="L86" s="345"/>
    </row>
    <row r="87" spans="1:12" s="344" customFormat="1" ht="18.75" x14ac:dyDescent="0.3">
      <c r="A87" s="337" t="s">
        <v>56</v>
      </c>
      <c r="B87" s="357">
        <f>B84/B85</f>
        <v>1</v>
      </c>
      <c r="C87" s="319" t="s">
        <v>57</v>
      </c>
      <c r="D87" s="319"/>
      <c r="E87" s="319"/>
      <c r="F87" s="319"/>
      <c r="G87" s="319"/>
      <c r="I87" s="345"/>
      <c r="J87" s="345"/>
      <c r="K87" s="345"/>
      <c r="L87" s="345"/>
    </row>
    <row r="88" spans="1:12" ht="19.5" customHeight="1" thickBot="1" x14ac:dyDescent="0.35">
      <c r="A88" s="335"/>
      <c r="B88" s="335"/>
    </row>
    <row r="89" spans="1:12" ht="27" customHeight="1" thickBot="1" x14ac:dyDescent="0.45">
      <c r="A89" s="358" t="s">
        <v>124</v>
      </c>
      <c r="B89" s="359">
        <v>100</v>
      </c>
      <c r="D89" s="458" t="s">
        <v>59</v>
      </c>
      <c r="E89" s="459"/>
      <c r="F89" s="360" t="s">
        <v>60</v>
      </c>
      <c r="G89" s="362"/>
    </row>
    <row r="90" spans="1:12" ht="27" customHeight="1" thickBot="1" x14ac:dyDescent="0.45">
      <c r="A90" s="363" t="s">
        <v>61</v>
      </c>
      <c r="B90" s="364">
        <v>2</v>
      </c>
      <c r="C90" s="460" t="s">
        <v>62</v>
      </c>
      <c r="D90" s="366" t="s">
        <v>63</v>
      </c>
      <c r="E90" s="367" t="s">
        <v>64</v>
      </c>
      <c r="F90" s="366" t="s">
        <v>63</v>
      </c>
      <c r="G90" s="461" t="s">
        <v>64</v>
      </c>
      <c r="I90" s="369" t="s">
        <v>125</v>
      </c>
    </row>
    <row r="91" spans="1:12" ht="26.25" customHeight="1" x14ac:dyDescent="0.4">
      <c r="A91" s="363" t="s">
        <v>65</v>
      </c>
      <c r="B91" s="364">
        <v>100</v>
      </c>
      <c r="C91" s="462">
        <v>1</v>
      </c>
      <c r="D91" s="371">
        <v>1428784</v>
      </c>
      <c r="E91" s="372">
        <f>IF(ISBLANK(D91),"-",$D$101/$D$98*D91)</f>
        <v>1205610.6819787689</v>
      </c>
      <c r="F91" s="371">
        <v>1381165</v>
      </c>
      <c r="G91" s="373">
        <f>IF(ISBLANK(F91),"-",$D$101/$F$98*F91)</f>
        <v>1226090.8445906276</v>
      </c>
      <c r="I91" s="374"/>
    </row>
    <row r="92" spans="1:12" ht="26.25" customHeight="1" x14ac:dyDescent="0.4">
      <c r="A92" s="363" t="s">
        <v>66</v>
      </c>
      <c r="B92" s="364">
        <v>15</v>
      </c>
      <c r="C92" s="394">
        <v>2</v>
      </c>
      <c r="D92" s="376">
        <v>1428977</v>
      </c>
      <c r="E92" s="377">
        <f>IF(ISBLANK(D92),"-",$D$101/$D$98*D92)</f>
        <v>1205773.5357492631</v>
      </c>
      <c r="F92" s="376">
        <v>1379647</v>
      </c>
      <c r="G92" s="378">
        <f>IF(ISBLANK(F92),"-",$D$101/$F$98*F92)</f>
        <v>1224743.2822775885</v>
      </c>
      <c r="I92" s="379">
        <f>ABS((F96/D96*D95)-F95)/D95</f>
        <v>1.6175239630544808E-2</v>
      </c>
    </row>
    <row r="93" spans="1:12" ht="26.25" customHeight="1" x14ac:dyDescent="0.4">
      <c r="A93" s="363" t="s">
        <v>67</v>
      </c>
      <c r="B93" s="364">
        <v>50</v>
      </c>
      <c r="C93" s="394">
        <v>3</v>
      </c>
      <c r="D93" s="376">
        <v>1430164</v>
      </c>
      <c r="E93" s="377">
        <f>IF(ISBLANK(D93),"-",$D$101/$D$98*D93)</f>
        <v>1206775.1286278991</v>
      </c>
      <c r="F93" s="376">
        <v>1384325</v>
      </c>
      <c r="G93" s="378">
        <f>IF(ISBLANK(F93),"-",$D$101/$F$98*F93)</f>
        <v>1228896.0467706036</v>
      </c>
      <c r="I93" s="379"/>
    </row>
    <row r="94" spans="1:12" ht="27" customHeight="1" thickBot="1" x14ac:dyDescent="0.45">
      <c r="A94" s="363" t="s">
        <v>68</v>
      </c>
      <c r="B94" s="364">
        <v>1</v>
      </c>
      <c r="C94" s="463">
        <v>4</v>
      </c>
      <c r="D94" s="381"/>
      <c r="E94" s="382" t="str">
        <f>IF(ISBLANK(D94),"-",$D$101/$D$98*D94)</f>
        <v>-</v>
      </c>
      <c r="F94" s="464"/>
      <c r="G94" s="383" t="str">
        <f>IF(ISBLANK(F94),"-",$D$101/$F$98*F94)</f>
        <v>-</v>
      </c>
      <c r="I94" s="384"/>
    </row>
    <row r="95" spans="1:12" ht="27" customHeight="1" thickBot="1" x14ac:dyDescent="0.45">
      <c r="A95" s="363" t="s">
        <v>69</v>
      </c>
      <c r="B95" s="364">
        <v>1</v>
      </c>
      <c r="C95" s="337" t="s">
        <v>70</v>
      </c>
      <c r="D95" s="465">
        <f>AVERAGE(D91:D94)</f>
        <v>1429308.3333333333</v>
      </c>
      <c r="E95" s="387">
        <f>AVERAGE(E91:E94)</f>
        <v>1206053.1154519769</v>
      </c>
      <c r="F95" s="466">
        <f>AVERAGE(F91:F94)</f>
        <v>1381712.3333333333</v>
      </c>
      <c r="G95" s="467">
        <f>AVERAGE(G91:G94)</f>
        <v>1226576.7245462732</v>
      </c>
    </row>
    <row r="96" spans="1:12" ht="26.25" customHeight="1" x14ac:dyDescent="0.4">
      <c r="A96" s="363" t="s">
        <v>71</v>
      </c>
      <c r="B96" s="339">
        <v>1</v>
      </c>
      <c r="C96" s="468" t="s">
        <v>72</v>
      </c>
      <c r="D96" s="469">
        <v>13.34</v>
      </c>
      <c r="E96" s="319"/>
      <c r="F96" s="391">
        <v>12.68</v>
      </c>
    </row>
    <row r="97" spans="1:10" ht="26.25" customHeight="1" x14ac:dyDescent="0.4">
      <c r="A97" s="363" t="s">
        <v>73</v>
      </c>
      <c r="B97" s="339">
        <v>1</v>
      </c>
      <c r="C97" s="470" t="s">
        <v>74</v>
      </c>
      <c r="D97" s="471">
        <f>D96*$B$87</f>
        <v>13.34</v>
      </c>
      <c r="E97" s="394"/>
      <c r="F97" s="393">
        <f>F96*$B$87</f>
        <v>12.68</v>
      </c>
    </row>
    <row r="98" spans="1:10" ht="19.5" customHeight="1" thickBot="1" x14ac:dyDescent="0.35">
      <c r="A98" s="363" t="s">
        <v>75</v>
      </c>
      <c r="B98" s="394">
        <f>(B97/B96)*(B95/B94)*(B93/B92)*(B91/B90)*B89</f>
        <v>16666.666666666668</v>
      </c>
      <c r="C98" s="470" t="s">
        <v>141</v>
      </c>
      <c r="D98" s="472">
        <f>D97*$B$83/100</f>
        <v>13.167913999999998</v>
      </c>
      <c r="E98" s="396"/>
      <c r="F98" s="395">
        <f>F97*$B$83/100</f>
        <v>12.516427999999998</v>
      </c>
    </row>
    <row r="99" spans="1:10" ht="19.5" customHeight="1" thickBot="1" x14ac:dyDescent="0.35">
      <c r="A99" s="397" t="s">
        <v>77</v>
      </c>
      <c r="B99" s="473"/>
      <c r="C99" s="470" t="s">
        <v>142</v>
      </c>
      <c r="D99" s="474">
        <f>D98/$B$98</f>
        <v>7.9007483999999977E-4</v>
      </c>
      <c r="E99" s="396"/>
      <c r="F99" s="401">
        <f>F98/$B$98</f>
        <v>7.509856799999998E-4</v>
      </c>
      <c r="H99" s="389"/>
    </row>
    <row r="100" spans="1:10" ht="19.5" customHeight="1" thickBot="1" x14ac:dyDescent="0.35">
      <c r="A100" s="402"/>
      <c r="B100" s="475"/>
      <c r="C100" s="470" t="s">
        <v>128</v>
      </c>
      <c r="D100" s="476">
        <f>$B$56/$B$116</f>
        <v>6.6666666666666664E-4</v>
      </c>
      <c r="F100" s="408"/>
      <c r="G100" s="477"/>
      <c r="H100" s="389"/>
    </row>
    <row r="101" spans="1:10" ht="18.75" x14ac:dyDescent="0.3">
      <c r="C101" s="470" t="s">
        <v>80</v>
      </c>
      <c r="D101" s="471">
        <f>D100*$B$98</f>
        <v>11.111111111111111</v>
      </c>
      <c r="F101" s="408"/>
      <c r="H101" s="389"/>
    </row>
    <row r="102" spans="1:10" ht="19.5" customHeight="1" thickBot="1" x14ac:dyDescent="0.35">
      <c r="C102" s="478" t="s">
        <v>81</v>
      </c>
      <c r="D102" s="479">
        <f>D101/B34</f>
        <v>11.111111111111111</v>
      </c>
      <c r="F102" s="412"/>
      <c r="H102" s="389"/>
      <c r="J102" s="480"/>
    </row>
    <row r="103" spans="1:10" ht="18.75" x14ac:dyDescent="0.3">
      <c r="C103" s="481" t="s">
        <v>143</v>
      </c>
      <c r="D103" s="482">
        <f>AVERAGE(E91:E94,G91:G94)</f>
        <v>1216314.9199991252</v>
      </c>
      <c r="F103" s="412"/>
      <c r="G103" s="477"/>
      <c r="H103" s="389"/>
      <c r="J103" s="483"/>
    </row>
    <row r="104" spans="1:10" ht="18.75" x14ac:dyDescent="0.3">
      <c r="C104" s="451" t="s">
        <v>83</v>
      </c>
      <c r="D104" s="484">
        <f>STDEV(E91:E94,G91:G94)/D103</f>
        <v>9.3132463886540506E-3</v>
      </c>
      <c r="F104" s="412"/>
      <c r="H104" s="389"/>
      <c r="J104" s="483"/>
    </row>
    <row r="105" spans="1:10" ht="19.5" customHeight="1" thickBot="1" x14ac:dyDescent="0.35">
      <c r="C105" s="453" t="s">
        <v>20</v>
      </c>
      <c r="D105" s="485">
        <f>COUNT(E91:E94,G91:G94)</f>
        <v>6</v>
      </c>
      <c r="F105" s="412"/>
      <c r="H105" s="389"/>
      <c r="J105" s="483"/>
    </row>
    <row r="106" spans="1:10" ht="19.5" customHeight="1" thickBot="1" x14ac:dyDescent="0.35">
      <c r="A106" s="416"/>
      <c r="B106" s="416"/>
      <c r="C106" s="416"/>
      <c r="D106" s="416"/>
      <c r="E106" s="416"/>
    </row>
    <row r="107" spans="1:10" ht="27" customHeight="1" thickBot="1" x14ac:dyDescent="0.45">
      <c r="A107" s="358" t="s">
        <v>109</v>
      </c>
      <c r="B107" s="359">
        <v>900</v>
      </c>
      <c r="C107" s="422" t="s">
        <v>144</v>
      </c>
      <c r="D107" s="422" t="s">
        <v>63</v>
      </c>
      <c r="E107" s="422" t="s">
        <v>111</v>
      </c>
      <c r="F107" s="486" t="s">
        <v>112</v>
      </c>
    </row>
    <row r="108" spans="1:10" ht="26.25" customHeight="1" x14ac:dyDescent="0.4">
      <c r="A108" s="363" t="s">
        <v>113</v>
      </c>
      <c r="B108" s="364">
        <v>3</v>
      </c>
      <c r="C108" s="425">
        <v>1</v>
      </c>
      <c r="D108" s="487">
        <v>1109936</v>
      </c>
      <c r="E108" s="488">
        <f t="shared" ref="E108:E113" si="1">IF(ISBLANK(D108),"-",D108/$D$103*$D$100*$B$116)</f>
        <v>1.8250799718888562</v>
      </c>
      <c r="F108" s="489">
        <f t="shared" ref="F108:F113" si="2">IF(ISBLANK(D108), "-", (E108/$B$56)*100)</f>
        <v>91.253998594442805</v>
      </c>
    </row>
    <row r="109" spans="1:10" ht="26.25" customHeight="1" x14ac:dyDescent="0.4">
      <c r="A109" s="363" t="s">
        <v>114</v>
      </c>
      <c r="B109" s="364">
        <v>10</v>
      </c>
      <c r="C109" s="431">
        <v>2</v>
      </c>
      <c r="D109" s="490">
        <v>1127088</v>
      </c>
      <c r="E109" s="491">
        <f t="shared" si="1"/>
        <v>1.8532831941267491</v>
      </c>
      <c r="F109" s="492">
        <f t="shared" si="2"/>
        <v>92.664159706337458</v>
      </c>
    </row>
    <row r="110" spans="1:10" ht="26.25" customHeight="1" x14ac:dyDescent="0.4">
      <c r="A110" s="363" t="s">
        <v>115</v>
      </c>
      <c r="B110" s="364">
        <v>1</v>
      </c>
      <c r="C110" s="431">
        <v>3</v>
      </c>
      <c r="D110" s="490">
        <v>1116378</v>
      </c>
      <c r="E110" s="491">
        <f t="shared" si="1"/>
        <v>1.8356726233380463</v>
      </c>
      <c r="F110" s="492">
        <f t="shared" si="2"/>
        <v>91.78363116690231</v>
      </c>
    </row>
    <row r="111" spans="1:10" ht="26.25" customHeight="1" x14ac:dyDescent="0.4">
      <c r="A111" s="363" t="s">
        <v>116</v>
      </c>
      <c r="B111" s="364">
        <v>1</v>
      </c>
      <c r="C111" s="431">
        <v>4</v>
      </c>
      <c r="D111" s="490">
        <v>1119308</v>
      </c>
      <c r="E111" s="491">
        <f t="shared" si="1"/>
        <v>1.8404904545622196</v>
      </c>
      <c r="F111" s="492">
        <f t="shared" si="2"/>
        <v>92.024522728110981</v>
      </c>
    </row>
    <row r="112" spans="1:10" ht="26.25" customHeight="1" x14ac:dyDescent="0.4">
      <c r="A112" s="363" t="s">
        <v>117</v>
      </c>
      <c r="B112" s="364">
        <v>1</v>
      </c>
      <c r="C112" s="431">
        <v>5</v>
      </c>
      <c r="D112" s="490">
        <v>1124522</v>
      </c>
      <c r="E112" s="491">
        <f t="shared" si="1"/>
        <v>1.8490638921058518</v>
      </c>
      <c r="F112" s="492">
        <f t="shared" si="2"/>
        <v>92.453194605292595</v>
      </c>
    </row>
    <row r="113" spans="1:10" ht="27" customHeight="1" thickBot="1" x14ac:dyDescent="0.45">
      <c r="A113" s="363" t="s">
        <v>118</v>
      </c>
      <c r="B113" s="364">
        <v>1</v>
      </c>
      <c r="C113" s="437">
        <v>6</v>
      </c>
      <c r="D113" s="493">
        <v>1114970</v>
      </c>
      <c r="E113" s="494">
        <f t="shared" si="1"/>
        <v>1.833357433452846</v>
      </c>
      <c r="F113" s="495">
        <f t="shared" si="2"/>
        <v>91.667871672642292</v>
      </c>
    </row>
    <row r="114" spans="1:10" ht="27" customHeight="1" thickBot="1" x14ac:dyDescent="0.45">
      <c r="A114" s="363" t="s">
        <v>119</v>
      </c>
      <c r="B114" s="364">
        <v>1</v>
      </c>
      <c r="C114" s="496"/>
      <c r="D114" s="394"/>
      <c r="E114" s="319"/>
      <c r="F114" s="492"/>
    </row>
    <row r="115" spans="1:10" ht="26.25" customHeight="1" x14ac:dyDescent="0.4">
      <c r="A115" s="363" t="s">
        <v>120</v>
      </c>
      <c r="B115" s="364">
        <v>1</v>
      </c>
      <c r="C115" s="496"/>
      <c r="D115" s="497" t="s">
        <v>70</v>
      </c>
      <c r="E115" s="498">
        <f>AVERAGE(E108:E113)</f>
        <v>1.839491261579095</v>
      </c>
      <c r="F115" s="499">
        <f>AVERAGE(F108:F113)</f>
        <v>91.974563078954745</v>
      </c>
    </row>
    <row r="116" spans="1:10" ht="27" customHeight="1" thickBot="1" x14ac:dyDescent="0.45">
      <c r="A116" s="363" t="s">
        <v>121</v>
      </c>
      <c r="B116" s="375">
        <f>(B115/B114)*(B113/B112)*(B111/B110)*(B109/B108)*B107</f>
        <v>3000</v>
      </c>
      <c r="C116" s="500"/>
      <c r="D116" s="501" t="s">
        <v>83</v>
      </c>
      <c r="E116" s="452">
        <f>STDEV(E108:E113)/E115</f>
        <v>5.6638800676317236E-3</v>
      </c>
      <c r="F116" s="502">
        <f>STDEV(F108:F113)/F115</f>
        <v>5.6638800676317609E-3</v>
      </c>
      <c r="I116" s="319"/>
    </row>
    <row r="117" spans="1:10" ht="27" customHeight="1" thickBot="1" x14ac:dyDescent="0.45">
      <c r="A117" s="397" t="s">
        <v>77</v>
      </c>
      <c r="B117" s="398"/>
      <c r="C117" s="503"/>
      <c r="D117" s="453" t="s">
        <v>20</v>
      </c>
      <c r="E117" s="504">
        <f>COUNT(E108:E113)</f>
        <v>6</v>
      </c>
      <c r="F117" s="505">
        <f>COUNT(F108:F113)</f>
        <v>6</v>
      </c>
      <c r="I117" s="319"/>
      <c r="J117" s="483"/>
    </row>
    <row r="118" spans="1:10" ht="26.25" customHeight="1" thickBot="1" x14ac:dyDescent="0.35">
      <c r="A118" s="402"/>
      <c r="B118" s="403"/>
      <c r="C118" s="319"/>
      <c r="D118" s="506"/>
      <c r="E118" s="507" t="s">
        <v>145</v>
      </c>
      <c r="F118" s="508"/>
      <c r="G118" s="319"/>
      <c r="H118" s="319"/>
      <c r="I118" s="319"/>
    </row>
    <row r="119" spans="1:10" ht="25.5" customHeight="1" x14ac:dyDescent="0.4">
      <c r="A119" s="509"/>
      <c r="B119" s="356"/>
      <c r="C119" s="319"/>
      <c r="D119" s="501" t="s">
        <v>146</v>
      </c>
      <c r="E119" s="510">
        <f>MIN(E108:E113)</f>
        <v>1.8250799718888562</v>
      </c>
      <c r="F119" s="511">
        <f>MIN(F108:F113)</f>
        <v>91.253998594442805</v>
      </c>
      <c r="G119" s="319"/>
      <c r="H119" s="319"/>
      <c r="I119" s="319"/>
    </row>
    <row r="120" spans="1:10" ht="24" customHeight="1" thickBot="1" x14ac:dyDescent="0.45">
      <c r="A120" s="509"/>
      <c r="B120" s="356"/>
      <c r="C120" s="319"/>
      <c r="D120" s="409" t="s">
        <v>147</v>
      </c>
      <c r="E120" s="512">
        <f>MAX(E108:E113)</f>
        <v>1.8532831941267491</v>
      </c>
      <c r="F120" s="513">
        <f>MAX(F108:F113)</f>
        <v>92.664159706337458</v>
      </c>
      <c r="G120" s="319"/>
      <c r="H120" s="319"/>
      <c r="I120" s="319"/>
    </row>
    <row r="121" spans="1:10" ht="27" customHeight="1" x14ac:dyDescent="0.3">
      <c r="A121" s="509"/>
      <c r="B121" s="356"/>
      <c r="C121" s="319"/>
      <c r="D121" s="319"/>
      <c r="E121" s="319"/>
      <c r="F121" s="394"/>
      <c r="G121" s="319"/>
      <c r="H121" s="319"/>
      <c r="I121" s="319"/>
    </row>
    <row r="122" spans="1:10" ht="25.5" customHeight="1" x14ac:dyDescent="0.3">
      <c r="A122" s="509"/>
      <c r="B122" s="356"/>
      <c r="C122" s="319"/>
      <c r="D122" s="319"/>
      <c r="E122" s="319"/>
      <c r="F122" s="394"/>
      <c r="G122" s="319"/>
      <c r="H122" s="319"/>
      <c r="I122" s="319"/>
    </row>
    <row r="123" spans="1:10" ht="18.75" x14ac:dyDescent="0.3">
      <c r="A123" s="509"/>
      <c r="B123" s="356"/>
      <c r="C123" s="319"/>
      <c r="D123" s="319"/>
      <c r="E123" s="319"/>
      <c r="F123" s="394"/>
      <c r="G123" s="319"/>
      <c r="H123" s="319"/>
      <c r="I123" s="319"/>
    </row>
    <row r="124" spans="1:10" ht="45.75" customHeight="1" x14ac:dyDescent="0.65">
      <c r="A124" s="336" t="s">
        <v>138</v>
      </c>
      <c r="B124" s="337" t="s">
        <v>122</v>
      </c>
      <c r="C124" s="455" t="str">
        <f>B26</f>
        <v xml:space="preserve">Glimepiride </v>
      </c>
      <c r="D124" s="455"/>
      <c r="E124" s="319" t="s">
        <v>123</v>
      </c>
      <c r="F124" s="319"/>
      <c r="G124" s="514">
        <f>F115</f>
        <v>91.974563078954745</v>
      </c>
      <c r="H124" s="319"/>
      <c r="I124" s="319"/>
    </row>
    <row r="125" spans="1:10" ht="45.75" customHeight="1" x14ac:dyDescent="0.65">
      <c r="A125" s="336"/>
      <c r="B125" s="337" t="s">
        <v>148</v>
      </c>
      <c r="C125" s="337" t="s">
        <v>149</v>
      </c>
      <c r="D125" s="514">
        <f>MIN(F108:F113)</f>
        <v>91.253998594442805</v>
      </c>
      <c r="E125" s="337" t="s">
        <v>150</v>
      </c>
      <c r="F125" s="514">
        <f>MAX(F108:F113)</f>
        <v>92.664159706337458</v>
      </c>
      <c r="G125" s="456"/>
      <c r="H125" s="319"/>
      <c r="I125" s="319"/>
    </row>
    <row r="126" spans="1:10" ht="19.5" customHeight="1" thickBot="1" x14ac:dyDescent="0.35">
      <c r="A126" s="515"/>
      <c r="B126" s="515"/>
      <c r="C126" s="516"/>
      <c r="D126" s="516"/>
      <c r="E126" s="516"/>
      <c r="F126" s="516"/>
      <c r="G126" s="516"/>
      <c r="H126" s="516"/>
    </row>
    <row r="127" spans="1:10" ht="18.75" x14ac:dyDescent="0.3">
      <c r="B127" s="517" t="s">
        <v>26</v>
      </c>
      <c r="C127" s="517"/>
      <c r="E127" s="460" t="s">
        <v>27</v>
      </c>
      <c r="F127" s="518"/>
      <c r="G127" s="517" t="s">
        <v>28</v>
      </c>
      <c r="H127" s="517"/>
    </row>
    <row r="128" spans="1:10" ht="69.95" customHeight="1" x14ac:dyDescent="0.3">
      <c r="A128" s="336" t="s">
        <v>29</v>
      </c>
      <c r="B128" s="519"/>
      <c r="C128" s="519"/>
      <c r="E128" s="519"/>
      <c r="F128" s="319"/>
      <c r="G128" s="519"/>
      <c r="H128" s="519"/>
    </row>
    <row r="129" spans="1:9" ht="69.95" customHeight="1" x14ac:dyDescent="0.3">
      <c r="A129" s="336" t="s">
        <v>30</v>
      </c>
      <c r="B129" s="520"/>
      <c r="C129" s="520"/>
      <c r="E129" s="520"/>
      <c r="F129" s="319"/>
      <c r="G129" s="521"/>
      <c r="H129" s="521"/>
    </row>
    <row r="130" spans="1:9" ht="18.75" x14ac:dyDescent="0.3">
      <c r="A130" s="394"/>
      <c r="B130" s="394"/>
      <c r="C130" s="394"/>
      <c r="D130" s="394"/>
      <c r="E130" s="394"/>
      <c r="F130" s="396"/>
      <c r="G130" s="394"/>
      <c r="H130" s="394"/>
      <c r="I130" s="319"/>
    </row>
    <row r="131" spans="1:9" ht="18.75" x14ac:dyDescent="0.3">
      <c r="A131" s="394"/>
      <c r="B131" s="394"/>
      <c r="C131" s="394"/>
      <c r="D131" s="394"/>
      <c r="E131" s="394"/>
      <c r="F131" s="396"/>
      <c r="G131" s="394"/>
      <c r="H131" s="394"/>
      <c r="I131" s="319"/>
    </row>
    <row r="132" spans="1:9" ht="18.75" x14ac:dyDescent="0.3">
      <c r="A132" s="394"/>
      <c r="B132" s="394"/>
      <c r="C132" s="394"/>
      <c r="D132" s="394"/>
      <c r="E132" s="394"/>
      <c r="F132" s="396"/>
      <c r="G132" s="394"/>
      <c r="H132" s="394"/>
      <c r="I132" s="319"/>
    </row>
    <row r="133" spans="1:9" ht="18.75" x14ac:dyDescent="0.3">
      <c r="A133" s="394"/>
      <c r="B133" s="394"/>
      <c r="C133" s="394"/>
      <c r="D133" s="394"/>
      <c r="E133" s="394"/>
      <c r="F133" s="396"/>
      <c r="G133" s="394"/>
      <c r="H133" s="394"/>
      <c r="I133" s="319"/>
    </row>
    <row r="134" spans="1:9" ht="18.75" x14ac:dyDescent="0.3">
      <c r="A134" s="394"/>
      <c r="B134" s="394"/>
      <c r="C134" s="394"/>
      <c r="D134" s="394"/>
      <c r="E134" s="394"/>
      <c r="F134" s="396"/>
      <c r="G134" s="394"/>
      <c r="H134" s="394"/>
      <c r="I134" s="319"/>
    </row>
    <row r="135" spans="1:9" ht="18.75" x14ac:dyDescent="0.3">
      <c r="A135" s="394"/>
      <c r="B135" s="394"/>
      <c r="C135" s="394"/>
      <c r="D135" s="394"/>
      <c r="E135" s="394"/>
      <c r="F135" s="396"/>
      <c r="G135" s="394"/>
      <c r="H135" s="394"/>
      <c r="I135" s="319"/>
    </row>
    <row r="136" spans="1:9" ht="18.75" x14ac:dyDescent="0.3">
      <c r="A136" s="394"/>
      <c r="B136" s="394"/>
      <c r="C136" s="394"/>
      <c r="D136" s="394"/>
      <c r="E136" s="394"/>
      <c r="F136" s="396"/>
      <c r="G136" s="394"/>
      <c r="H136" s="394"/>
      <c r="I136" s="319"/>
    </row>
    <row r="137" spans="1:9" ht="18.75" x14ac:dyDescent="0.3">
      <c r="A137" s="394"/>
      <c r="B137" s="394"/>
      <c r="C137" s="394"/>
      <c r="D137" s="394"/>
      <c r="E137" s="394"/>
      <c r="F137" s="396"/>
      <c r="G137" s="394"/>
      <c r="H137" s="394"/>
      <c r="I137" s="319"/>
    </row>
    <row r="138" spans="1:9" ht="18.75" x14ac:dyDescent="0.3">
      <c r="A138" s="394"/>
      <c r="B138" s="394"/>
      <c r="C138" s="394"/>
      <c r="D138" s="394"/>
      <c r="E138" s="394"/>
      <c r="F138" s="396"/>
      <c r="G138" s="394"/>
      <c r="H138" s="394"/>
      <c r="I138" s="319"/>
    </row>
    <row r="250" spans="1:1" x14ac:dyDescent="0.25">
      <c r="A250" s="31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Glimepiride-U-Content</vt:lpstr>
      <vt:lpstr>Glimepiride-Assay</vt:lpstr>
      <vt:lpstr>'Glimepiride-Assay'!Print_Area</vt:lpstr>
      <vt:lpstr>'Glimepiride-U-Content'!Print_Area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2017-01-20T06:21:33Z</cp:lastPrinted>
  <dcterms:created xsi:type="dcterms:W3CDTF">2005-07-05T10:19:27Z</dcterms:created>
  <dcterms:modified xsi:type="dcterms:W3CDTF">2017-01-20T07:11:06Z</dcterms:modified>
</cp:coreProperties>
</file>