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Mar\"/>
    </mc:Choice>
  </mc:AlternateContent>
  <bookViews>
    <workbookView xWindow="0" yWindow="0" windowWidth="20490" windowHeight="7650" activeTab="2"/>
  </bookViews>
  <sheets>
    <sheet name="SST" sheetId="1" r:id="rId1"/>
    <sheet name="Uniformity" sheetId="2" r:id="rId2"/>
    <sheet name="Amoxicillin" sheetId="3" r:id="rId3"/>
  </sheets>
  <definedNames>
    <definedName name="_xlnm.Print_Area" localSheetId="2">Amoxicillin!$A$1:$H$130</definedName>
  </definedNames>
  <calcPr calcId="162913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3" i="2" l="1"/>
  <c r="E24" i="2" s="1"/>
  <c r="E28" i="2"/>
  <c r="E22" i="2"/>
  <c r="E26" i="2"/>
  <c r="E38" i="2"/>
  <c r="E23" i="2"/>
  <c r="E35" i="2"/>
  <c r="E39" i="2"/>
  <c r="I39" i="3"/>
  <c r="I92" i="3"/>
  <c r="D101" i="3"/>
  <c r="G92" i="3" s="1"/>
  <c r="D44" i="3"/>
  <c r="D45" i="3" s="1"/>
  <c r="D46" i="3" s="1"/>
  <c r="F45" i="3"/>
  <c r="F46" i="3" s="1"/>
  <c r="F98" i="3"/>
  <c r="F99" i="3" s="1"/>
  <c r="D49" i="3"/>
  <c r="G41" i="3"/>
  <c r="D47" i="2"/>
  <c r="C47" i="2"/>
  <c r="B47" i="2"/>
  <c r="B57" i="3" s="1"/>
  <c r="B69" i="3" s="1"/>
  <c r="D48" i="2"/>
  <c r="C48" i="2"/>
  <c r="E25" i="2"/>
  <c r="E29" i="2"/>
  <c r="E33" i="2"/>
  <c r="E37" i="2"/>
  <c r="E21" i="2"/>
  <c r="D97" i="3"/>
  <c r="D98" i="3" s="1"/>
  <c r="D99" i="3" s="1"/>
  <c r="D42" i="2"/>
  <c r="E31" i="2" l="1"/>
  <c r="E34" i="2"/>
  <c r="E40" i="2"/>
  <c r="E36" i="2"/>
  <c r="E27" i="2"/>
  <c r="E30" i="2"/>
  <c r="E32" i="2"/>
  <c r="D102" i="3"/>
  <c r="E40" i="3"/>
  <c r="G40" i="3"/>
  <c r="E38" i="3"/>
  <c r="E41" i="3"/>
  <c r="E39" i="3"/>
  <c r="G38" i="3"/>
  <c r="G39" i="3"/>
  <c r="E91" i="3"/>
  <c r="G93" i="3"/>
  <c r="G94" i="3"/>
  <c r="G91" i="3"/>
  <c r="E93" i="3"/>
  <c r="E92" i="3"/>
  <c r="E94" i="3"/>
  <c r="G42" i="3" l="1"/>
  <c r="E95" i="3"/>
  <c r="D103" i="3"/>
  <c r="E113" i="3" s="1"/>
  <c r="F113" i="3" s="1"/>
  <c r="D50" i="3"/>
  <c r="G67" i="3" s="1"/>
  <c r="H67" i="3" s="1"/>
  <c r="D52" i="3"/>
  <c r="E42" i="3"/>
  <c r="D105" i="3"/>
  <c r="G95" i="3"/>
  <c r="G63" i="3"/>
  <c r="H63" i="3" s="1"/>
  <c r="G62" i="3"/>
  <c r="H62" i="3" s="1"/>
  <c r="G66" i="3" l="1"/>
  <c r="H66" i="3" s="1"/>
  <c r="G70" i="3"/>
  <c r="H70" i="3" s="1"/>
  <c r="D51" i="3"/>
  <c r="E108" i="3"/>
  <c r="F108" i="3" s="1"/>
  <c r="D104" i="3"/>
  <c r="E109" i="3"/>
  <c r="F109" i="3" s="1"/>
  <c r="E110" i="3"/>
  <c r="F110" i="3" s="1"/>
  <c r="E111" i="3"/>
  <c r="F111" i="3" s="1"/>
  <c r="E112" i="3"/>
  <c r="F112" i="3" s="1"/>
  <c r="G71" i="3"/>
  <c r="H71" i="3" s="1"/>
  <c r="G65" i="3"/>
  <c r="H65" i="3" s="1"/>
  <c r="G68" i="3"/>
  <c r="H68" i="3" s="1"/>
  <c r="G64" i="3"/>
  <c r="H64" i="3" s="1"/>
  <c r="G61" i="3"/>
  <c r="H61" i="3" s="1"/>
  <c r="G60" i="3"/>
  <c r="H60" i="3" s="1"/>
  <c r="G69" i="3"/>
  <c r="H69" i="3" s="1"/>
  <c r="E117" i="3" l="1"/>
  <c r="E119" i="3"/>
  <c r="E120" i="3"/>
  <c r="E115" i="3"/>
  <c r="E116" i="3" s="1"/>
  <c r="G72" i="3"/>
  <c r="G73" i="3" s="1"/>
  <c r="G74" i="3"/>
  <c r="F125" i="3"/>
  <c r="F120" i="3"/>
  <c r="F117" i="3"/>
  <c r="D125" i="3"/>
  <c r="F115" i="3"/>
  <c r="F119" i="3"/>
  <c r="H74" i="3"/>
  <c r="H72" i="3"/>
  <c r="G124" i="3" l="1"/>
  <c r="F116" i="3"/>
  <c r="G76" i="3"/>
  <c r="H73" i="3"/>
</calcChain>
</file>

<file path=xl/sharedStrings.xml><?xml version="1.0" encoding="utf-8"?>
<sst xmlns="http://schemas.openxmlformats.org/spreadsheetml/2006/main" count="245" uniqueCount="139">
  <si>
    <t>HPLC System Suitability Report</t>
  </si>
  <si>
    <t>Analysis Data</t>
  </si>
  <si>
    <t>Assay</t>
  </si>
  <si>
    <t>Sample(s)</t>
  </si>
  <si>
    <t>Reference Substance:</t>
  </si>
  <si>
    <t xml:space="preserve">CAREMOX - 500 CAPSULES </t>
  </si>
  <si>
    <t>% age Purity:</t>
  </si>
  <si>
    <t>NDQA201801317</t>
  </si>
  <si>
    <t>Weight (mg):</t>
  </si>
  <si>
    <t>Amoxicillin Trihydrate BP</t>
  </si>
  <si>
    <t>Standard Conc (mg/mL):</t>
  </si>
  <si>
    <t>Each capsule contains: Amoxicillin Trihydrate equivalent  to Amoxicillin BP 500 mg.</t>
  </si>
  <si>
    <t>2018-02-01 09:05:02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</si>
  <si>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</si>
  <si>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</si>
  <si>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</si>
  <si>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</si>
  <si>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</si>
  <si>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</si>
  <si>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</si>
  <si>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</si>
  <si>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</si>
  <si>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</si>
  <si>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</si>
  <si>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</si>
  <si>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</si>
  <si>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</si>
  <si>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</si>
  <si>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</si>
  <si>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</si>
  <si>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</si>
  <si>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</si>
  <si>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</si>
  <si>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</si>
  <si>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</si>
  <si>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</si>
  <si>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</si>
  <si>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</si>
  <si>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</si>
  <si>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2018-02-13 10:13:51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</si>
  <si>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</si>
  <si>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</si>
  <si>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</si>
  <si>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</si>
  <si>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</si>
  <si>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</si>
  <si>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</si>
  <si>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</si>
  <si>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</si>
  <si>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</si>
  <si>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</si>
  <si>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</si>
  <si>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</si>
  <si>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</si>
  <si>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</si>
  <si>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</si>
  <si>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</si>
  <si>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</si>
  <si>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</si>
  <si>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</si>
  <si>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</si>
  <si>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</si>
  <si>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</si>
  <si>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</si>
  <si>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</si>
  <si>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</si>
  <si>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</si>
  <si>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</si>
  <si>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</si>
  <si>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</si>
  <si>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</si>
  <si>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</si>
  <si>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</si>
  <si>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</si>
  <si>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</si>
  <si>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</si>
  <si>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</si>
  <si>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</si>
  <si>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</si>
  <si>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</si>
  <si>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</si>
  <si>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</si>
  <si>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</si>
  <si>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</si>
  <si>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</si>
  <si>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</si>
  <si>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</si>
  <si>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</si>
  <si>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</si>
  <si>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</si>
  <si>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</si>
  <si>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</si>
  <si>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</si>
  <si>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</si>
  <si>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</si>
  <si>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</si>
  <si>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</si>
  <si>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</si>
  <si>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</si>
  <si>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</si>
  <si>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</si>
  <si>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</si>
  <si>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</si>
  <si>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</si>
  <si>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</si>
  <si>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</si>
  <si>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</si>
  <si>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</si>
  <si>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</si>
  <si>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</si>
  <si>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</si>
  <si>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</si>
  <si>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</si>
  <si>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</si>
  <si>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</si>
  <si>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</si>
  <si>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</si>
  <si>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</si>
  <si>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</si>
  <si>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</si>
  <si>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</si>
  <si>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</si>
  <si>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</si>
  <si>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</si>
  <si>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</si>
  <si>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</si>
  <si>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</si>
  <si>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</si>
  <si>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</si>
  <si>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</si>
  <si>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</si>
  <si>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</si>
  <si>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</si>
  <si>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</si>
  <si>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</si>
  <si>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AMOXICILLIN</t>
  </si>
  <si>
    <t>A52-1</t>
  </si>
  <si>
    <t>Amoxicillin</t>
  </si>
  <si>
    <t>NQCL-PRS-A11-1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</si>
</sst>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53" xfId="0" applyFont="1" applyFill="1" applyBorder="1" applyAlignment="1">
      <alignment horizontal="right"/>
    </xf>
    <xf numFmtId="2" fontId="13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3" fillId="7" borderId="40" xfId="0" applyFont="1" applyFill="1" applyBorder="1" applyAlignment="1">
      <alignment horizontal="center"/>
    </xf>
    <xf numFmtId="0" fontId="13" fillId="7" borderId="59" xfId="0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7" borderId="19" xfId="0" applyNumberFormat="1" applyFont="1" applyFill="1" applyBorder="1" applyAlignment="1">
      <alignment horizontal="center"/>
    </xf>
    <xf numFmtId="166" fontId="11" fillId="2" borderId="52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53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3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173" fontId="11" fillId="2" borderId="3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3" fontId="11" fillId="2" borderId="5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4" fontId="13" fillId="7" borderId="23" xfId="0" applyNumberFormat="1" applyFont="1" applyFill="1" applyBorder="1" applyAlignment="1">
      <alignment horizontal="center"/>
    </xf>
    <xf numFmtId="174" fontId="13" fillId="6" borderId="16" xfId="0" applyNumberFormat="1" applyFont="1" applyFill="1" applyBorder="1" applyAlignment="1">
      <alignment horizontal="center"/>
    </xf>
    <xf numFmtId="174" fontId="13" fillId="7" borderId="19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2" fontId="13" fillId="3" borderId="28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0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0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0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1" fontId="12" fillId="6" borderId="56" xfId="0" applyNumberFormat="1" applyFont="1" applyFill="1" applyBorder="1" applyAlignment="1">
      <alignment horizontal="center"/>
    </xf>
    <xf numFmtId="171" fontId="12" fillId="6" borderId="57" xfId="0" applyNumberFormat="1" applyFont="1" applyFill="1" applyBorder="1" applyAlignment="1">
      <alignment horizontal="center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53" xfId="0" applyNumberFormat="1" applyFont="1" applyFill="1" applyBorder="1" applyAlignment="1" applyProtection="1">
      <alignment horizontal="center"/>
      <protection locked="0"/>
    </xf>
    <xf numFmtId="171" fontId="13" fillId="3" borderId="3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4" workbookViewId="0">
      <selection activeCell="C26" sqref="C2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3" t="s">
        <v>0</v>
      </c>
      <c r="B15" s="303"/>
      <c r="C15" s="303"/>
      <c r="D15" s="303"/>
      <c r="E15" s="30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1.375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109960924</v>
      </c>
      <c r="C24" s="18">
        <v>2801</v>
      </c>
      <c r="D24" s="19">
        <v>1.5</v>
      </c>
      <c r="E24" s="20">
        <v>4.0999999999999996</v>
      </c>
    </row>
    <row r="25" spans="1:6" ht="16.5" customHeight="1" x14ac:dyDescent="0.3">
      <c r="A25" s="17">
        <v>2</v>
      </c>
      <c r="B25" s="18">
        <v>110459553</v>
      </c>
      <c r="C25" s="18">
        <v>2848.5</v>
      </c>
      <c r="D25" s="19">
        <v>1.5</v>
      </c>
      <c r="E25" s="19">
        <v>4.0999999999999996</v>
      </c>
    </row>
    <row r="26" spans="1:6" ht="16.5" customHeight="1" x14ac:dyDescent="0.3">
      <c r="A26" s="17">
        <v>3</v>
      </c>
      <c r="B26" s="18">
        <v>109981706</v>
      </c>
      <c r="C26" s="18">
        <v>2866.9</v>
      </c>
      <c r="D26" s="19">
        <v>1.4</v>
      </c>
      <c r="E26" s="19">
        <v>4.0999999999999996</v>
      </c>
    </row>
    <row r="27" spans="1:6" ht="16.5" customHeight="1" x14ac:dyDescent="0.3">
      <c r="A27" s="17">
        <v>4</v>
      </c>
      <c r="B27" s="18">
        <v>110093574</v>
      </c>
      <c r="C27" s="18">
        <v>2866.2</v>
      </c>
      <c r="D27" s="19">
        <v>1.5</v>
      </c>
      <c r="E27" s="19">
        <v>4.0999999999999996</v>
      </c>
    </row>
    <row r="28" spans="1:6" ht="16.5" customHeight="1" x14ac:dyDescent="0.3">
      <c r="A28" s="17">
        <v>5</v>
      </c>
      <c r="B28" s="18">
        <v>110683273</v>
      </c>
      <c r="C28" s="18">
        <v>2865.6</v>
      </c>
      <c r="D28" s="19">
        <v>1.4</v>
      </c>
      <c r="E28" s="19">
        <v>4.0999999999999996</v>
      </c>
    </row>
    <row r="29" spans="1:6" ht="16.5" customHeight="1" x14ac:dyDescent="0.3">
      <c r="A29" s="17">
        <v>6</v>
      </c>
      <c r="B29" s="21">
        <v>110240778</v>
      </c>
      <c r="C29" s="21">
        <v>2859.2</v>
      </c>
      <c r="D29" s="22">
        <v>1.4</v>
      </c>
      <c r="E29" s="22">
        <v>4.0999999999999996</v>
      </c>
    </row>
    <row r="30" spans="1:6" ht="16.5" customHeight="1" x14ac:dyDescent="0.3">
      <c r="A30" s="23" t="s">
        <v>18</v>
      </c>
      <c r="B30" s="24">
        <f>AVERAGE(B24:B29)</f>
        <v>110236634.66666667</v>
      </c>
      <c r="C30" s="25">
        <f>AVERAGE(C24:C29)</f>
        <v>2851.2333333333331</v>
      </c>
      <c r="D30" s="26">
        <f>AVERAGE(D24:D29)</f>
        <v>1.4500000000000002</v>
      </c>
      <c r="E30" s="26">
        <f>AVERAGE(E24:E29)</f>
        <v>4.1000000000000005</v>
      </c>
    </row>
    <row r="31" spans="1:6" ht="16.5" customHeight="1" x14ac:dyDescent="0.3">
      <c r="A31" s="27" t="s">
        <v>19</v>
      </c>
      <c r="B31" s="28">
        <f>(STDEV(B24:B29)/B30)</f>
        <v>2.5997638621568036E-3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4" t="s">
        <v>26</v>
      </c>
      <c r="C59" s="30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35" workbookViewId="0">
      <selection activeCell="D34" sqref="D34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0" t="s">
        <v>31</v>
      </c>
      <c r="B8" s="310"/>
      <c r="C8" s="310"/>
      <c r="D8" s="310"/>
      <c r="E8" s="310"/>
      <c r="F8" s="310"/>
      <c r="G8" s="310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1" t="s">
        <v>32</v>
      </c>
      <c r="B10" s="311"/>
      <c r="C10" s="311"/>
      <c r="D10" s="311"/>
      <c r="E10" s="311"/>
      <c r="F10" s="311"/>
      <c r="G10" s="311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5" t="s">
        <v>33</v>
      </c>
      <c r="B11" s="305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5" t="s">
        <v>34</v>
      </c>
      <c r="B12" s="305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5" t="s">
        <v>35</v>
      </c>
      <c r="B13" s="305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5" t="s">
        <v>36</v>
      </c>
      <c r="B14" s="305"/>
      <c r="C14" s="309" t="s">
        <v>11</v>
      </c>
      <c r="D14" s="309"/>
      <c r="E14" s="309"/>
      <c r="F14" s="309"/>
      <c r="G14" s="309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5" t="s">
        <v>37</v>
      </c>
      <c r="B15" s="305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5" t="s">
        <v>38</v>
      </c>
      <c r="B16" s="305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6" t="s">
        <v>1</v>
      </c>
      <c r="B18" s="306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664.82</v>
      </c>
      <c r="C21" s="83">
        <v>105.5</v>
      </c>
      <c r="D21" s="84">
        <f t="shared" ref="D21:D40" si="0">B21-C21</f>
        <v>559.32000000000005</v>
      </c>
      <c r="E21" s="85">
        <f t="shared" ref="E21:E40" si="1">(D21-$D$43)/$D$43</f>
        <v>2.9735708164225383E-2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661.58</v>
      </c>
      <c r="C22" s="88">
        <v>109.57</v>
      </c>
      <c r="D22" s="89">
        <f t="shared" si="0"/>
        <v>552.01</v>
      </c>
      <c r="E22" s="85">
        <f t="shared" si="1"/>
        <v>1.6277637602327817E-2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646.46</v>
      </c>
      <c r="C23" s="88">
        <v>102.42</v>
      </c>
      <c r="D23" s="89">
        <f t="shared" si="0"/>
        <v>544.04000000000008</v>
      </c>
      <c r="E23" s="85">
        <f t="shared" si="1"/>
        <v>1.6044744862783516E-3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659.9</v>
      </c>
      <c r="C24" s="88">
        <v>104.66</v>
      </c>
      <c r="D24" s="89">
        <f t="shared" si="0"/>
        <v>555.24</v>
      </c>
      <c r="E24" s="85">
        <f t="shared" si="1"/>
        <v>2.2224226920375564E-2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659.18</v>
      </c>
      <c r="C25" s="88">
        <v>103.99</v>
      </c>
      <c r="D25" s="89">
        <f t="shared" si="0"/>
        <v>555.18999999999994</v>
      </c>
      <c r="E25" s="85">
        <f t="shared" si="1"/>
        <v>2.213217445415179E-2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668.76</v>
      </c>
      <c r="C26" s="88">
        <v>107.66</v>
      </c>
      <c r="D26" s="89">
        <f t="shared" si="0"/>
        <v>561.1</v>
      </c>
      <c r="E26" s="85">
        <f t="shared" si="1"/>
        <v>3.3012775961787234E-2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633.83000000000004</v>
      </c>
      <c r="C27" s="88">
        <v>104.75</v>
      </c>
      <c r="D27" s="89">
        <f t="shared" si="0"/>
        <v>529.08000000000004</v>
      </c>
      <c r="E27" s="85">
        <f t="shared" si="1"/>
        <v>-2.5937623407837444E-2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638.78</v>
      </c>
      <c r="C28" s="88">
        <v>100.85</v>
      </c>
      <c r="D28" s="89">
        <f t="shared" si="0"/>
        <v>537.92999999999995</v>
      </c>
      <c r="E28" s="85">
        <f t="shared" si="1"/>
        <v>-9.6443368862517698E-3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662.9</v>
      </c>
      <c r="C29" s="88">
        <v>109.66</v>
      </c>
      <c r="D29" s="89">
        <f t="shared" si="0"/>
        <v>553.24</v>
      </c>
      <c r="E29" s="85">
        <f t="shared" si="1"/>
        <v>1.8542128271429609E-2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635.57000000000005</v>
      </c>
      <c r="C30" s="88">
        <v>110.23</v>
      </c>
      <c r="D30" s="89">
        <f t="shared" si="0"/>
        <v>525.34</v>
      </c>
      <c r="E30" s="85">
        <f t="shared" si="1"/>
        <v>-3.2823147881366393E-2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651.92999999999995</v>
      </c>
      <c r="C31" s="88">
        <v>102.13</v>
      </c>
      <c r="D31" s="89">
        <f t="shared" si="0"/>
        <v>549.79999999999995</v>
      </c>
      <c r="E31" s="85">
        <f t="shared" si="1"/>
        <v>1.2208918595242471E-2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648.21</v>
      </c>
      <c r="C32" s="88">
        <v>108.19</v>
      </c>
      <c r="D32" s="89">
        <f t="shared" si="0"/>
        <v>540.02</v>
      </c>
      <c r="E32" s="85">
        <f t="shared" si="1"/>
        <v>-5.7965437981031907E-3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649.91999999999996</v>
      </c>
      <c r="C33" s="88">
        <v>107.66</v>
      </c>
      <c r="D33" s="89">
        <f t="shared" si="0"/>
        <v>542.26</v>
      </c>
      <c r="E33" s="85">
        <f t="shared" si="1"/>
        <v>-1.6725933112837061E-3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670.54</v>
      </c>
      <c r="C34" s="88">
        <v>106.82</v>
      </c>
      <c r="D34" s="89">
        <f t="shared" si="0"/>
        <v>563.72</v>
      </c>
      <c r="E34" s="85">
        <f t="shared" si="1"/>
        <v>3.7836325191906439E-2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647.88</v>
      </c>
      <c r="C35" s="88">
        <v>113.63</v>
      </c>
      <c r="D35" s="89">
        <f t="shared" si="0"/>
        <v>534.25</v>
      </c>
      <c r="E35" s="85">
        <f t="shared" si="1"/>
        <v>-1.6419398400312233E-2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629.62</v>
      </c>
      <c r="C36" s="88">
        <v>103.96</v>
      </c>
      <c r="D36" s="89">
        <f t="shared" si="0"/>
        <v>525.66</v>
      </c>
      <c r="E36" s="85">
        <f t="shared" si="1"/>
        <v>-3.223401209753516E-2</v>
      </c>
      <c r="G36" s="66"/>
      <c r="H36" s="66"/>
    </row>
    <row r="37" spans="1:15" ht="15" x14ac:dyDescent="0.3">
      <c r="A37" s="86">
        <v>17</v>
      </c>
      <c r="B37" s="90">
        <v>633.82000000000005</v>
      </c>
      <c r="C37" s="88">
        <v>100</v>
      </c>
      <c r="D37" s="89">
        <f t="shared" si="0"/>
        <v>533.82000000000005</v>
      </c>
      <c r="E37" s="85">
        <f t="shared" si="1"/>
        <v>-1.7211049609835521E-2</v>
      </c>
    </row>
    <row r="38" spans="1:15" ht="15" x14ac:dyDescent="0.3">
      <c r="A38" s="86">
        <v>18</v>
      </c>
      <c r="B38" s="90">
        <v>633.6</v>
      </c>
      <c r="C38" s="88">
        <v>106.27</v>
      </c>
      <c r="D38" s="89">
        <f t="shared" si="0"/>
        <v>527.33000000000004</v>
      </c>
      <c r="E38" s="85">
        <f t="shared" si="1"/>
        <v>-2.9159459725665155E-2</v>
      </c>
    </row>
    <row r="39" spans="1:15" ht="15" x14ac:dyDescent="0.3">
      <c r="A39" s="86">
        <v>19</v>
      </c>
      <c r="B39" s="90">
        <v>650.21</v>
      </c>
      <c r="C39" s="88">
        <v>113.87</v>
      </c>
      <c r="D39" s="89">
        <f t="shared" si="0"/>
        <v>536.34</v>
      </c>
      <c r="E39" s="85">
        <f t="shared" si="1"/>
        <v>-1.2571605312163652E-2</v>
      </c>
    </row>
    <row r="40" spans="1:15" ht="14.25" customHeight="1" x14ac:dyDescent="0.3">
      <c r="A40" s="91">
        <v>20</v>
      </c>
      <c r="B40" s="92">
        <v>647.16999999999996</v>
      </c>
      <c r="C40" s="93">
        <v>109.49</v>
      </c>
      <c r="D40" s="94">
        <f t="shared" si="0"/>
        <v>537.67999999999995</v>
      </c>
      <c r="E40" s="95">
        <f t="shared" si="1"/>
        <v>-1.0104599217370015E-2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12994.679999999998</v>
      </c>
      <c r="C42" s="98">
        <f>SUM(C21:C40)</f>
        <v>2131.31</v>
      </c>
      <c r="D42" s="99">
        <f>SUM(D21:D40)</f>
        <v>10863.37</v>
      </c>
    </row>
    <row r="43" spans="1:15" ht="15.75" customHeight="1" x14ac:dyDescent="0.3">
      <c r="A43" s="100" t="s">
        <v>47</v>
      </c>
      <c r="B43" s="101">
        <f>AVERAGE(B21:B40)</f>
        <v>649.73399999999992</v>
      </c>
      <c r="C43" s="102">
        <f>AVERAGE(C21:C40)</f>
        <v>106.5655</v>
      </c>
      <c r="D43" s="103">
        <f>AVERAGE(D21:D40)</f>
        <v>543.16849999999999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07">
        <f>D43</f>
        <v>543.16849999999999</v>
      </c>
      <c r="C47" s="107">
        <f>-(IF(D43&gt;300, 7.5%, 10%))</f>
        <v>-7.4999999999999997E-2</v>
      </c>
      <c r="D47" s="108">
        <f>IF(D43&lt;300, D43*0.9, D43*0.925)</f>
        <v>502.43086250000005</v>
      </c>
    </row>
    <row r="48" spans="1:15" ht="15.75" customHeight="1" x14ac:dyDescent="0.3">
      <c r="B48" s="308"/>
      <c r="C48" s="109">
        <f>+(IF(D43&gt;300, 7.5%, 10%))</f>
        <v>7.4999999999999997E-2</v>
      </c>
      <c r="D48" s="108">
        <f>IF(D43&lt;300, D43*1.1, D43*1.075)</f>
        <v>583.9061375</v>
      </c>
    </row>
    <row r="49" spans="1:7" ht="14.25" customHeight="1" x14ac:dyDescent="0.3">
      <c r="A49" s="110"/>
      <c r="D49" s="111"/>
    </row>
    <row r="50" spans="1:7" ht="15" customHeight="1" x14ac:dyDescent="0.3">
      <c r="B50" s="304" t="s">
        <v>26</v>
      </c>
      <c r="C50" s="304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82" zoomScale="55" zoomScaleNormal="55" zoomScaleSheetLayoutView="10" zoomScalePageLayoutView="55" workbookViewId="0">
      <selection activeCell="G108" sqref="G10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2" t="s">
        <v>49</v>
      </c>
      <c r="B1" s="312"/>
      <c r="C1" s="312"/>
      <c r="D1" s="312"/>
      <c r="E1" s="312"/>
      <c r="F1" s="312"/>
      <c r="G1" s="312"/>
      <c r="H1" s="312"/>
      <c r="I1" s="312"/>
    </row>
    <row r="2" spans="1:9" ht="18.75" customHeight="1" x14ac:dyDescent="0.25">
      <c r="A2" s="312"/>
      <c r="B2" s="312"/>
      <c r="C2" s="312"/>
      <c r="D2" s="312"/>
      <c r="E2" s="312"/>
      <c r="F2" s="312"/>
      <c r="G2" s="312"/>
      <c r="H2" s="312"/>
      <c r="I2" s="312"/>
    </row>
    <row r="3" spans="1:9" ht="18.75" customHeight="1" x14ac:dyDescent="0.25">
      <c r="A3" s="312"/>
      <c r="B3" s="312"/>
      <c r="C3" s="312"/>
      <c r="D3" s="312"/>
      <c r="E3" s="312"/>
      <c r="F3" s="312"/>
      <c r="G3" s="312"/>
      <c r="H3" s="312"/>
      <c r="I3" s="312"/>
    </row>
    <row r="4" spans="1:9" ht="18.75" customHeight="1" x14ac:dyDescent="0.25">
      <c r="A4" s="312"/>
      <c r="B4" s="312"/>
      <c r="C4" s="312"/>
      <c r="D4" s="312"/>
      <c r="E4" s="312"/>
      <c r="F4" s="312"/>
      <c r="G4" s="312"/>
      <c r="H4" s="312"/>
      <c r="I4" s="312"/>
    </row>
    <row r="5" spans="1:9" ht="18.75" customHeight="1" x14ac:dyDescent="0.25">
      <c r="A5" s="312"/>
      <c r="B5" s="312"/>
      <c r="C5" s="312"/>
      <c r="D5" s="312"/>
      <c r="E5" s="312"/>
      <c r="F5" s="312"/>
      <c r="G5" s="312"/>
      <c r="H5" s="312"/>
      <c r="I5" s="312"/>
    </row>
    <row r="6" spans="1:9" ht="18.75" customHeight="1" x14ac:dyDescent="0.25">
      <c r="A6" s="312"/>
      <c r="B6" s="312"/>
      <c r="C6" s="312"/>
      <c r="D6" s="312"/>
      <c r="E6" s="312"/>
      <c r="F6" s="312"/>
      <c r="G6" s="312"/>
      <c r="H6" s="312"/>
      <c r="I6" s="312"/>
    </row>
    <row r="7" spans="1:9" ht="18.75" customHeight="1" x14ac:dyDescent="0.25">
      <c r="A7" s="312"/>
      <c r="B7" s="312"/>
      <c r="C7" s="312"/>
      <c r="D7" s="312"/>
      <c r="E7" s="312"/>
      <c r="F7" s="312"/>
      <c r="G7" s="312"/>
      <c r="H7" s="312"/>
      <c r="I7" s="312"/>
    </row>
    <row r="8" spans="1:9" x14ac:dyDescent="0.25">
      <c r="A8" s="313" t="s">
        <v>50</v>
      </c>
      <c r="B8" s="313"/>
      <c r="C8" s="313"/>
      <c r="D8" s="313"/>
      <c r="E8" s="313"/>
      <c r="F8" s="313"/>
      <c r="G8" s="313"/>
      <c r="H8" s="313"/>
      <c r="I8" s="313"/>
    </row>
    <row r="9" spans="1:9" x14ac:dyDescent="0.25">
      <c r="A9" s="313"/>
      <c r="B9" s="313"/>
      <c r="C9" s="313"/>
      <c r="D9" s="313"/>
      <c r="E9" s="313"/>
      <c r="F9" s="313"/>
      <c r="G9" s="313"/>
      <c r="H9" s="313"/>
      <c r="I9" s="313"/>
    </row>
    <row r="10" spans="1:9" x14ac:dyDescent="0.25">
      <c r="A10" s="313"/>
      <c r="B10" s="313"/>
      <c r="C10" s="313"/>
      <c r="D10" s="313"/>
      <c r="E10" s="313"/>
      <c r="F10" s="313"/>
      <c r="G10" s="313"/>
      <c r="H10" s="313"/>
      <c r="I10" s="313"/>
    </row>
    <row r="11" spans="1:9" x14ac:dyDescent="0.25">
      <c r="A11" s="313"/>
      <c r="B11" s="313"/>
      <c r="C11" s="313"/>
      <c r="D11" s="313"/>
      <c r="E11" s="313"/>
      <c r="F11" s="313"/>
      <c r="G11" s="313"/>
      <c r="H11" s="313"/>
      <c r="I11" s="313"/>
    </row>
    <row r="12" spans="1:9" x14ac:dyDescent="0.25">
      <c r="A12" s="313"/>
      <c r="B12" s="313"/>
      <c r="C12" s="313"/>
      <c r="D12" s="313"/>
      <c r="E12" s="313"/>
      <c r="F12" s="313"/>
      <c r="G12" s="313"/>
      <c r="H12" s="313"/>
      <c r="I12" s="313"/>
    </row>
    <row r="13" spans="1:9" x14ac:dyDescent="0.25">
      <c r="A13" s="313"/>
      <c r="B13" s="313"/>
      <c r="C13" s="313"/>
      <c r="D13" s="313"/>
      <c r="E13" s="313"/>
      <c r="F13" s="313"/>
      <c r="G13" s="313"/>
      <c r="H13" s="313"/>
      <c r="I13" s="313"/>
    </row>
    <row r="14" spans="1:9" x14ac:dyDescent="0.25">
      <c r="A14" s="313"/>
      <c r="B14" s="313"/>
      <c r="C14" s="313"/>
      <c r="D14" s="313"/>
      <c r="E14" s="313"/>
      <c r="F14" s="313"/>
      <c r="G14" s="313"/>
      <c r="H14" s="313"/>
      <c r="I14" s="313"/>
    </row>
    <row r="15" spans="1:9" ht="19.5" customHeight="1" x14ac:dyDescent="0.3">
      <c r="A15" s="119"/>
    </row>
    <row r="16" spans="1:9" ht="19.5" customHeight="1" x14ac:dyDescent="0.3">
      <c r="A16" s="345" t="s">
        <v>31</v>
      </c>
      <c r="B16" s="346"/>
      <c r="C16" s="346"/>
      <c r="D16" s="346"/>
      <c r="E16" s="346"/>
      <c r="F16" s="346"/>
      <c r="G16" s="346"/>
      <c r="H16" s="347"/>
    </row>
    <row r="17" spans="1:14" ht="20.25" customHeight="1" x14ac:dyDescent="0.25">
      <c r="A17" s="348" t="s">
        <v>51</v>
      </c>
      <c r="B17" s="348"/>
      <c r="C17" s="348"/>
      <c r="D17" s="348"/>
      <c r="E17" s="348"/>
      <c r="F17" s="348"/>
      <c r="G17" s="348"/>
      <c r="H17" s="348"/>
    </row>
    <row r="18" spans="1:14" ht="26.25" customHeight="1" x14ac:dyDescent="0.4">
      <c r="A18" s="121" t="s">
        <v>33</v>
      </c>
      <c r="B18" s="344" t="s">
        <v>5</v>
      </c>
      <c r="C18" s="344"/>
      <c r="D18" s="265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74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49" t="s">
        <v>137</v>
      </c>
      <c r="C20" s="349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49" t="s">
        <v>11</v>
      </c>
      <c r="C21" s="349"/>
      <c r="D21" s="349"/>
      <c r="E21" s="349"/>
      <c r="F21" s="349"/>
      <c r="G21" s="349"/>
      <c r="H21" s="349"/>
      <c r="I21" s="125"/>
    </row>
    <row r="22" spans="1:14" ht="26.25" customHeight="1" x14ac:dyDescent="0.4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>
        <v>43144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44" t="s">
        <v>135</v>
      </c>
      <c r="C26" s="344"/>
    </row>
    <row r="27" spans="1:14" ht="26.25" customHeight="1" x14ac:dyDescent="0.4">
      <c r="A27" s="130" t="s">
        <v>52</v>
      </c>
      <c r="B27" s="350" t="s">
        <v>136</v>
      </c>
      <c r="C27" s="350"/>
    </row>
    <row r="28" spans="1:14" ht="27" customHeight="1" x14ac:dyDescent="0.4">
      <c r="A28" s="130" t="s">
        <v>6</v>
      </c>
      <c r="B28" s="131">
        <v>86.77</v>
      </c>
    </row>
    <row r="29" spans="1:14" s="14" customFormat="1" ht="27" customHeight="1" x14ac:dyDescent="0.4">
      <c r="A29" s="130" t="s">
        <v>53</v>
      </c>
      <c r="B29" s="132">
        <v>0</v>
      </c>
      <c r="C29" s="320" t="s">
        <v>54</v>
      </c>
      <c r="D29" s="321"/>
      <c r="E29" s="321"/>
      <c r="F29" s="321"/>
      <c r="G29" s="322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86.77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1</v>
      </c>
      <c r="C31" s="323" t="s">
        <v>57</v>
      </c>
      <c r="D31" s="324"/>
      <c r="E31" s="324"/>
      <c r="F31" s="324"/>
      <c r="G31" s="324"/>
      <c r="H31" s="325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</v>
      </c>
      <c r="C32" s="323" t="s">
        <v>59</v>
      </c>
      <c r="D32" s="324"/>
      <c r="E32" s="324"/>
      <c r="F32" s="324"/>
      <c r="G32" s="324"/>
      <c r="H32" s="325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20</v>
      </c>
      <c r="C36" s="120"/>
      <c r="D36" s="326" t="s">
        <v>63</v>
      </c>
      <c r="E36" s="351"/>
      <c r="F36" s="326" t="s">
        <v>64</v>
      </c>
      <c r="G36" s="327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109017210</v>
      </c>
      <c r="E38" s="154">
        <f>IF(ISBLANK(D38),"-",$D$48/$D$45*D38)</f>
        <v>109648832.96489152</v>
      </c>
      <c r="F38" s="153">
        <v>114968085</v>
      </c>
      <c r="G38" s="155">
        <f>IF(ISBLANK(F38),"-",$D$48/$F$45*F38)</f>
        <v>111576846.2299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109639827</v>
      </c>
      <c r="E39" s="159">
        <f>IF(ISBLANK(D39),"-",$D$48/$D$45*D39)</f>
        <v>110275057.27786103</v>
      </c>
      <c r="F39" s="158">
        <v>115816588</v>
      </c>
      <c r="G39" s="160">
        <f>IF(ISBLANK(F39),"-",$D$48/$F$45*F39)</f>
        <v>112400320.75116917</v>
      </c>
      <c r="I39" s="328">
        <f>ABS((F43/D43*D42)-F42)/D42</f>
        <v>9.6115708110404065E-3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112196502</v>
      </c>
      <c r="E40" s="159">
        <f>IF(ISBLANK(D40),"-",$D$48/$D$45*D40)</f>
        <v>112846545.11928087</v>
      </c>
      <c r="F40" s="158">
        <v>115279926</v>
      </c>
      <c r="G40" s="160">
        <f>IF(ISBLANK(F40),"-",$D$48/$F$45*F40)</f>
        <v>111879488.78766008</v>
      </c>
      <c r="I40" s="328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110284513</v>
      </c>
      <c r="E42" s="169">
        <f>AVERAGE(E38:E41)</f>
        <v>110923478.45401114</v>
      </c>
      <c r="F42" s="168">
        <f>AVERAGE(F38:F41)</f>
        <v>115354866.33333333</v>
      </c>
      <c r="G42" s="170">
        <f>AVERAGE(G38:G41)</f>
        <v>111952218.58957642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302">
        <v>27.5</v>
      </c>
      <c r="E43" s="161"/>
      <c r="F43" s="302">
        <v>28.5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27.5</v>
      </c>
      <c r="E44" s="176"/>
      <c r="F44" s="175">
        <f>F43*$B$34</f>
        <v>28.5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20</v>
      </c>
      <c r="C45" s="174" t="s">
        <v>81</v>
      </c>
      <c r="D45" s="178">
        <f>D44*$B$30/100</f>
        <v>23.861749999999997</v>
      </c>
      <c r="E45" s="179"/>
      <c r="F45" s="178">
        <f>F44*$B$30/100</f>
        <v>24.729449999999996</v>
      </c>
      <c r="H45" s="171"/>
    </row>
    <row r="46" spans="1:14" ht="19.5" customHeight="1" x14ac:dyDescent="0.3">
      <c r="A46" s="314" t="s">
        <v>82</v>
      </c>
      <c r="B46" s="315"/>
      <c r="C46" s="174" t="s">
        <v>83</v>
      </c>
      <c r="D46" s="180">
        <f>D45/$B$45</f>
        <v>1.1930874999999999</v>
      </c>
      <c r="E46" s="181"/>
      <c r="F46" s="182">
        <f>F45/$B$45</f>
        <v>1.2364724999999999</v>
      </c>
      <c r="H46" s="171"/>
    </row>
    <row r="47" spans="1:14" ht="27" customHeight="1" x14ac:dyDescent="0.4">
      <c r="A47" s="316"/>
      <c r="B47" s="317"/>
      <c r="C47" s="183" t="s">
        <v>84</v>
      </c>
      <c r="D47" s="184">
        <v>1.2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24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24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111437848.52179378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1.1119898746135773E-2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 contains: Amoxicillin Trihydrate equivalent  to Amoxicillin BP 500 mg.</v>
      </c>
    </row>
    <row r="56" spans="1:12" ht="26.25" customHeight="1" x14ac:dyDescent="0.4">
      <c r="A56" s="198" t="s">
        <v>91</v>
      </c>
      <c r="B56" s="199">
        <v>500</v>
      </c>
      <c r="C56" s="120" t="str">
        <f>B20</f>
        <v>Amoxicillin</v>
      </c>
      <c r="H56" s="200"/>
    </row>
    <row r="57" spans="1:12" ht="18.75" x14ac:dyDescent="0.3">
      <c r="A57" s="197" t="s">
        <v>92</v>
      </c>
      <c r="B57" s="266">
        <f>Uniformity!B47</f>
        <v>543.16849999999999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200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1</v>
      </c>
      <c r="C60" s="331" t="s">
        <v>98</v>
      </c>
      <c r="D60" s="334">
        <v>218.9</v>
      </c>
      <c r="E60" s="203">
        <v>1</v>
      </c>
      <c r="F60" s="204">
        <v>103768011</v>
      </c>
      <c r="G60" s="267">
        <f>IF(ISBLANK(F60),"-",(F60/$D$50*$D$47*$B$68)*($B$57/$D$60))</f>
        <v>554.53738443668794</v>
      </c>
      <c r="H60" s="285">
        <f t="shared" ref="H60:H71" si="0">IF(ISBLANK(F60),"-",(G60/$B$56)*100)</f>
        <v>110.90747688733759</v>
      </c>
      <c r="L60" s="133"/>
    </row>
    <row r="61" spans="1:12" s="14" customFormat="1" ht="26.25" customHeight="1" x14ac:dyDescent="0.4">
      <c r="A61" s="145" t="s">
        <v>99</v>
      </c>
      <c r="B61" s="146">
        <v>1</v>
      </c>
      <c r="C61" s="332"/>
      <c r="D61" s="335"/>
      <c r="E61" s="205">
        <v>2</v>
      </c>
      <c r="F61" s="158">
        <v>103841045</v>
      </c>
      <c r="G61" s="268">
        <f>IF(ISBLANK(F61),"-",(F61/$D$50*$D$47*$B$68)*($B$57/$D$60))</f>
        <v>554.92767893057533</v>
      </c>
      <c r="H61" s="286">
        <f t="shared" si="0"/>
        <v>110.98553578611508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2"/>
      <c r="D62" s="335"/>
      <c r="E62" s="205">
        <v>3</v>
      </c>
      <c r="F62" s="206">
        <v>104102890</v>
      </c>
      <c r="G62" s="268">
        <f>IF(ISBLANK(F62),"-",(F62/$D$50*$D$47*$B$68)*($B$57/$D$60))</f>
        <v>556.32698147119959</v>
      </c>
      <c r="H62" s="286">
        <f t="shared" si="0"/>
        <v>111.26539629423992</v>
      </c>
      <c r="L62" s="133"/>
    </row>
    <row r="63" spans="1:12" ht="27" customHeight="1" x14ac:dyDescent="0.4">
      <c r="A63" s="145" t="s">
        <v>101</v>
      </c>
      <c r="B63" s="146">
        <v>1</v>
      </c>
      <c r="C63" s="341"/>
      <c r="D63" s="336"/>
      <c r="E63" s="207">
        <v>4</v>
      </c>
      <c r="F63" s="208"/>
      <c r="G63" s="268" t="str">
        <f>IF(ISBLANK(F63),"-",(F63/$D$50*$D$47*$B$68)*($B$57/$D$60))</f>
        <v>-</v>
      </c>
      <c r="H63" s="286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1" t="s">
        <v>103</v>
      </c>
      <c r="D64" s="334">
        <v>235.46</v>
      </c>
      <c r="E64" s="203">
        <v>1</v>
      </c>
      <c r="F64" s="204">
        <v>111274039</v>
      </c>
      <c r="G64" s="267">
        <f>IF(ISBLANK(F64),"-",(F64/$D$50*$D$47*$B$68)*($B$57/$D$64))</f>
        <v>552.82772006951166</v>
      </c>
      <c r="H64" s="285">
        <f t="shared" si="0"/>
        <v>110.56554401390233</v>
      </c>
    </row>
    <row r="65" spans="1:8" ht="26.25" customHeight="1" x14ac:dyDescent="0.4">
      <c r="A65" s="145" t="s">
        <v>104</v>
      </c>
      <c r="B65" s="146">
        <v>1</v>
      </c>
      <c r="C65" s="332"/>
      <c r="D65" s="335"/>
      <c r="E65" s="205">
        <v>2</v>
      </c>
      <c r="F65" s="158">
        <v>111244469</v>
      </c>
      <c r="G65" s="268">
        <f>IF(ISBLANK(F65),"-",(F65/$D$50*$D$47*$B$68)*($B$57/$D$64))</f>
        <v>552.68081144797361</v>
      </c>
      <c r="H65" s="286">
        <f t="shared" si="0"/>
        <v>110.53616228959473</v>
      </c>
    </row>
    <row r="66" spans="1:8" ht="26.25" customHeight="1" x14ac:dyDescent="0.4">
      <c r="A66" s="145" t="s">
        <v>105</v>
      </c>
      <c r="B66" s="146">
        <v>1</v>
      </c>
      <c r="C66" s="332"/>
      <c r="D66" s="335"/>
      <c r="E66" s="205">
        <v>3</v>
      </c>
      <c r="F66" s="158">
        <v>110665072</v>
      </c>
      <c r="G66" s="268">
        <f>IF(ISBLANK(F66),"-",(F66/$D$50*$D$47*$B$68)*($B$57/$D$64))</f>
        <v>549.80227189460027</v>
      </c>
      <c r="H66" s="286">
        <f t="shared" si="0"/>
        <v>109.96045437892006</v>
      </c>
    </row>
    <row r="67" spans="1:8" ht="27" customHeight="1" x14ac:dyDescent="0.4">
      <c r="A67" s="145" t="s">
        <v>106</v>
      </c>
      <c r="B67" s="146">
        <v>1</v>
      </c>
      <c r="C67" s="341"/>
      <c r="D67" s="336"/>
      <c r="E67" s="207">
        <v>4</v>
      </c>
      <c r="F67" s="208"/>
      <c r="G67" s="284" t="str">
        <f>IF(ISBLANK(F67),"-",(F67/$D$50*$D$47*$B$68)*($B$57/$D$64))</f>
        <v>-</v>
      </c>
      <c r="H67" s="287" t="str">
        <f t="shared" si="0"/>
        <v>-</v>
      </c>
    </row>
    <row r="68" spans="1:8" ht="26.25" customHeight="1" x14ac:dyDescent="0.4">
      <c r="A68" s="145" t="s">
        <v>107</v>
      </c>
      <c r="B68" s="209">
        <f>(B67/B66)*(B65/B64)*(B63/B62)*(B61/B60)*B59</f>
        <v>200</v>
      </c>
      <c r="C68" s="331" t="s">
        <v>108</v>
      </c>
      <c r="D68" s="334">
        <v>218.81</v>
      </c>
      <c r="E68" s="203">
        <v>1</v>
      </c>
      <c r="F68" s="204">
        <v>104438567</v>
      </c>
      <c r="G68" s="267">
        <f>IF(ISBLANK(F68),"-",(F68/$D$50*$D$47*$B$68)*($B$57/$D$68))</f>
        <v>558.35040692146345</v>
      </c>
      <c r="H68" s="286">
        <f t="shared" si="0"/>
        <v>111.67008138429269</v>
      </c>
    </row>
    <row r="69" spans="1:8" ht="27" customHeight="1" x14ac:dyDescent="0.4">
      <c r="A69" s="193" t="s">
        <v>109</v>
      </c>
      <c r="B69" s="210">
        <f>(D47*B68)/B56*B57</f>
        <v>260.72087999999997</v>
      </c>
      <c r="C69" s="332"/>
      <c r="D69" s="335"/>
      <c r="E69" s="205">
        <v>2</v>
      </c>
      <c r="F69" s="158">
        <v>103385137</v>
      </c>
      <c r="G69" s="268">
        <f>IF(ISBLANK(F69),"-",(F69/$D$50*$D$47*$B$68)*($B$57/$D$68))</f>
        <v>552.71854997379694</v>
      </c>
      <c r="H69" s="286">
        <f t="shared" si="0"/>
        <v>110.5437099947594</v>
      </c>
    </row>
    <row r="70" spans="1:8" ht="26.25" customHeight="1" x14ac:dyDescent="0.4">
      <c r="A70" s="337" t="s">
        <v>82</v>
      </c>
      <c r="B70" s="338"/>
      <c r="C70" s="332"/>
      <c r="D70" s="335"/>
      <c r="E70" s="205">
        <v>3</v>
      </c>
      <c r="F70" s="158">
        <v>103381222</v>
      </c>
      <c r="G70" s="268">
        <f>IF(ISBLANK(F70),"-",(F70/$D$50*$D$47*$B$68)*($B$57/$D$68))</f>
        <v>552.69761956555885</v>
      </c>
      <c r="H70" s="286">
        <f t="shared" si="0"/>
        <v>110.53952391311176</v>
      </c>
    </row>
    <row r="71" spans="1:8" ht="27" customHeight="1" x14ac:dyDescent="0.4">
      <c r="A71" s="339"/>
      <c r="B71" s="340"/>
      <c r="C71" s="333"/>
      <c r="D71" s="336"/>
      <c r="E71" s="207">
        <v>4</v>
      </c>
      <c r="F71" s="208"/>
      <c r="G71" s="284" t="str">
        <f>IF(ISBLANK(F71),"-",(F71/$D$50*$D$47*$B$68)*($B$57/$D$68))</f>
        <v>-</v>
      </c>
      <c r="H71" s="287" t="str">
        <f t="shared" si="0"/>
        <v>-</v>
      </c>
    </row>
    <row r="72" spans="1:8" ht="26.25" customHeight="1" x14ac:dyDescent="0.4">
      <c r="A72" s="211"/>
      <c r="B72" s="211"/>
      <c r="C72" s="211"/>
      <c r="D72" s="211"/>
      <c r="E72" s="211"/>
      <c r="F72" s="213" t="s">
        <v>75</v>
      </c>
      <c r="G72" s="273">
        <f>AVERAGE(G60:G71)</f>
        <v>553.87438052348534</v>
      </c>
      <c r="H72" s="288">
        <f>AVERAGE(H60:H71)</f>
        <v>110.77487610469706</v>
      </c>
    </row>
    <row r="73" spans="1:8" ht="26.25" customHeight="1" x14ac:dyDescent="0.4">
      <c r="C73" s="211"/>
      <c r="D73" s="211"/>
      <c r="E73" s="211"/>
      <c r="F73" s="214" t="s">
        <v>88</v>
      </c>
      <c r="G73" s="272">
        <f>STDEV(G60:G71)/G72</f>
        <v>4.4874922503127098E-3</v>
      </c>
      <c r="H73" s="272">
        <f>STDEV(H60:H71)/H72</f>
        <v>4.4874922503126977E-3</v>
      </c>
    </row>
    <row r="74" spans="1:8" ht="27" customHeight="1" x14ac:dyDescent="0.4">
      <c r="A74" s="211"/>
      <c r="B74" s="211"/>
      <c r="C74" s="212"/>
      <c r="D74" s="212"/>
      <c r="E74" s="215"/>
      <c r="F74" s="216" t="s">
        <v>20</v>
      </c>
      <c r="G74" s="217">
        <f>COUNT(G60:G71)</f>
        <v>9</v>
      </c>
      <c r="H74" s="217">
        <f>COUNT(H60:H71)</f>
        <v>9</v>
      </c>
    </row>
    <row r="76" spans="1:8" ht="26.25" customHeight="1" x14ac:dyDescent="0.4">
      <c r="A76" s="129" t="s">
        <v>110</v>
      </c>
      <c r="B76" s="218" t="s">
        <v>111</v>
      </c>
      <c r="C76" s="318" t="str">
        <f>B26</f>
        <v>AMOXICILLIN</v>
      </c>
      <c r="D76" s="318"/>
      <c r="E76" s="219" t="s">
        <v>112</v>
      </c>
      <c r="F76" s="219"/>
      <c r="G76" s="301">
        <f>H72</f>
        <v>110.77487610469706</v>
      </c>
      <c r="H76" s="221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52" t="s">
        <v>137</v>
      </c>
      <c r="C79" s="352"/>
    </row>
    <row r="80" spans="1:8" ht="26.25" customHeight="1" x14ac:dyDescent="0.4">
      <c r="A80" s="130" t="s">
        <v>52</v>
      </c>
      <c r="B80" s="352" t="s">
        <v>138</v>
      </c>
      <c r="C80" s="352"/>
    </row>
    <row r="81" spans="1:12" ht="27" customHeight="1" x14ac:dyDescent="0.4">
      <c r="A81" s="130" t="s">
        <v>6</v>
      </c>
      <c r="B81" s="222">
        <v>86.6</v>
      </c>
    </row>
    <row r="82" spans="1:12" s="14" customFormat="1" ht="27" customHeight="1" x14ac:dyDescent="0.4">
      <c r="A82" s="130" t="s">
        <v>53</v>
      </c>
      <c r="B82" s="132">
        <v>0</v>
      </c>
      <c r="C82" s="320" t="s">
        <v>54</v>
      </c>
      <c r="D82" s="321"/>
      <c r="E82" s="321"/>
      <c r="F82" s="321"/>
      <c r="G82" s="322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86.6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1</v>
      </c>
      <c r="C84" s="323" t="s">
        <v>115</v>
      </c>
      <c r="D84" s="324"/>
      <c r="E84" s="324"/>
      <c r="F84" s="324"/>
      <c r="G84" s="324"/>
      <c r="H84" s="325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</v>
      </c>
      <c r="C85" s="323" t="s">
        <v>116</v>
      </c>
      <c r="D85" s="324"/>
      <c r="E85" s="324"/>
      <c r="F85" s="324"/>
      <c r="G85" s="324"/>
      <c r="H85" s="325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50</v>
      </c>
      <c r="D89" s="223" t="s">
        <v>63</v>
      </c>
      <c r="E89" s="224"/>
      <c r="F89" s="326" t="s">
        <v>64</v>
      </c>
      <c r="G89" s="327"/>
    </row>
    <row r="90" spans="1:12" ht="27" customHeight="1" x14ac:dyDescent="0.4">
      <c r="A90" s="145" t="s">
        <v>65</v>
      </c>
      <c r="B90" s="146">
        <v>1</v>
      </c>
      <c r="C90" s="225" t="s">
        <v>66</v>
      </c>
      <c r="D90" s="148" t="s">
        <v>67</v>
      </c>
      <c r="E90" s="149" t="s">
        <v>68</v>
      </c>
      <c r="F90" s="148" t="s">
        <v>67</v>
      </c>
      <c r="G90" s="226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1</v>
      </c>
      <c r="C91" s="227">
        <v>1</v>
      </c>
      <c r="D91" s="153">
        <v>0.56799999999999995</v>
      </c>
      <c r="E91" s="154">
        <f>IF(ISBLANK(D91),"-",$D$101/$D$98*D91)</f>
        <v>0.67043764233520986</v>
      </c>
      <c r="F91" s="153">
        <v>0.55100000000000005</v>
      </c>
      <c r="G91" s="155">
        <f>IF(ISBLANK(F91),"-",$D$101/$F$98*F91)</f>
        <v>0.67009864192531132</v>
      </c>
      <c r="I91" s="156"/>
    </row>
    <row r="92" spans="1:12" ht="26.25" customHeight="1" x14ac:dyDescent="0.4">
      <c r="A92" s="145" t="s">
        <v>71</v>
      </c>
      <c r="B92" s="146">
        <v>1</v>
      </c>
      <c r="C92" s="212">
        <v>2</v>
      </c>
      <c r="D92" s="158">
        <v>0.56599999999999995</v>
      </c>
      <c r="E92" s="159">
        <f>IF(ISBLANK(D92),"-",$D$101/$D$98*D92)</f>
        <v>0.66807694641149429</v>
      </c>
      <c r="F92" s="158">
        <v>0.55000000000000004</v>
      </c>
      <c r="G92" s="160">
        <f>IF(ISBLANK(F92),"-",$D$101/$F$98*F92)</f>
        <v>0.66888249193996596</v>
      </c>
      <c r="I92" s="328">
        <f>ABS((F96/D96*D95)-F95)/D95</f>
        <v>6.1619156855325136E-5</v>
      </c>
    </row>
    <row r="93" spans="1:12" ht="26.25" customHeight="1" x14ac:dyDescent="0.4">
      <c r="A93" s="145" t="s">
        <v>72</v>
      </c>
      <c r="B93" s="146">
        <v>1</v>
      </c>
      <c r="C93" s="212">
        <v>3</v>
      </c>
      <c r="D93" s="158">
        <v>0.56799999999999995</v>
      </c>
      <c r="E93" s="159">
        <f>IF(ISBLANK(D93),"-",$D$101/$D$98*D93)</f>
        <v>0.67043764233520986</v>
      </c>
      <c r="F93" s="158">
        <v>0.55100000000000005</v>
      </c>
      <c r="G93" s="160">
        <f>IF(ISBLANK(F93),"-",$D$101/$F$98*F93)</f>
        <v>0.67009864192531132</v>
      </c>
      <c r="I93" s="328"/>
    </row>
    <row r="94" spans="1:12" ht="27" customHeight="1" x14ac:dyDescent="0.4">
      <c r="A94" s="145" t="s">
        <v>73</v>
      </c>
      <c r="B94" s="146">
        <v>1</v>
      </c>
      <c r="C94" s="228">
        <v>4</v>
      </c>
      <c r="D94" s="163"/>
      <c r="E94" s="164" t="str">
        <f>IF(ISBLANK(D94),"-",$D$101/$D$98*D94)</f>
        <v>-</v>
      </c>
      <c r="F94" s="229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0" t="s">
        <v>75</v>
      </c>
      <c r="D95" s="353">
        <f>AVERAGE(D91:D94)</f>
        <v>0.56733333333333336</v>
      </c>
      <c r="E95" s="169">
        <f>AVERAGE(E91:E94)</f>
        <v>0.66965074369397148</v>
      </c>
      <c r="F95" s="354">
        <f>AVERAGE(F91:F94)</f>
        <v>0.55066666666666675</v>
      </c>
      <c r="G95" s="231">
        <f>AVERAGE(G91:G94)</f>
        <v>0.66969325859686279</v>
      </c>
    </row>
    <row r="96" spans="1:12" ht="26.25" customHeight="1" x14ac:dyDescent="0.4">
      <c r="A96" s="145" t="s">
        <v>76</v>
      </c>
      <c r="B96" s="131">
        <v>1</v>
      </c>
      <c r="C96" s="232" t="s">
        <v>117</v>
      </c>
      <c r="D96" s="233">
        <v>10.87</v>
      </c>
      <c r="E96" s="161"/>
      <c r="F96" s="173">
        <v>10.55</v>
      </c>
    </row>
    <row r="97" spans="1:10" ht="26.25" customHeight="1" x14ac:dyDescent="0.4">
      <c r="A97" s="145" t="s">
        <v>78</v>
      </c>
      <c r="B97" s="131">
        <v>1</v>
      </c>
      <c r="C97" s="234" t="s">
        <v>118</v>
      </c>
      <c r="D97" s="235">
        <f>D96*$B$87</f>
        <v>10.87</v>
      </c>
      <c r="E97" s="176"/>
      <c r="F97" s="175">
        <f>F96*$B$87</f>
        <v>10.55</v>
      </c>
    </row>
    <row r="98" spans="1:10" ht="19.5" customHeight="1" x14ac:dyDescent="0.3">
      <c r="A98" s="145" t="s">
        <v>80</v>
      </c>
      <c r="B98" s="236">
        <f>(B97/B96)*(B95/B94)*(B93/B92)*(B91/B90)*B89</f>
        <v>50</v>
      </c>
      <c r="C98" s="234" t="s">
        <v>119</v>
      </c>
      <c r="D98" s="237">
        <f>D97*$B$83/100</f>
        <v>9.4134199999999986</v>
      </c>
      <c r="E98" s="179"/>
      <c r="F98" s="178">
        <f>F97*$B$83/100</f>
        <v>9.1363000000000003</v>
      </c>
    </row>
    <row r="99" spans="1:10" ht="19.5" customHeight="1" x14ac:dyDescent="0.3">
      <c r="A99" s="314" t="s">
        <v>82</v>
      </c>
      <c r="B99" s="329"/>
      <c r="C99" s="234" t="s">
        <v>120</v>
      </c>
      <c r="D99" s="238">
        <f>D98/$B$98</f>
        <v>0.18826839999999997</v>
      </c>
      <c r="E99" s="179"/>
      <c r="F99" s="182">
        <f>F98/$B$98</f>
        <v>0.182726</v>
      </c>
      <c r="G99" s="239"/>
      <c r="H99" s="171"/>
    </row>
    <row r="100" spans="1:10" ht="19.5" customHeight="1" x14ac:dyDescent="0.3">
      <c r="A100" s="316"/>
      <c r="B100" s="330"/>
      <c r="C100" s="234" t="s">
        <v>84</v>
      </c>
      <c r="D100" s="240">
        <f>$B$56/$B$116</f>
        <v>0.22222222222222221</v>
      </c>
      <c r="F100" s="187"/>
      <c r="G100" s="241"/>
      <c r="H100" s="171"/>
    </row>
    <row r="101" spans="1:10" ht="18.75" x14ac:dyDescent="0.3">
      <c r="C101" s="234" t="s">
        <v>85</v>
      </c>
      <c r="D101" s="235">
        <f>D100*$B$98</f>
        <v>11.111111111111111</v>
      </c>
      <c r="F101" s="187"/>
      <c r="G101" s="239"/>
      <c r="H101" s="171"/>
    </row>
    <row r="102" spans="1:10" ht="19.5" customHeight="1" x14ac:dyDescent="0.3">
      <c r="C102" s="242" t="s">
        <v>86</v>
      </c>
      <c r="D102" s="243">
        <f>D101/B34</f>
        <v>11.111111111111111</v>
      </c>
      <c r="F102" s="191"/>
      <c r="G102" s="239"/>
      <c r="H102" s="171"/>
      <c r="J102" s="244"/>
    </row>
    <row r="103" spans="1:10" ht="18.75" x14ac:dyDescent="0.3">
      <c r="C103" s="245" t="s">
        <v>121</v>
      </c>
      <c r="D103" s="246">
        <f>AVERAGE(E91:E94,G91:G94)</f>
        <v>0.66967200114541725</v>
      </c>
      <c r="F103" s="191"/>
      <c r="G103" s="247"/>
      <c r="H103" s="171"/>
      <c r="J103" s="248"/>
    </row>
    <row r="104" spans="1:10" ht="18.75" x14ac:dyDescent="0.3">
      <c r="C104" s="214" t="s">
        <v>88</v>
      </c>
      <c r="D104" s="249">
        <f>STDEV(E91:E94,G91:G94)/D103</f>
        <v>1.4483905419060922E-3</v>
      </c>
      <c r="F104" s="191"/>
      <c r="G104" s="239"/>
      <c r="H104" s="171"/>
      <c r="J104" s="248"/>
    </row>
    <row r="105" spans="1:10" ht="19.5" customHeight="1" x14ac:dyDescent="0.3">
      <c r="C105" s="216" t="s">
        <v>20</v>
      </c>
      <c r="D105" s="250">
        <f>COUNT(E91:E94,G91:G94)</f>
        <v>6</v>
      </c>
      <c r="F105" s="191"/>
      <c r="G105" s="239"/>
      <c r="H105" s="171"/>
      <c r="J105" s="248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7" customHeight="1" x14ac:dyDescent="0.4">
      <c r="A107" s="143" t="s">
        <v>122</v>
      </c>
      <c r="B107" s="144">
        <v>900</v>
      </c>
      <c r="C107" s="289" t="s">
        <v>123</v>
      </c>
      <c r="D107" s="289" t="s">
        <v>67</v>
      </c>
      <c r="E107" s="289" t="s">
        <v>124</v>
      </c>
      <c r="F107" s="251" t="s">
        <v>125</v>
      </c>
    </row>
    <row r="108" spans="1:10" ht="26.25" customHeight="1" x14ac:dyDescent="0.4">
      <c r="A108" s="145" t="s">
        <v>126</v>
      </c>
      <c r="B108" s="146">
        <v>4</v>
      </c>
      <c r="C108" s="292">
        <v>1</v>
      </c>
      <c r="D108" s="355">
        <v>0.63900000000000001</v>
      </c>
      <c r="E108" s="269">
        <f t="shared" ref="E108:E113" si="1">IF(ISBLANK(D108),"-",D108/$D$103*$D$100*$B$116)</f>
        <v>477.09923582518354</v>
      </c>
      <c r="F108" s="293">
        <f t="shared" ref="F108:F113" si="2">IF(ISBLANK(D108), "-", (E108/$B$56)*100)</f>
        <v>95.419847165036714</v>
      </c>
    </row>
    <row r="109" spans="1:10" ht="26.25" customHeight="1" x14ac:dyDescent="0.4">
      <c r="A109" s="145" t="s">
        <v>99</v>
      </c>
      <c r="B109" s="146">
        <v>10</v>
      </c>
      <c r="C109" s="290">
        <v>2</v>
      </c>
      <c r="D109" s="356">
        <v>0.61899999999999999</v>
      </c>
      <c r="E109" s="270">
        <f t="shared" si="1"/>
        <v>462.16655238777554</v>
      </c>
      <c r="F109" s="294">
        <f t="shared" si="2"/>
        <v>92.433310477555111</v>
      </c>
    </row>
    <row r="110" spans="1:10" ht="26.25" customHeight="1" x14ac:dyDescent="0.4">
      <c r="A110" s="145" t="s">
        <v>100</v>
      </c>
      <c r="B110" s="146">
        <v>1</v>
      </c>
      <c r="C110" s="290">
        <v>3</v>
      </c>
      <c r="D110" s="356">
        <v>0.61299999999999999</v>
      </c>
      <c r="E110" s="270">
        <f t="shared" si="1"/>
        <v>457.68674735655316</v>
      </c>
      <c r="F110" s="294">
        <f t="shared" si="2"/>
        <v>91.537349471310634</v>
      </c>
    </row>
    <row r="111" spans="1:10" ht="26.25" customHeight="1" x14ac:dyDescent="0.4">
      <c r="A111" s="145" t="s">
        <v>101</v>
      </c>
      <c r="B111" s="146">
        <v>1</v>
      </c>
      <c r="C111" s="290">
        <v>4</v>
      </c>
      <c r="D111" s="356">
        <v>0.61499999999999999</v>
      </c>
      <c r="E111" s="270">
        <f t="shared" si="1"/>
        <v>459.18001570029395</v>
      </c>
      <c r="F111" s="294">
        <f t="shared" si="2"/>
        <v>91.836003140058793</v>
      </c>
    </row>
    <row r="112" spans="1:10" ht="26.25" customHeight="1" x14ac:dyDescent="0.4">
      <c r="A112" s="145" t="s">
        <v>102</v>
      </c>
      <c r="B112" s="146">
        <v>1</v>
      </c>
      <c r="C112" s="290">
        <v>5</v>
      </c>
      <c r="D112" s="356">
        <v>0.60699999999999998</v>
      </c>
      <c r="E112" s="270">
        <f t="shared" si="1"/>
        <v>453.20694232533077</v>
      </c>
      <c r="F112" s="294">
        <f t="shared" si="2"/>
        <v>90.641388465066157</v>
      </c>
    </row>
    <row r="113" spans="1:10" ht="27" customHeight="1" x14ac:dyDescent="0.4">
      <c r="A113" s="145" t="s">
        <v>104</v>
      </c>
      <c r="B113" s="146">
        <v>1</v>
      </c>
      <c r="C113" s="291">
        <v>6</v>
      </c>
      <c r="D113" s="357">
        <v>0.61899999999999999</v>
      </c>
      <c r="E113" s="271">
        <f t="shared" si="1"/>
        <v>462.16655238777554</v>
      </c>
      <c r="F113" s="295">
        <f t="shared" si="2"/>
        <v>92.433310477555111</v>
      </c>
    </row>
    <row r="114" spans="1:10" ht="27" customHeight="1" x14ac:dyDescent="0.4">
      <c r="A114" s="145" t="s">
        <v>105</v>
      </c>
      <c r="B114" s="146">
        <v>1</v>
      </c>
      <c r="C114" s="252"/>
      <c r="D114" s="212"/>
      <c r="E114" s="119"/>
      <c r="F114" s="296"/>
    </row>
    <row r="115" spans="1:10" ht="26.25" customHeight="1" x14ac:dyDescent="0.4">
      <c r="A115" s="145" t="s">
        <v>106</v>
      </c>
      <c r="B115" s="146">
        <v>1</v>
      </c>
      <c r="C115" s="252"/>
      <c r="D115" s="276" t="s">
        <v>75</v>
      </c>
      <c r="E115" s="278">
        <f>AVERAGE(E108:E113)</f>
        <v>461.9176743304854</v>
      </c>
      <c r="F115" s="297">
        <f>AVERAGE(F108:F113)</f>
        <v>92.383534866097079</v>
      </c>
    </row>
    <row r="116" spans="1:10" ht="27" customHeight="1" x14ac:dyDescent="0.4">
      <c r="A116" s="145" t="s">
        <v>107</v>
      </c>
      <c r="B116" s="177">
        <f>(B115/B114)*(B113/B112)*(B111/B110)*(B109/B108)*B107</f>
        <v>2250</v>
      </c>
      <c r="C116" s="253"/>
      <c r="D116" s="277" t="s">
        <v>88</v>
      </c>
      <c r="E116" s="275">
        <f>STDEV(E108:E113)/E115</f>
        <v>1.7637554981328442E-2</v>
      </c>
      <c r="F116" s="254">
        <f>STDEV(F108:F113)/F115</f>
        <v>1.7637554981328456E-2</v>
      </c>
      <c r="I116" s="119"/>
    </row>
    <row r="117" spans="1:10" ht="27" customHeight="1" x14ac:dyDescent="0.4">
      <c r="A117" s="314" t="s">
        <v>82</v>
      </c>
      <c r="B117" s="315"/>
      <c r="C117" s="255"/>
      <c r="D117" s="216" t="s">
        <v>20</v>
      </c>
      <c r="E117" s="280">
        <f>COUNT(E108:E113)</f>
        <v>6</v>
      </c>
      <c r="F117" s="281">
        <f>COUNT(F108:F113)</f>
        <v>6</v>
      </c>
      <c r="I117" s="119"/>
      <c r="J117" s="248"/>
    </row>
    <row r="118" spans="1:10" ht="26.25" customHeight="1" x14ac:dyDescent="0.3">
      <c r="A118" s="316"/>
      <c r="B118" s="317"/>
      <c r="C118" s="119"/>
      <c r="D118" s="279"/>
      <c r="E118" s="342" t="s">
        <v>127</v>
      </c>
      <c r="F118" s="343"/>
      <c r="G118" s="119"/>
      <c r="H118" s="119"/>
      <c r="I118" s="119"/>
    </row>
    <row r="119" spans="1:10" ht="25.5" customHeight="1" x14ac:dyDescent="0.4">
      <c r="A119" s="264"/>
      <c r="B119" s="141"/>
      <c r="C119" s="119"/>
      <c r="D119" s="277" t="s">
        <v>128</v>
      </c>
      <c r="E119" s="282">
        <f>MIN(E108:E113)</f>
        <v>453.20694232533077</v>
      </c>
      <c r="F119" s="298">
        <f>MIN(F108:F113)</f>
        <v>90.641388465066157</v>
      </c>
      <c r="G119" s="119"/>
      <c r="H119" s="119"/>
      <c r="I119" s="119"/>
    </row>
    <row r="120" spans="1:10" ht="24" customHeight="1" x14ac:dyDescent="0.4">
      <c r="A120" s="264"/>
      <c r="B120" s="141"/>
      <c r="C120" s="119"/>
      <c r="D120" s="188" t="s">
        <v>129</v>
      </c>
      <c r="E120" s="283">
        <f>MAX(E108:E113)</f>
        <v>477.09923582518354</v>
      </c>
      <c r="F120" s="299">
        <f>MAX(F108:F113)</f>
        <v>95.419847165036714</v>
      </c>
      <c r="G120" s="119"/>
      <c r="H120" s="119"/>
      <c r="I120" s="119"/>
    </row>
    <row r="121" spans="1:10" ht="27" customHeight="1" x14ac:dyDescent="0.3">
      <c r="A121" s="264"/>
      <c r="B121" s="141"/>
      <c r="C121" s="119"/>
      <c r="D121" s="119"/>
      <c r="E121" s="119"/>
      <c r="F121" s="212"/>
      <c r="G121" s="119"/>
      <c r="H121" s="119"/>
      <c r="I121" s="119"/>
    </row>
    <row r="122" spans="1:10" ht="25.5" customHeight="1" x14ac:dyDescent="0.3">
      <c r="A122" s="264"/>
      <c r="B122" s="141"/>
      <c r="C122" s="119"/>
      <c r="D122" s="119"/>
      <c r="E122" s="119"/>
      <c r="F122" s="212"/>
      <c r="G122" s="119"/>
      <c r="H122" s="119"/>
      <c r="I122" s="119"/>
    </row>
    <row r="123" spans="1:10" ht="18.75" x14ac:dyDescent="0.3">
      <c r="A123" s="264"/>
      <c r="B123" s="141"/>
      <c r="C123" s="119"/>
      <c r="D123" s="119"/>
      <c r="E123" s="119"/>
      <c r="F123" s="212"/>
      <c r="G123" s="119"/>
      <c r="H123" s="119"/>
      <c r="I123" s="119"/>
    </row>
    <row r="124" spans="1:10" ht="45.75" customHeight="1" x14ac:dyDescent="0.65">
      <c r="A124" s="129" t="s">
        <v>110</v>
      </c>
      <c r="B124" s="218" t="s">
        <v>130</v>
      </c>
      <c r="C124" s="318" t="str">
        <f>B26</f>
        <v>AMOXICILLIN</v>
      </c>
      <c r="D124" s="318"/>
      <c r="E124" s="219" t="s">
        <v>131</v>
      </c>
      <c r="F124" s="219"/>
      <c r="G124" s="300">
        <f>F115</f>
        <v>92.383534866097079</v>
      </c>
      <c r="H124" s="119"/>
      <c r="I124" s="119"/>
    </row>
    <row r="125" spans="1:10" ht="45.75" customHeight="1" x14ac:dyDescent="0.65">
      <c r="A125" s="129"/>
      <c r="B125" s="218" t="s">
        <v>132</v>
      </c>
      <c r="C125" s="130" t="s">
        <v>133</v>
      </c>
      <c r="D125" s="300">
        <f>MIN(F108:F113)</f>
        <v>90.641388465066157</v>
      </c>
      <c r="E125" s="230" t="s">
        <v>134</v>
      </c>
      <c r="F125" s="300">
        <f>MAX(F108:F113)</f>
        <v>95.419847165036714</v>
      </c>
      <c r="G125" s="220"/>
      <c r="H125" s="119"/>
      <c r="I125" s="119"/>
    </row>
    <row r="126" spans="1:10" ht="19.5" customHeight="1" x14ac:dyDescent="0.3">
      <c r="A126" s="256"/>
      <c r="B126" s="256"/>
      <c r="C126" s="257"/>
      <c r="D126" s="257"/>
      <c r="E126" s="257"/>
      <c r="F126" s="257"/>
      <c r="G126" s="257"/>
      <c r="H126" s="257"/>
    </row>
    <row r="127" spans="1:10" ht="18.75" x14ac:dyDescent="0.3">
      <c r="B127" s="319" t="s">
        <v>26</v>
      </c>
      <c r="C127" s="319"/>
      <c r="E127" s="225" t="s">
        <v>27</v>
      </c>
      <c r="F127" s="258"/>
      <c r="G127" s="319" t="s">
        <v>28</v>
      </c>
      <c r="H127" s="319"/>
    </row>
    <row r="128" spans="1:10" ht="69.95" customHeight="1" x14ac:dyDescent="0.3">
      <c r="A128" s="259" t="s">
        <v>29</v>
      </c>
      <c r="B128" s="260"/>
      <c r="C128" s="260"/>
      <c r="E128" s="260"/>
      <c r="F128" s="119"/>
      <c r="G128" s="261"/>
      <c r="H128" s="261"/>
    </row>
    <row r="129" spans="1:9" ht="69.95" customHeight="1" x14ac:dyDescent="0.3">
      <c r="A129" s="259" t="s">
        <v>30</v>
      </c>
      <c r="B129" s="262"/>
      <c r="C129" s="262"/>
      <c r="E129" s="262"/>
      <c r="F129" s="119"/>
      <c r="G129" s="263"/>
      <c r="H129" s="263"/>
    </row>
    <row r="130" spans="1:9" ht="18.75" x14ac:dyDescent="0.3">
      <c r="A130" s="211"/>
      <c r="B130" s="211"/>
      <c r="C130" s="212"/>
      <c r="D130" s="212"/>
      <c r="E130" s="212"/>
      <c r="F130" s="215"/>
      <c r="G130" s="212"/>
      <c r="H130" s="212"/>
      <c r="I130" s="119"/>
    </row>
    <row r="131" spans="1:9" ht="18.75" x14ac:dyDescent="0.3">
      <c r="A131" s="211"/>
      <c r="B131" s="211"/>
      <c r="C131" s="212"/>
      <c r="D131" s="212"/>
      <c r="E131" s="212"/>
      <c r="F131" s="215"/>
      <c r="G131" s="212"/>
      <c r="H131" s="212"/>
      <c r="I131" s="119"/>
    </row>
    <row r="132" spans="1:9" ht="18.75" x14ac:dyDescent="0.3">
      <c r="A132" s="211"/>
      <c r="B132" s="211"/>
      <c r="C132" s="212"/>
      <c r="D132" s="212"/>
      <c r="E132" s="212"/>
      <c r="F132" s="215"/>
      <c r="G132" s="212"/>
      <c r="H132" s="212"/>
      <c r="I132" s="119"/>
    </row>
    <row r="133" spans="1:9" ht="18.75" x14ac:dyDescent="0.3">
      <c r="A133" s="211"/>
      <c r="B133" s="211"/>
      <c r="C133" s="212"/>
      <c r="D133" s="212"/>
      <c r="E133" s="212"/>
      <c r="F133" s="215"/>
      <c r="G133" s="212"/>
      <c r="H133" s="212"/>
      <c r="I133" s="119"/>
    </row>
    <row r="134" spans="1:9" ht="18.75" x14ac:dyDescent="0.3">
      <c r="A134" s="211"/>
      <c r="B134" s="211"/>
      <c r="C134" s="212"/>
      <c r="D134" s="212"/>
      <c r="E134" s="212"/>
      <c r="F134" s="215"/>
      <c r="G134" s="212"/>
      <c r="H134" s="212"/>
      <c r="I134" s="119"/>
    </row>
    <row r="135" spans="1:9" ht="18.75" x14ac:dyDescent="0.3">
      <c r="A135" s="211"/>
      <c r="B135" s="211"/>
      <c r="C135" s="212"/>
      <c r="D135" s="212"/>
      <c r="E135" s="212"/>
      <c r="F135" s="215"/>
      <c r="G135" s="212"/>
      <c r="H135" s="212"/>
      <c r="I135" s="119"/>
    </row>
    <row r="136" spans="1:9" ht="18.75" x14ac:dyDescent="0.3">
      <c r="A136" s="211"/>
      <c r="B136" s="211"/>
      <c r="C136" s="212"/>
      <c r="D136" s="212"/>
      <c r="E136" s="212"/>
      <c r="F136" s="215"/>
      <c r="G136" s="212"/>
      <c r="H136" s="212"/>
      <c r="I136" s="119"/>
    </row>
    <row r="137" spans="1:9" ht="18.75" x14ac:dyDescent="0.3">
      <c r="A137" s="211"/>
      <c r="B137" s="211"/>
      <c r="C137" s="212"/>
      <c r="D137" s="212"/>
      <c r="E137" s="212"/>
      <c r="F137" s="215"/>
      <c r="G137" s="212"/>
      <c r="H137" s="212"/>
      <c r="I137" s="119"/>
    </row>
    <row r="138" spans="1:9" ht="18.75" x14ac:dyDescent="0.3">
      <c r="A138" s="211"/>
      <c r="B138" s="211"/>
      <c r="C138" s="212"/>
      <c r="D138" s="212"/>
      <c r="E138" s="212"/>
      <c r="F138" s="215"/>
      <c r="G138" s="212"/>
      <c r="H138" s="212"/>
      <c r="I138" s="11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Amoxicillin</vt:lpstr>
      <vt:lpstr>Amoxicillin!Print_Area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2018-03-07T15:33:39Z</cp:lastPrinted>
  <dcterms:created xsi:type="dcterms:W3CDTF">2005-07-05T10:19:27Z</dcterms:created>
  <dcterms:modified xsi:type="dcterms:W3CDTF">2018-03-07T15:35:21Z</dcterms:modified>
</cp:coreProperties>
</file>