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21840" windowHeight="11445" activeTab="2"/>
  </bookViews>
  <sheets>
    <sheet name="SST" sheetId="5" r:id="rId1"/>
    <sheet name="Uniformity" sheetId="2" r:id="rId2"/>
    <sheet name="Cefuroxime" sheetId="4" r:id="rId3"/>
  </sheets>
  <definedNames>
    <definedName name="_xlnm.Print_Area" localSheetId="2">Cefuroxime!$A$1:$H$178</definedName>
    <definedName name="_xlnm.Print_Area" localSheetId="0">SST!$A$15:$H$61</definedName>
    <definedName name="_xlnm.Print_Area" localSheetId="1">Uniformity!$A$12:$F$54</definedName>
  </definedNames>
  <calcPr calcId="144525"/>
</workbook>
</file>

<file path=xl/calcChain.xml><?xml version="1.0" encoding="utf-8"?>
<calcChain xmlns="http://schemas.openxmlformats.org/spreadsheetml/2006/main">
  <c r="B53" i="5" l="1"/>
  <c r="F51" i="5"/>
  <c r="E51" i="5"/>
  <c r="D51" i="5"/>
  <c r="C51" i="5"/>
  <c r="B51" i="5"/>
  <c r="B52" i="5" s="1"/>
  <c r="B42" i="5"/>
  <c r="B32" i="5"/>
  <c r="F30" i="5"/>
  <c r="E30" i="5"/>
  <c r="D30" i="5"/>
  <c r="C30" i="5"/>
  <c r="B30" i="5"/>
  <c r="B31" i="5" s="1"/>
  <c r="B21" i="5"/>
  <c r="F70" i="4"/>
  <c r="F69" i="4"/>
  <c r="F68" i="4"/>
  <c r="F66" i="4"/>
  <c r="F65" i="4"/>
  <c r="F64" i="4"/>
  <c r="F62" i="4"/>
  <c r="F61" i="4"/>
  <c r="F60" i="4"/>
  <c r="C173" i="4" l="1"/>
  <c r="B169" i="4"/>
  <c r="C156" i="4"/>
  <c r="B152" i="4"/>
  <c r="C139" i="4"/>
  <c r="B135" i="4"/>
  <c r="C122" i="4"/>
  <c r="B118" i="4"/>
  <c r="D102" i="4" s="1"/>
  <c r="B100" i="4"/>
  <c r="F97" i="4"/>
  <c r="D97" i="4"/>
  <c r="G96" i="4"/>
  <c r="E96" i="4"/>
  <c r="B89" i="4"/>
  <c r="F99" i="4" s="1"/>
  <c r="B83" i="4"/>
  <c r="B82" i="4"/>
  <c r="B81" i="4"/>
  <c r="B80" i="4"/>
  <c r="C76" i="4"/>
  <c r="H71" i="4"/>
  <c r="G71" i="4"/>
  <c r="B68" i="4"/>
  <c r="B69" i="4" s="1"/>
  <c r="H67" i="4"/>
  <c r="G67" i="4"/>
  <c r="H63" i="4"/>
  <c r="G63" i="4"/>
  <c r="B57" i="4"/>
  <c r="C56" i="4"/>
  <c r="B55" i="4"/>
  <c r="D48" i="4"/>
  <c r="B45" i="4"/>
  <c r="F42" i="4"/>
  <c r="D42" i="4"/>
  <c r="G41" i="4"/>
  <c r="E41" i="4"/>
  <c r="B34" i="4"/>
  <c r="F44" i="4" s="1"/>
  <c r="B30" i="4"/>
  <c r="D50" i="2"/>
  <c r="C50" i="2"/>
  <c r="D49" i="2"/>
  <c r="C46" i="2"/>
  <c r="C49" i="2" s="1"/>
  <c r="C45" i="2"/>
  <c r="D43" i="2"/>
  <c r="D42" i="2"/>
  <c r="D41" i="2"/>
  <c r="D40" i="2"/>
  <c r="D38" i="2"/>
  <c r="D37" i="2"/>
  <c r="D35" i="2"/>
  <c r="D33" i="2"/>
  <c r="D32" i="2"/>
  <c r="D30" i="2"/>
  <c r="D29" i="2"/>
  <c r="D27" i="2"/>
  <c r="D26" i="2"/>
  <c r="D25" i="2"/>
  <c r="C19" i="2"/>
  <c r="D24" i="2" l="1"/>
  <c r="D34" i="2"/>
  <c r="B84" i="4"/>
  <c r="D44" i="4"/>
  <c r="D45" i="4" s="1"/>
  <c r="E40" i="4" s="1"/>
  <c r="F100" i="4"/>
  <c r="F101" i="4" s="1"/>
  <c r="F45" i="4"/>
  <c r="F46" i="4" s="1"/>
  <c r="D103" i="4"/>
  <c r="D99" i="4"/>
  <c r="D100" i="4" s="1"/>
  <c r="D101" i="4" s="1"/>
  <c r="D46" i="4"/>
  <c r="D28" i="2"/>
  <c r="D36" i="2"/>
  <c r="G40" i="4"/>
  <c r="D49" i="4"/>
  <c r="B49" i="2"/>
  <c r="D31" i="2"/>
  <c r="D39" i="2"/>
  <c r="E39" i="4" l="1"/>
  <c r="E42" i="4" s="1"/>
  <c r="E38" i="4"/>
  <c r="G39" i="4"/>
  <c r="G38" i="4"/>
  <c r="G93" i="4"/>
  <c r="G94" i="4"/>
  <c r="E93" i="4"/>
  <c r="E95" i="4"/>
  <c r="E94" i="4"/>
  <c r="G95" i="4"/>
  <c r="D104" i="4"/>
  <c r="G42" i="4"/>
  <c r="D52" i="4" l="1"/>
  <c r="D50" i="4"/>
  <c r="G97" i="4"/>
  <c r="D107" i="4"/>
  <c r="D105" i="4"/>
  <c r="E114" i="4" s="1"/>
  <c r="F114" i="4" s="1"/>
  <c r="E97" i="4"/>
  <c r="E163" i="4"/>
  <c r="F163" i="4" s="1"/>
  <c r="E162" i="4"/>
  <c r="F162" i="4" s="1"/>
  <c r="E165" i="4"/>
  <c r="F165" i="4" s="1"/>
  <c r="E161" i="4"/>
  <c r="F161" i="4" s="1"/>
  <c r="E149" i="4"/>
  <c r="F149" i="4" s="1"/>
  <c r="E145" i="4"/>
  <c r="F145" i="4" s="1"/>
  <c r="E147" i="4"/>
  <c r="F147" i="4" s="1"/>
  <c r="E146" i="4"/>
  <c r="F146" i="4" s="1"/>
  <c r="E164" i="4"/>
  <c r="F164" i="4" s="1"/>
  <c r="E148" i="4"/>
  <c r="F148" i="4" s="1"/>
  <c r="E144" i="4"/>
  <c r="F144" i="4" s="1"/>
  <c r="E166" i="4"/>
  <c r="F166" i="4" s="1"/>
  <c r="E111" i="4" l="1"/>
  <c r="F111" i="4" s="1"/>
  <c r="D51" i="4"/>
  <c r="G70" i="4"/>
  <c r="H70" i="4" s="1"/>
  <c r="G65" i="4"/>
  <c r="H65" i="4" s="1"/>
  <c r="G61" i="4"/>
  <c r="H61" i="4" s="1"/>
  <c r="G64" i="4"/>
  <c r="H64" i="4" s="1"/>
  <c r="G68" i="4"/>
  <c r="H68" i="4" s="1"/>
  <c r="G60" i="4"/>
  <c r="H60" i="4" s="1"/>
  <c r="G69" i="4"/>
  <c r="H69" i="4" s="1"/>
  <c r="G66" i="4"/>
  <c r="H66" i="4" s="1"/>
  <c r="G62" i="4"/>
  <c r="H62" i="4" s="1"/>
  <c r="E132" i="4"/>
  <c r="F132" i="4" s="1"/>
  <c r="E110" i="4"/>
  <c r="F110" i="4" s="1"/>
  <c r="E128" i="4"/>
  <c r="F128" i="4" s="1"/>
  <c r="D106" i="4"/>
  <c r="E127" i="4"/>
  <c r="F127" i="4" s="1"/>
  <c r="E131" i="4"/>
  <c r="F131" i="4" s="1"/>
  <c r="E115" i="4"/>
  <c r="F115" i="4" s="1"/>
  <c r="E130" i="4"/>
  <c r="F130" i="4" s="1"/>
  <c r="E113" i="4"/>
  <c r="F113" i="4" s="1"/>
  <c r="E129" i="4"/>
  <c r="F129" i="4" s="1"/>
  <c r="E112" i="4"/>
  <c r="F112" i="4" s="1"/>
  <c r="F170" i="4"/>
  <c r="F168" i="4"/>
  <c r="F151" i="4"/>
  <c r="F153" i="4"/>
  <c r="H72" i="4" l="1"/>
  <c r="H74" i="4"/>
  <c r="F117" i="4"/>
  <c r="F136" i="4"/>
  <c r="F134" i="4"/>
  <c r="F135" i="4" s="1"/>
  <c r="F119" i="4"/>
  <c r="G173" i="4"/>
  <c r="F169" i="4"/>
  <c r="G156" i="4"/>
  <c r="F152" i="4"/>
  <c r="G122" i="4"/>
  <c r="F118" i="4"/>
  <c r="G76" i="4" l="1"/>
  <c r="H73" i="4"/>
  <c r="G139" i="4"/>
</calcChain>
</file>

<file path=xl/sharedStrings.xml><?xml version="1.0" encoding="utf-8"?>
<sst xmlns="http://schemas.openxmlformats.org/spreadsheetml/2006/main" count="306" uniqueCount="123">
  <si>
    <t>HPLC System Suitability Report</t>
  </si>
  <si>
    <t>Analysis Data</t>
  </si>
  <si>
    <t>Sample(s)</t>
  </si>
  <si>
    <t>Reference Substance:</t>
  </si>
  <si>
    <t>ZOLIDON 500 TABLETS</t>
  </si>
  <si>
    <t>% age Purity:</t>
  </si>
  <si>
    <t>NDQA201807017</t>
  </si>
  <si>
    <t>Weight (mg):</t>
  </si>
  <si>
    <t xml:space="preserve">Cefuroxime Axetil </t>
  </si>
  <si>
    <t>Standard Conc (mg/mL):</t>
  </si>
  <si>
    <t>Each film coated tablet contains Cefuroxime Axetil USP (amorphous) equivalent to Cefuroxime 500 mg.</t>
  </si>
  <si>
    <t>2018-07-09 08:02:48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</si>
  <si>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</si>
  <si>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</si>
  <si>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</si>
  <si>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</si>
  <si>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</si>
  <si>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</si>
  <si>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</si>
  <si>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</si>
  <si>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</si>
  <si>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</si>
  <si>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</si>
  <si>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</si>
  <si>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</si>
  <si>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</si>
  <si>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</si>
  <si>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</si>
  <si>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</si>
  <si>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</si>
  <si>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</si>
  <si>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</si>
  <si>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</si>
  <si>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</si>
  <si>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</si>
  <si>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</si>
  <si>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</si>
  <si>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</si>
  <si>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</si>
  <si>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</si>
  <si>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</si>
  <si>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</si>
  <si>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</si>
  <si>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</si>
  <si>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</si>
  <si>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</si>
  <si>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</si>
  <si>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</si>
  <si>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</si>
  <si>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</si>
  <si>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</si>
  <si>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</si>
  <si>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</si>
  <si>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</si>
  <si>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</si>
  <si>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</si>
  <si>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</si>
  <si>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</si>
  <si>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</si>
  <si>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</si>
  <si>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</si>
  <si>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</si>
  <si>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</si>
  <si>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</si>
  <si>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</si>
  <si>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</si>
  <si>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</si>
  <si>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</si>
  <si>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</si>
  <si>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</si>
  <si>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</si>
  <si>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</si>
  <si>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</si>
  <si>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</si>
  <si>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</si>
  <si>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</si>
  <si>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</si>
  <si>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</si>
  <si>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</si>
  <si>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</si>
  <si>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</si>
  <si>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</si>
  <si>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</si>
  <si>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</si>
  <si>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</si>
  <si>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</si>
  <si>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</si>
  <si>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</si>
  <si>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</si>
  <si>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</si>
  <si>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</si>
  <si>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</si>
  <si>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</si>
  <si>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</si>
  <si>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</si>
  <si>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</si>
  <si>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</si>
  <si>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</si>
  <si>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</si>
  <si>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</si>
  <si>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</si>
  <si>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</si>
  <si>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</si>
  <si>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</si>
  <si>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</si>
  <si>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</si>
  <si>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</si>
  <si>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</si>
  <si>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</si>
  <si>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</si>
  <si>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</si>
  <si>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</si>
  <si>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</si>
  <si>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</si>
  <si>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45 mins</t>
  </si>
  <si>
    <t>15 mins</t>
  </si>
  <si>
    <t>Cefuroxime Axetil</t>
  </si>
  <si>
    <t>C3-7</t>
  </si>
  <si>
    <t>Assay(Cefuroxime Axetil Isomer A)</t>
  </si>
  <si>
    <t>Resolution</t>
  </si>
  <si>
    <r>
      <t xml:space="preserve">The Resolution between Cefuroxime Axetil Diastereoisomers  A &amp; B should be </t>
    </r>
    <r>
      <rPr>
        <b/>
        <sz val="12"/>
        <color rgb="FF000000"/>
        <rFont val="Book Antiqua"/>
        <family val="1"/>
      </rPr>
      <t>NLT 1.5</t>
    </r>
  </si>
  <si>
    <t>Assay(Cefuroxime Axetil Isomer B)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</si>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</sst>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5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8" fontId="14" fillId="3" borderId="0" xfId="0" applyNumberFormat="1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1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43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1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3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0" fontId="23" fillId="3" borderId="0" xfId="0" applyFont="1" applyFill="1" applyAlignment="1" applyProtection="1">
      <alignment horizontal="center"/>
      <protection locked="0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31" xfId="0" applyNumberFormat="1" applyFont="1" applyFill="1" applyBorder="1" applyAlignment="1" applyProtection="1">
      <alignment horizontal="center"/>
      <protection locked="0"/>
    </xf>
    <xf numFmtId="170" fontId="13" fillId="3" borderId="35" xfId="0" applyNumberFormat="1" applyFont="1" applyFill="1" applyBorder="1" applyAlignment="1" applyProtection="1">
      <alignment horizontal="center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18" xfId="0" applyFont="1" applyFill="1" applyBorder="1" applyAlignment="1">
      <alignment horizontal="center"/>
    </xf>
    <xf numFmtId="0" fontId="22" fillId="2" borderId="19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 wrapText="1"/>
      <protection locked="0"/>
    </xf>
    <xf numFmtId="0" fontId="12" fillId="2" borderId="46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6" fillId="2" borderId="9" xfId="1" applyFont="1" applyFill="1" applyBorder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0" xfId="1" applyFont="1" applyFill="1" applyBorder="1"/>
    <xf numFmtId="0" fontId="1" fillId="2" borderId="11" xfId="1" applyFont="1" applyFill="1" applyBorder="1"/>
    <xf numFmtId="0" fontId="1" fillId="2" borderId="0" xfId="1" applyFont="1" applyFill="1" applyBorder="1"/>
    <xf numFmtId="0" fontId="2" fillId="2" borderId="11" xfId="1" applyFont="1" applyFill="1" applyBorder="1"/>
    <xf numFmtId="170" fontId="12" fillId="6" borderId="48" xfId="0" applyNumberFormat="1" applyFont="1" applyFill="1" applyBorder="1" applyAlignment="1">
      <alignment horizontal="center"/>
    </xf>
    <xf numFmtId="170" fontId="12" fillId="6" borderId="49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28" sqref="B28"/>
    </sheetView>
  </sheetViews>
  <sheetFormatPr defaultRowHeight="13.5" x14ac:dyDescent="0.25"/>
  <cols>
    <col min="1" max="1" width="27.5703125" style="276" customWidth="1"/>
    <col min="2" max="2" width="20.42578125" style="276" customWidth="1"/>
    <col min="3" max="3" width="31.85546875" style="276" customWidth="1"/>
    <col min="4" max="4" width="25.85546875" style="276" customWidth="1"/>
    <col min="5" max="6" width="25.7109375" style="276" customWidth="1"/>
    <col min="7" max="7" width="23.140625" style="276" customWidth="1"/>
    <col min="8" max="8" width="28.42578125" style="276" customWidth="1"/>
    <col min="9" max="9" width="21.5703125" style="276" customWidth="1"/>
    <col min="10" max="10" width="9.140625" style="276" customWidth="1"/>
    <col min="11" max="16384" width="9.140625" style="317"/>
  </cols>
  <sheetData>
    <row r="14" spans="1:7" ht="15" customHeight="1" x14ac:dyDescent="0.3">
      <c r="A14" s="277"/>
      <c r="C14" s="278"/>
      <c r="G14" s="278"/>
    </row>
    <row r="15" spans="1:7" ht="18.75" customHeight="1" x14ac:dyDescent="0.3">
      <c r="A15" s="279" t="s">
        <v>0</v>
      </c>
      <c r="B15" s="279"/>
      <c r="C15" s="279"/>
      <c r="D15" s="279"/>
      <c r="E15" s="279"/>
      <c r="F15" s="280"/>
    </row>
    <row r="16" spans="1:7" ht="16.5" customHeight="1" x14ac:dyDescent="0.3">
      <c r="A16" s="281" t="s">
        <v>1</v>
      </c>
      <c r="B16" s="282" t="s">
        <v>118</v>
      </c>
    </row>
    <row r="17" spans="1:6" ht="16.5" customHeight="1" x14ac:dyDescent="0.3">
      <c r="A17" s="283" t="s">
        <v>2</v>
      </c>
      <c r="B17" s="3" t="s">
        <v>4</v>
      </c>
      <c r="D17" s="284"/>
      <c r="E17" s="285"/>
      <c r="F17" s="285"/>
    </row>
    <row r="18" spans="1:6" ht="16.5" customHeight="1" x14ac:dyDescent="0.3">
      <c r="A18" s="286" t="s">
        <v>3</v>
      </c>
      <c r="B18" s="287" t="s">
        <v>8</v>
      </c>
      <c r="C18" s="285"/>
      <c r="D18" s="285"/>
      <c r="E18" s="285"/>
      <c r="F18" s="285"/>
    </row>
    <row r="19" spans="1:6" ht="16.5" customHeight="1" x14ac:dyDescent="0.3">
      <c r="A19" s="286" t="s">
        <v>5</v>
      </c>
      <c r="B19" s="287">
        <v>82.3</v>
      </c>
      <c r="C19" s="285"/>
      <c r="D19" s="285"/>
      <c r="E19" s="285"/>
      <c r="F19" s="285"/>
    </row>
    <row r="20" spans="1:6" ht="16.5" customHeight="1" x14ac:dyDescent="0.3">
      <c r="A20" s="283" t="s">
        <v>7</v>
      </c>
      <c r="B20" s="287">
        <v>17.87</v>
      </c>
      <c r="C20" s="285"/>
      <c r="D20" s="285"/>
      <c r="E20" s="285"/>
      <c r="F20" s="285"/>
    </row>
    <row r="21" spans="1:6" ht="16.5" customHeight="1" x14ac:dyDescent="0.3">
      <c r="A21" s="283" t="s">
        <v>9</v>
      </c>
      <c r="B21" s="288">
        <f>B20/50</f>
        <v>0.3574</v>
      </c>
      <c r="C21" s="285"/>
      <c r="D21" s="285"/>
      <c r="E21" s="285"/>
      <c r="F21" s="285"/>
    </row>
    <row r="22" spans="1:6" ht="15.75" customHeight="1" x14ac:dyDescent="0.25">
      <c r="A22" s="285"/>
      <c r="B22" s="285"/>
      <c r="C22" s="285"/>
      <c r="D22" s="285"/>
      <c r="E22" s="285"/>
      <c r="F22" s="285"/>
    </row>
    <row r="23" spans="1:6" ht="16.5" customHeight="1" x14ac:dyDescent="0.3">
      <c r="A23" s="289" t="s">
        <v>12</v>
      </c>
      <c r="B23" s="290" t="s">
        <v>13</v>
      </c>
      <c r="C23" s="289" t="s">
        <v>14</v>
      </c>
      <c r="D23" s="289" t="s">
        <v>15</v>
      </c>
      <c r="E23" s="289" t="s">
        <v>16</v>
      </c>
      <c r="F23" s="289" t="s">
        <v>119</v>
      </c>
    </row>
    <row r="24" spans="1:6" ht="16.5" customHeight="1" x14ac:dyDescent="0.3">
      <c r="A24" s="291">
        <v>1</v>
      </c>
      <c r="B24" s="292">
        <v>61768972</v>
      </c>
      <c r="C24" s="292">
        <v>9988.27</v>
      </c>
      <c r="D24" s="293">
        <v>1.03</v>
      </c>
      <c r="E24" s="294">
        <v>16.07</v>
      </c>
      <c r="F24" s="295">
        <v>0</v>
      </c>
    </row>
    <row r="25" spans="1:6" ht="16.5" customHeight="1" x14ac:dyDescent="0.3">
      <c r="A25" s="291">
        <v>2</v>
      </c>
      <c r="B25" s="292">
        <v>61673857</v>
      </c>
      <c r="C25" s="292">
        <v>9956.3799999999992</v>
      </c>
      <c r="D25" s="293">
        <v>1.04</v>
      </c>
      <c r="E25" s="293">
        <v>16.07</v>
      </c>
      <c r="F25" s="295">
        <v>0</v>
      </c>
    </row>
    <row r="26" spans="1:6" ht="16.5" customHeight="1" x14ac:dyDescent="0.3">
      <c r="A26" s="291">
        <v>3</v>
      </c>
      <c r="B26" s="292">
        <v>61850261</v>
      </c>
      <c r="C26" s="292">
        <v>9978.74</v>
      </c>
      <c r="D26" s="293">
        <v>1.04</v>
      </c>
      <c r="E26" s="293">
        <v>16.079999999999998</v>
      </c>
      <c r="F26" s="295">
        <v>0</v>
      </c>
    </row>
    <row r="27" spans="1:6" ht="16.5" customHeight="1" x14ac:dyDescent="0.3">
      <c r="A27" s="291">
        <v>4</v>
      </c>
      <c r="B27" s="292">
        <v>61946250</v>
      </c>
      <c r="C27" s="292">
        <v>9946.9599999999991</v>
      </c>
      <c r="D27" s="293">
        <v>1.05</v>
      </c>
      <c r="E27" s="293">
        <v>16.09</v>
      </c>
      <c r="F27" s="295">
        <v>0</v>
      </c>
    </row>
    <row r="28" spans="1:6" ht="16.5" customHeight="1" x14ac:dyDescent="0.3">
      <c r="A28" s="291">
        <v>5</v>
      </c>
      <c r="B28" s="292">
        <v>61776097</v>
      </c>
      <c r="C28" s="292">
        <v>9921.32</v>
      </c>
      <c r="D28" s="293">
        <v>1.05</v>
      </c>
      <c r="E28" s="293">
        <v>16.09</v>
      </c>
      <c r="F28" s="295">
        <v>0</v>
      </c>
    </row>
    <row r="29" spans="1:6" ht="16.5" customHeight="1" x14ac:dyDescent="0.3">
      <c r="A29" s="291">
        <v>6</v>
      </c>
      <c r="B29" s="296">
        <v>61640376</v>
      </c>
      <c r="C29" s="296">
        <v>9916.94</v>
      </c>
      <c r="D29" s="297">
        <v>1.05</v>
      </c>
      <c r="E29" s="297">
        <v>16.09</v>
      </c>
      <c r="F29" s="295">
        <v>0</v>
      </c>
    </row>
    <row r="30" spans="1:6" ht="16.5" customHeight="1" x14ac:dyDescent="0.3">
      <c r="A30" s="298" t="s">
        <v>17</v>
      </c>
      <c r="B30" s="299">
        <f>AVERAGE(B24:B29)</f>
        <v>61775968.833333336</v>
      </c>
      <c r="C30" s="300">
        <f>AVERAGE(C24:C29)</f>
        <v>9951.4349999999995</v>
      </c>
      <c r="D30" s="301">
        <f>AVERAGE(D24:D29)</f>
        <v>1.0433333333333332</v>
      </c>
      <c r="E30" s="301">
        <f>AVERAGE(E24:E29)</f>
        <v>16.081666666666667</v>
      </c>
      <c r="F30" s="301">
        <f>AVERAGE(F24:F29)</f>
        <v>0</v>
      </c>
    </row>
    <row r="31" spans="1:6" ht="16.5" customHeight="1" x14ac:dyDescent="0.3">
      <c r="A31" s="302" t="s">
        <v>18</v>
      </c>
      <c r="B31" s="303">
        <f>(STDEV(B24:B29)/B30)</f>
        <v>1.8224624465196055E-3</v>
      </c>
      <c r="C31" s="304"/>
      <c r="D31" s="304"/>
      <c r="E31" s="305"/>
      <c r="F31" s="306"/>
    </row>
    <row r="32" spans="1:6" s="276" customFormat="1" ht="16.5" customHeight="1" x14ac:dyDescent="0.3">
      <c r="A32" s="307" t="s">
        <v>19</v>
      </c>
      <c r="B32" s="308">
        <f>COUNT(B24:B29)</f>
        <v>6</v>
      </c>
      <c r="C32" s="309"/>
      <c r="D32" s="310"/>
      <c r="E32" s="311"/>
      <c r="F32" s="311"/>
    </row>
    <row r="33" spans="1:6" s="276" customFormat="1" ht="15.75" customHeight="1" x14ac:dyDescent="0.25">
      <c r="A33" s="285"/>
      <c r="B33" s="285"/>
      <c r="C33" s="285"/>
      <c r="D33" s="285"/>
      <c r="E33" s="285"/>
      <c r="F33" s="285"/>
    </row>
    <row r="34" spans="1:6" s="276" customFormat="1" ht="16.5" customHeight="1" x14ac:dyDescent="0.3">
      <c r="A34" s="286" t="s">
        <v>20</v>
      </c>
      <c r="B34" s="312" t="s">
        <v>21</v>
      </c>
      <c r="C34" s="313"/>
      <c r="D34" s="313"/>
      <c r="E34" s="313"/>
      <c r="F34" s="313"/>
    </row>
    <row r="35" spans="1:6" ht="16.5" customHeight="1" x14ac:dyDescent="0.3">
      <c r="A35" s="286"/>
      <c r="B35" s="312" t="s">
        <v>22</v>
      </c>
      <c r="C35" s="313"/>
      <c r="D35" s="313"/>
      <c r="E35" s="313"/>
      <c r="F35" s="313"/>
    </row>
    <row r="36" spans="1:6" ht="16.5" customHeight="1" x14ac:dyDescent="0.3">
      <c r="A36" s="286"/>
      <c r="B36" s="312" t="s">
        <v>23</v>
      </c>
      <c r="C36" s="313"/>
      <c r="D36" s="313"/>
      <c r="E36" s="313"/>
      <c r="F36" s="313"/>
    </row>
    <row r="37" spans="1:6" ht="15.75" customHeight="1" thickBot="1" x14ac:dyDescent="0.35">
      <c r="A37" s="285"/>
      <c r="B37" s="314" t="s">
        <v>120</v>
      </c>
      <c r="C37" s="285"/>
      <c r="D37" s="285"/>
      <c r="E37" s="285"/>
      <c r="F37" s="285"/>
    </row>
    <row r="38" spans="1:6" ht="16.5" customHeight="1" x14ac:dyDescent="0.3">
      <c r="A38" s="281" t="s">
        <v>1</v>
      </c>
      <c r="B38" s="282" t="s">
        <v>121</v>
      </c>
    </row>
    <row r="39" spans="1:6" ht="16.5" customHeight="1" x14ac:dyDescent="0.3">
      <c r="A39" s="286" t="s">
        <v>3</v>
      </c>
      <c r="B39" s="287" t="s">
        <v>8</v>
      </c>
      <c r="C39" s="285"/>
      <c r="D39" s="285"/>
      <c r="E39" s="285"/>
      <c r="F39" s="285"/>
    </row>
    <row r="40" spans="1:6" ht="16.5" customHeight="1" x14ac:dyDescent="0.3">
      <c r="A40" s="286" t="s">
        <v>5</v>
      </c>
      <c r="B40" s="287">
        <v>82.3</v>
      </c>
      <c r="C40" s="285"/>
      <c r="D40" s="285"/>
      <c r="E40" s="285"/>
      <c r="F40" s="285"/>
    </row>
    <row r="41" spans="1:6" ht="16.5" customHeight="1" x14ac:dyDescent="0.3">
      <c r="A41" s="283" t="s">
        <v>7</v>
      </c>
      <c r="B41" s="287">
        <v>17.87</v>
      </c>
      <c r="C41" s="285"/>
      <c r="D41" s="285"/>
      <c r="E41" s="285"/>
      <c r="F41" s="285"/>
    </row>
    <row r="42" spans="1:6" ht="16.5" customHeight="1" x14ac:dyDescent="0.3">
      <c r="A42" s="283" t="s">
        <v>9</v>
      </c>
      <c r="B42" s="288">
        <f>B41/50</f>
        <v>0.3574</v>
      </c>
      <c r="C42" s="285"/>
      <c r="D42" s="285"/>
      <c r="E42" s="285"/>
      <c r="F42" s="285"/>
    </row>
    <row r="43" spans="1:6" ht="15.75" customHeight="1" x14ac:dyDescent="0.25">
      <c r="A43" s="285"/>
      <c r="B43" s="285"/>
      <c r="C43" s="285"/>
      <c r="D43" s="285"/>
      <c r="E43" s="285"/>
      <c r="F43" s="285"/>
    </row>
    <row r="44" spans="1:6" ht="16.5" customHeight="1" x14ac:dyDescent="0.3">
      <c r="A44" s="289" t="s">
        <v>12</v>
      </c>
      <c r="B44" s="290" t="s">
        <v>13</v>
      </c>
      <c r="C44" s="289" t="s">
        <v>14</v>
      </c>
      <c r="D44" s="289" t="s">
        <v>15</v>
      </c>
      <c r="E44" s="289" t="s">
        <v>16</v>
      </c>
      <c r="F44" s="289" t="s">
        <v>119</v>
      </c>
    </row>
    <row r="45" spans="1:6" ht="16.5" customHeight="1" x14ac:dyDescent="0.3">
      <c r="A45" s="291">
        <v>1</v>
      </c>
      <c r="B45" s="292">
        <v>64446648</v>
      </c>
      <c r="C45" s="292">
        <v>9526.31</v>
      </c>
      <c r="D45" s="293">
        <v>1.03</v>
      </c>
      <c r="E45" s="294">
        <v>18.28</v>
      </c>
      <c r="F45" s="295">
        <v>3.18</v>
      </c>
    </row>
    <row r="46" spans="1:6" ht="16.5" customHeight="1" x14ac:dyDescent="0.3">
      <c r="A46" s="291">
        <v>2</v>
      </c>
      <c r="B46" s="292">
        <v>64388350</v>
      </c>
      <c r="C46" s="292">
        <v>9509.9699999999993</v>
      </c>
      <c r="D46" s="293">
        <v>1.03</v>
      </c>
      <c r="E46" s="293">
        <v>18.29</v>
      </c>
      <c r="F46" s="295">
        <v>3.18</v>
      </c>
    </row>
    <row r="47" spans="1:6" ht="16.5" customHeight="1" x14ac:dyDescent="0.3">
      <c r="A47" s="291">
        <v>3</v>
      </c>
      <c r="B47" s="292">
        <v>64584414</v>
      </c>
      <c r="C47" s="292">
        <v>9484.23</v>
      </c>
      <c r="D47" s="293">
        <v>1.03</v>
      </c>
      <c r="E47" s="293">
        <v>18.3</v>
      </c>
      <c r="F47" s="295">
        <v>3.18</v>
      </c>
    </row>
    <row r="48" spans="1:6" ht="16.5" customHeight="1" x14ac:dyDescent="0.3">
      <c r="A48" s="291">
        <v>4</v>
      </c>
      <c r="B48" s="292">
        <v>64668879</v>
      </c>
      <c r="C48" s="292">
        <v>9499.7999999999993</v>
      </c>
      <c r="D48" s="293">
        <v>1.04</v>
      </c>
      <c r="E48" s="293">
        <v>18.309999999999999</v>
      </c>
      <c r="F48" s="295">
        <v>3.18</v>
      </c>
    </row>
    <row r="49" spans="1:8" ht="16.5" customHeight="1" x14ac:dyDescent="0.3">
      <c r="A49" s="291">
        <v>5</v>
      </c>
      <c r="B49" s="292">
        <v>64480771</v>
      </c>
      <c r="C49" s="292">
        <v>9468.5499999999993</v>
      </c>
      <c r="D49" s="293">
        <v>1.03</v>
      </c>
      <c r="E49" s="293">
        <v>18.309999999999999</v>
      </c>
      <c r="F49" s="295">
        <v>3.18</v>
      </c>
    </row>
    <row r="50" spans="1:8" ht="16.5" customHeight="1" x14ac:dyDescent="0.3">
      <c r="A50" s="291">
        <v>6</v>
      </c>
      <c r="B50" s="296">
        <v>64347591</v>
      </c>
      <c r="C50" s="296">
        <v>9456.59</v>
      </c>
      <c r="D50" s="297">
        <v>1.04</v>
      </c>
      <c r="E50" s="297">
        <v>18.32</v>
      </c>
      <c r="F50" s="295">
        <v>3.18</v>
      </c>
    </row>
    <row r="51" spans="1:8" ht="16.5" customHeight="1" x14ac:dyDescent="0.3">
      <c r="A51" s="298" t="s">
        <v>17</v>
      </c>
      <c r="B51" s="299">
        <f>AVERAGE(B45:B50)</f>
        <v>64486108.833333336</v>
      </c>
      <c r="C51" s="300">
        <f>AVERAGE(C45:C50)</f>
        <v>9490.9083333333328</v>
      </c>
      <c r="D51" s="301">
        <f>AVERAGE(D45:D50)</f>
        <v>1.0333333333333334</v>
      </c>
      <c r="E51" s="301">
        <f>AVERAGE(E45:E50)</f>
        <v>18.301666666666666</v>
      </c>
      <c r="F51" s="301">
        <f>AVERAGE(F45:F50)</f>
        <v>3.18</v>
      </c>
    </row>
    <row r="52" spans="1:8" ht="16.5" customHeight="1" x14ac:dyDescent="0.3">
      <c r="A52" s="302" t="s">
        <v>18</v>
      </c>
      <c r="B52" s="303">
        <f>(STDEV(B45:B50)/B51)</f>
        <v>1.878850941747854E-3</v>
      </c>
      <c r="C52" s="304"/>
      <c r="D52" s="304"/>
      <c r="E52" s="305"/>
      <c r="F52" s="306"/>
    </row>
    <row r="53" spans="1:8" s="276" customFormat="1" ht="16.5" customHeight="1" x14ac:dyDescent="0.3">
      <c r="A53" s="307" t="s">
        <v>19</v>
      </c>
      <c r="B53" s="308">
        <f>COUNT(B45:B50)</f>
        <v>6</v>
      </c>
      <c r="C53" s="309"/>
      <c r="D53" s="310"/>
      <c r="E53" s="311"/>
      <c r="F53" s="311"/>
    </row>
    <row r="54" spans="1:8" s="276" customFormat="1" ht="15.75" customHeight="1" x14ac:dyDescent="0.25">
      <c r="A54" s="285"/>
      <c r="B54" s="285"/>
      <c r="C54" s="285"/>
      <c r="D54" s="285"/>
      <c r="E54" s="285"/>
      <c r="F54" s="285"/>
    </row>
    <row r="55" spans="1:8" s="276" customFormat="1" ht="16.5" customHeight="1" x14ac:dyDescent="0.3">
      <c r="A55" s="286" t="s">
        <v>20</v>
      </c>
      <c r="B55" s="312" t="s">
        <v>21</v>
      </c>
      <c r="C55" s="313"/>
      <c r="D55" s="313"/>
      <c r="E55" s="313"/>
      <c r="F55" s="313"/>
    </row>
    <row r="56" spans="1:8" ht="16.5" customHeight="1" x14ac:dyDescent="0.3">
      <c r="A56" s="286"/>
      <c r="B56" s="312" t="s">
        <v>22</v>
      </c>
      <c r="C56" s="313"/>
      <c r="D56" s="313"/>
      <c r="E56" s="313"/>
      <c r="F56" s="313"/>
    </row>
    <row r="57" spans="1:8" ht="16.5" customHeight="1" x14ac:dyDescent="0.3">
      <c r="A57" s="286"/>
      <c r="B57" s="312" t="s">
        <v>23</v>
      </c>
      <c r="C57" s="313"/>
      <c r="D57" s="313"/>
      <c r="E57" s="313"/>
      <c r="F57" s="313"/>
    </row>
    <row r="58" spans="1:8" ht="14.25" customHeight="1" thickBot="1" x14ac:dyDescent="0.35">
      <c r="A58" s="315"/>
      <c r="B58" s="314" t="s">
        <v>120</v>
      </c>
      <c r="D58" s="316"/>
      <c r="G58" s="317"/>
      <c r="H58" s="317"/>
    </row>
    <row r="59" spans="1:8" ht="15" customHeight="1" x14ac:dyDescent="0.3">
      <c r="B59" s="318" t="s">
        <v>24</v>
      </c>
      <c r="C59" s="318"/>
      <c r="E59" s="319" t="s">
        <v>25</v>
      </c>
      <c r="F59" s="319"/>
      <c r="G59" s="320"/>
      <c r="H59" s="319" t="s">
        <v>26</v>
      </c>
    </row>
    <row r="60" spans="1:8" ht="15" customHeight="1" x14ac:dyDescent="0.3">
      <c r="A60" s="321" t="s">
        <v>27</v>
      </c>
      <c r="B60" s="322" t="s">
        <v>122</v>
      </c>
      <c r="C60" s="322"/>
      <c r="E60" s="322"/>
      <c r="F60" s="323"/>
      <c r="H60" s="322"/>
    </row>
    <row r="61" spans="1:8" ht="15" customHeight="1" x14ac:dyDescent="0.3">
      <c r="A61" s="321" t="s">
        <v>28</v>
      </c>
      <c r="B61" s="324"/>
      <c r="C61" s="324"/>
      <c r="E61" s="324"/>
      <c r="F61" s="325"/>
      <c r="H61" s="32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3" sqref="C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6" t="s">
        <v>29</v>
      </c>
      <c r="B11" s="237"/>
      <c r="C11" s="237"/>
      <c r="D11" s="237"/>
      <c r="E11" s="237"/>
      <c r="F11" s="238"/>
      <c r="G11" s="44"/>
    </row>
    <row r="12" spans="1:7" ht="16.5" customHeight="1" x14ac:dyDescent="0.3">
      <c r="A12" s="235" t="s">
        <v>30</v>
      </c>
      <c r="B12" s="235"/>
      <c r="C12" s="235"/>
      <c r="D12" s="235"/>
      <c r="E12" s="235"/>
      <c r="F12" s="235"/>
      <c r="G12" s="43"/>
    </row>
    <row r="14" spans="1:7" ht="16.5" customHeight="1" x14ac:dyDescent="0.3">
      <c r="A14" s="240" t="s">
        <v>31</v>
      </c>
      <c r="B14" s="240"/>
      <c r="C14" s="13" t="s">
        <v>4</v>
      </c>
    </row>
    <row r="15" spans="1:7" ht="16.5" customHeight="1" x14ac:dyDescent="0.3">
      <c r="A15" s="240" t="s">
        <v>32</v>
      </c>
      <c r="B15" s="240"/>
      <c r="C15" s="13" t="s">
        <v>6</v>
      </c>
    </row>
    <row r="16" spans="1:7" ht="16.5" customHeight="1" x14ac:dyDescent="0.3">
      <c r="A16" s="240" t="s">
        <v>33</v>
      </c>
      <c r="B16" s="240"/>
      <c r="C16" s="13" t="s">
        <v>8</v>
      </c>
    </row>
    <row r="17" spans="1:5" ht="16.5" customHeight="1" x14ac:dyDescent="0.3">
      <c r="A17" s="240" t="s">
        <v>34</v>
      </c>
      <c r="B17" s="240"/>
      <c r="C17" s="13" t="s">
        <v>10</v>
      </c>
    </row>
    <row r="18" spans="1:5" ht="16.5" customHeight="1" x14ac:dyDescent="0.3">
      <c r="A18" s="240" t="s">
        <v>35</v>
      </c>
      <c r="B18" s="240"/>
      <c r="C18" s="50" t="s">
        <v>11</v>
      </c>
    </row>
    <row r="19" spans="1:5" ht="16.5" customHeight="1" x14ac:dyDescent="0.3">
      <c r="A19" s="240" t="s">
        <v>36</v>
      </c>
      <c r="B19" s="240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235" t="s">
        <v>1</v>
      </c>
      <c r="B21" s="235"/>
      <c r="C21" s="12" t="s">
        <v>37</v>
      </c>
      <c r="D21" s="19"/>
    </row>
    <row r="22" spans="1:5" ht="15.75" customHeight="1" x14ac:dyDescent="0.3">
      <c r="A22" s="239"/>
      <c r="B22" s="239"/>
      <c r="C22" s="10"/>
      <c r="D22" s="239"/>
      <c r="E22" s="239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863.23</v>
      </c>
      <c r="D24" s="40">
        <f t="shared" ref="D24:D43" si="0">(C24-$C$46)/$C$46</f>
        <v>-1.4507876128218959E-2</v>
      </c>
      <c r="E24" s="6"/>
    </row>
    <row r="25" spans="1:5" ht="15.75" customHeight="1" x14ac:dyDescent="0.3">
      <c r="C25" s="48">
        <v>871.21</v>
      </c>
      <c r="D25" s="41">
        <f t="shared" si="0"/>
        <v>-5.3976422988839838E-3</v>
      </c>
      <c r="E25" s="6"/>
    </row>
    <row r="26" spans="1:5" ht="15.75" customHeight="1" x14ac:dyDescent="0.3">
      <c r="C26" s="48">
        <v>879.73</v>
      </c>
      <c r="D26" s="41">
        <f t="shared" si="0"/>
        <v>4.3290735189021878E-3</v>
      </c>
      <c r="E26" s="6"/>
    </row>
    <row r="27" spans="1:5" ht="15.75" customHeight="1" x14ac:dyDescent="0.3">
      <c r="C27" s="48">
        <v>874.16</v>
      </c>
      <c r="D27" s="41">
        <f t="shared" si="0"/>
        <v>-2.0298240286411901E-3</v>
      </c>
      <c r="E27" s="6"/>
    </row>
    <row r="28" spans="1:5" ht="15.75" customHeight="1" x14ac:dyDescent="0.3">
      <c r="C28" s="48">
        <v>875.41</v>
      </c>
      <c r="D28" s="41">
        <f t="shared" si="0"/>
        <v>-6.027823887077697E-4</v>
      </c>
      <c r="E28" s="6"/>
    </row>
    <row r="29" spans="1:5" ht="15.75" customHeight="1" x14ac:dyDescent="0.3">
      <c r="C29" s="48">
        <v>885.93</v>
      </c>
      <c r="D29" s="41">
        <f t="shared" si="0"/>
        <v>1.1407200052971873E-2</v>
      </c>
      <c r="E29" s="6"/>
    </row>
    <row r="30" spans="1:5" ht="15.75" customHeight="1" x14ac:dyDescent="0.3">
      <c r="C30" s="48">
        <v>879.86</v>
      </c>
      <c r="D30" s="41">
        <f t="shared" si="0"/>
        <v>4.4774858494552577E-3</v>
      </c>
      <c r="E30" s="6"/>
    </row>
    <row r="31" spans="1:5" ht="15.75" customHeight="1" x14ac:dyDescent="0.3">
      <c r="C31" s="48">
        <v>884.9</v>
      </c>
      <c r="D31" s="41">
        <f t="shared" si="0"/>
        <v>1.0231317741666766E-2</v>
      </c>
      <c r="E31" s="6"/>
    </row>
    <row r="32" spans="1:5" ht="15.75" customHeight="1" x14ac:dyDescent="0.3">
      <c r="C32" s="48">
        <v>860.79</v>
      </c>
      <c r="D32" s="41">
        <f t="shared" si="0"/>
        <v>-1.7293461409369056E-2</v>
      </c>
      <c r="E32" s="6"/>
    </row>
    <row r="33" spans="1:7" ht="15.75" customHeight="1" x14ac:dyDescent="0.3">
      <c r="C33" s="48">
        <v>873.06</v>
      </c>
      <c r="D33" s="41">
        <f t="shared" si="0"/>
        <v>-3.2856206717826256E-3</v>
      </c>
      <c r="E33" s="6"/>
    </row>
    <row r="34" spans="1:7" ht="15.75" customHeight="1" x14ac:dyDescent="0.3">
      <c r="C34" s="48">
        <v>884.48</v>
      </c>
      <c r="D34" s="41">
        <f t="shared" si="0"/>
        <v>9.7518317506491842E-3</v>
      </c>
      <c r="E34" s="6"/>
    </row>
    <row r="35" spans="1:7" ht="15.75" customHeight="1" x14ac:dyDescent="0.3">
      <c r="C35" s="48">
        <v>873.63</v>
      </c>
      <c r="D35" s="41">
        <f t="shared" si="0"/>
        <v>-2.6348896839729287E-3</v>
      </c>
      <c r="E35" s="6"/>
    </row>
    <row r="36" spans="1:7" ht="15.75" customHeight="1" x14ac:dyDescent="0.3">
      <c r="C36" s="48">
        <v>885.09</v>
      </c>
      <c r="D36" s="41">
        <f t="shared" si="0"/>
        <v>1.0448228070936708E-2</v>
      </c>
      <c r="E36" s="6"/>
    </row>
    <row r="37" spans="1:7" ht="15.75" customHeight="1" x14ac:dyDescent="0.3">
      <c r="C37" s="48">
        <v>887.32</v>
      </c>
      <c r="D37" s="41">
        <f t="shared" si="0"/>
        <v>1.2994070356577951E-2</v>
      </c>
      <c r="E37" s="6"/>
    </row>
    <row r="38" spans="1:7" ht="15.75" customHeight="1" x14ac:dyDescent="0.3">
      <c r="C38" s="48">
        <v>868.31</v>
      </c>
      <c r="D38" s="41">
        <f t="shared" si="0"/>
        <v>-8.7083789035296219E-3</v>
      </c>
      <c r="E38" s="6"/>
    </row>
    <row r="39" spans="1:7" ht="15.75" customHeight="1" x14ac:dyDescent="0.3">
      <c r="C39" s="48">
        <v>878.14</v>
      </c>
      <c r="D39" s="41">
        <f t="shared" si="0"/>
        <v>2.5138765529068405E-3</v>
      </c>
      <c r="E39" s="6"/>
    </row>
    <row r="40" spans="1:7" ht="15.75" customHeight="1" x14ac:dyDescent="0.3">
      <c r="C40" s="48">
        <v>883.6</v>
      </c>
      <c r="D40" s="41">
        <f t="shared" si="0"/>
        <v>8.7471944361360611E-3</v>
      </c>
      <c r="E40" s="6"/>
    </row>
    <row r="41" spans="1:7" ht="15.75" customHeight="1" x14ac:dyDescent="0.3">
      <c r="C41" s="48">
        <v>868.96</v>
      </c>
      <c r="D41" s="41">
        <f t="shared" si="0"/>
        <v>-7.9663172507641392E-3</v>
      </c>
      <c r="E41" s="6"/>
    </row>
    <row r="42" spans="1:7" ht="15.75" customHeight="1" x14ac:dyDescent="0.3">
      <c r="C42" s="48">
        <v>877.56</v>
      </c>
      <c r="D42" s="41">
        <f t="shared" si="0"/>
        <v>1.8517292319776869E-3</v>
      </c>
      <c r="E42" s="6"/>
    </row>
    <row r="43" spans="1:7" ht="16.5" customHeight="1" x14ac:dyDescent="0.3">
      <c r="C43" s="49">
        <v>863.39</v>
      </c>
      <c r="D43" s="42">
        <f t="shared" si="0"/>
        <v>-1.4325214798307517E-2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17518.759999999998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875.93799999999987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233">
        <f>C46</f>
        <v>875.93799999999987</v>
      </c>
      <c r="C49" s="46">
        <f>-IF(C46&lt;=80,10%,IF(C46&lt;250,7.5%,5%))</f>
        <v>-0.05</v>
      </c>
      <c r="D49" s="34">
        <f>IF(C46&lt;=80,C46*0.9,IF(C46&lt;250,C46*0.925,C46*0.95))</f>
        <v>832.14109999999982</v>
      </c>
    </row>
    <row r="50" spans="1:6" ht="17.25" customHeight="1" x14ac:dyDescent="0.3">
      <c r="B50" s="234"/>
      <c r="C50" s="47">
        <f>IF(C46&lt;=80, 10%, IF(C46&lt;250, 7.5%, 5%))</f>
        <v>0.05</v>
      </c>
      <c r="D50" s="34">
        <f>IF(C46&lt;=80, C46*1.1, IF(C46&lt;250, C46*1.075, C46*1.05))</f>
        <v>919.73489999999993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90" fitToHeight="0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0" zoomScaleNormal="75" zoomScaleSheetLayoutView="50" workbookViewId="0">
      <selection activeCell="B35" sqref="B3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1" t="s">
        <v>43</v>
      </c>
      <c r="B1" s="241"/>
      <c r="C1" s="241"/>
      <c r="D1" s="241"/>
      <c r="E1" s="241"/>
      <c r="F1" s="241"/>
      <c r="G1" s="241"/>
      <c r="H1" s="241"/>
    </row>
    <row r="2" spans="1:8" x14ac:dyDescent="0.25">
      <c r="A2" s="241"/>
      <c r="B2" s="241"/>
      <c r="C2" s="241"/>
      <c r="D2" s="241"/>
      <c r="E2" s="241"/>
      <c r="F2" s="241"/>
      <c r="G2" s="241"/>
      <c r="H2" s="241"/>
    </row>
    <row r="3" spans="1:8" x14ac:dyDescent="0.25">
      <c r="A3" s="241"/>
      <c r="B3" s="241"/>
      <c r="C3" s="241"/>
      <c r="D3" s="241"/>
      <c r="E3" s="241"/>
      <c r="F3" s="241"/>
      <c r="G3" s="241"/>
      <c r="H3" s="241"/>
    </row>
    <row r="4" spans="1:8" x14ac:dyDescent="0.25">
      <c r="A4" s="241"/>
      <c r="B4" s="241"/>
      <c r="C4" s="241"/>
      <c r="D4" s="241"/>
      <c r="E4" s="241"/>
      <c r="F4" s="241"/>
      <c r="G4" s="241"/>
      <c r="H4" s="241"/>
    </row>
    <row r="5" spans="1:8" x14ac:dyDescent="0.25">
      <c r="A5" s="241"/>
      <c r="B5" s="241"/>
      <c r="C5" s="241"/>
      <c r="D5" s="241"/>
      <c r="E5" s="241"/>
      <c r="F5" s="241"/>
      <c r="G5" s="241"/>
      <c r="H5" s="241"/>
    </row>
    <row r="6" spans="1:8" x14ac:dyDescent="0.25">
      <c r="A6" s="241"/>
      <c r="B6" s="241"/>
      <c r="C6" s="241"/>
      <c r="D6" s="241"/>
      <c r="E6" s="241"/>
      <c r="F6" s="241"/>
      <c r="G6" s="241"/>
      <c r="H6" s="241"/>
    </row>
    <row r="7" spans="1:8" x14ac:dyDescent="0.25">
      <c r="A7" s="241"/>
      <c r="B7" s="241"/>
      <c r="C7" s="241"/>
      <c r="D7" s="241"/>
      <c r="E7" s="241"/>
      <c r="F7" s="241"/>
      <c r="G7" s="241"/>
      <c r="H7" s="241"/>
    </row>
    <row r="8" spans="1:8" x14ac:dyDescent="0.25">
      <c r="A8" s="242" t="s">
        <v>44</v>
      </c>
      <c r="B8" s="242"/>
      <c r="C8" s="242"/>
      <c r="D8" s="242"/>
      <c r="E8" s="242"/>
      <c r="F8" s="242"/>
      <c r="G8" s="242"/>
      <c r="H8" s="242"/>
    </row>
    <row r="9" spans="1:8" x14ac:dyDescent="0.25">
      <c r="A9" s="242"/>
      <c r="B9" s="242"/>
      <c r="C9" s="242"/>
      <c r="D9" s="242"/>
      <c r="E9" s="242"/>
      <c r="F9" s="242"/>
      <c r="G9" s="242"/>
      <c r="H9" s="242"/>
    </row>
    <row r="10" spans="1:8" x14ac:dyDescent="0.25">
      <c r="A10" s="242"/>
      <c r="B10" s="242"/>
      <c r="C10" s="242"/>
      <c r="D10" s="242"/>
      <c r="E10" s="242"/>
      <c r="F10" s="242"/>
      <c r="G10" s="242"/>
      <c r="H10" s="242"/>
    </row>
    <row r="11" spans="1:8" x14ac:dyDescent="0.25">
      <c r="A11" s="242"/>
      <c r="B11" s="242"/>
      <c r="C11" s="242"/>
      <c r="D11" s="242"/>
      <c r="E11" s="242"/>
      <c r="F11" s="242"/>
      <c r="G11" s="242"/>
      <c r="H11" s="242"/>
    </row>
    <row r="12" spans="1:8" x14ac:dyDescent="0.25">
      <c r="A12" s="242"/>
      <c r="B12" s="242"/>
      <c r="C12" s="242"/>
      <c r="D12" s="242"/>
      <c r="E12" s="242"/>
      <c r="F12" s="242"/>
      <c r="G12" s="242"/>
      <c r="H12" s="242"/>
    </row>
    <row r="13" spans="1:8" x14ac:dyDescent="0.25">
      <c r="A13" s="242"/>
      <c r="B13" s="242"/>
      <c r="C13" s="242"/>
      <c r="D13" s="242"/>
      <c r="E13" s="242"/>
      <c r="F13" s="242"/>
      <c r="G13" s="242"/>
      <c r="H13" s="242"/>
    </row>
    <row r="14" spans="1:8" x14ac:dyDescent="0.25">
      <c r="A14" s="242"/>
      <c r="B14" s="242"/>
      <c r="C14" s="242"/>
      <c r="D14" s="242"/>
      <c r="E14" s="242"/>
      <c r="F14" s="242"/>
      <c r="G14" s="242"/>
      <c r="H14" s="242"/>
    </row>
    <row r="15" spans="1:8" ht="19.5" customHeight="1" x14ac:dyDescent="0.25"/>
    <row r="16" spans="1:8" ht="19.5" customHeight="1" x14ac:dyDescent="0.25">
      <c r="A16" s="243" t="s">
        <v>29</v>
      </c>
      <c r="B16" s="244"/>
      <c r="C16" s="244"/>
      <c r="D16" s="244"/>
      <c r="E16" s="244"/>
      <c r="F16" s="244"/>
      <c r="G16" s="244"/>
      <c r="H16" s="245"/>
    </row>
    <row r="17" spans="1:14" ht="18.75" x14ac:dyDescent="0.3">
      <c r="A17" s="53" t="s">
        <v>45</v>
      </c>
      <c r="B17" s="53"/>
    </row>
    <row r="18" spans="1:14" ht="26.25" customHeight="1" x14ac:dyDescent="0.4">
      <c r="A18" s="55" t="s">
        <v>31</v>
      </c>
      <c r="B18" s="249" t="s">
        <v>4</v>
      </c>
      <c r="C18" s="249"/>
      <c r="D18" s="147"/>
      <c r="E18" s="147"/>
    </row>
    <row r="19" spans="1:14" ht="26.25" x14ac:dyDescent="0.4">
      <c r="A19" s="55" t="s">
        <v>32</v>
      </c>
      <c r="B19" s="52" t="s">
        <v>6</v>
      </c>
      <c r="C19" s="54">
        <v>24</v>
      </c>
    </row>
    <row r="20" spans="1:14" ht="18.75" x14ac:dyDescent="0.3">
      <c r="A20" s="55" t="s">
        <v>33</v>
      </c>
      <c r="B20" s="148" t="s">
        <v>116</v>
      </c>
    </row>
    <row r="21" spans="1:14" ht="26.25" customHeight="1" x14ac:dyDescent="0.4">
      <c r="A21" s="55" t="s">
        <v>34</v>
      </c>
      <c r="B21" s="268" t="s">
        <v>10</v>
      </c>
      <c r="C21" s="268"/>
      <c r="D21" s="268"/>
      <c r="E21" s="268"/>
      <c r="F21" s="268"/>
      <c r="G21" s="268"/>
      <c r="H21" s="268"/>
      <c r="I21" s="172"/>
    </row>
    <row r="22" spans="1:14" ht="26.25" x14ac:dyDescent="0.4">
      <c r="A22" s="55" t="s">
        <v>35</v>
      </c>
      <c r="B22" s="51">
        <v>43301</v>
      </c>
    </row>
    <row r="23" spans="1:14" ht="26.25" x14ac:dyDescent="0.4">
      <c r="A23" s="55" t="s">
        <v>36</v>
      </c>
      <c r="B23" s="51">
        <v>43304</v>
      </c>
    </row>
    <row r="24" spans="1:14" ht="18.75" x14ac:dyDescent="0.3">
      <c r="A24" s="55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229" t="s">
        <v>116</v>
      </c>
      <c r="C26" s="228"/>
    </row>
    <row r="27" spans="1:14" ht="26.25" customHeight="1" x14ac:dyDescent="0.4">
      <c r="A27" s="62" t="s">
        <v>46</v>
      </c>
      <c r="B27" s="204" t="s">
        <v>117</v>
      </c>
    </row>
    <row r="28" spans="1:14" ht="27" customHeight="1" x14ac:dyDescent="0.4">
      <c r="A28" s="62" t="s">
        <v>5</v>
      </c>
      <c r="B28" s="205">
        <v>82.3</v>
      </c>
    </row>
    <row r="29" spans="1:14" s="4" customFormat="1" ht="27" customHeight="1" x14ac:dyDescent="0.4">
      <c r="A29" s="62" t="s">
        <v>47</v>
      </c>
      <c r="B29" s="204">
        <v>1.5</v>
      </c>
      <c r="C29" s="258" t="s">
        <v>48</v>
      </c>
      <c r="D29" s="259"/>
      <c r="E29" s="259"/>
      <c r="F29" s="259"/>
      <c r="G29" s="260"/>
      <c r="I29" s="64"/>
      <c r="J29" s="64"/>
      <c r="K29" s="64"/>
      <c r="L29" s="64"/>
    </row>
    <row r="30" spans="1:14" s="4" customFormat="1" ht="19.5" customHeight="1" x14ac:dyDescent="0.3">
      <c r="A30" s="62" t="s">
        <v>49</v>
      </c>
      <c r="B30" s="61">
        <f>B28-B29</f>
        <v>80.8</v>
      </c>
      <c r="C30" s="65"/>
      <c r="D30" s="65"/>
      <c r="E30" s="65"/>
      <c r="F30" s="65"/>
      <c r="G30" s="66"/>
      <c r="I30" s="64"/>
      <c r="J30" s="64"/>
      <c r="K30" s="64"/>
      <c r="L30" s="64"/>
    </row>
    <row r="31" spans="1:14" s="4" customFormat="1" ht="27" customHeight="1" x14ac:dyDescent="0.4">
      <c r="A31" s="62" t="s">
        <v>50</v>
      </c>
      <c r="B31" s="206">
        <v>1</v>
      </c>
      <c r="C31" s="246" t="s">
        <v>51</v>
      </c>
      <c r="D31" s="247"/>
      <c r="E31" s="247"/>
      <c r="F31" s="247"/>
      <c r="G31" s="247"/>
      <c r="H31" s="248"/>
      <c r="I31" s="64"/>
      <c r="J31" s="64"/>
      <c r="K31" s="64"/>
      <c r="L31" s="64"/>
    </row>
    <row r="32" spans="1:14" s="4" customFormat="1" ht="27" customHeight="1" x14ac:dyDescent="0.4">
      <c r="A32" s="62" t="s">
        <v>52</v>
      </c>
      <c r="B32" s="206">
        <v>1</v>
      </c>
      <c r="C32" s="246" t="s">
        <v>53</v>
      </c>
      <c r="D32" s="247"/>
      <c r="E32" s="247"/>
      <c r="F32" s="247"/>
      <c r="G32" s="247"/>
      <c r="H32" s="248"/>
      <c r="I32" s="64"/>
      <c r="J32" s="64"/>
      <c r="K32" s="64"/>
      <c r="L32" s="68"/>
      <c r="M32" s="68"/>
      <c r="N32" s="69"/>
    </row>
    <row r="33" spans="1:14" s="4" customFormat="1" ht="17.25" customHeight="1" x14ac:dyDescent="0.3">
      <c r="A33" s="62"/>
      <c r="B33" s="67"/>
      <c r="C33" s="70"/>
      <c r="D33" s="70"/>
      <c r="E33" s="70"/>
      <c r="F33" s="70"/>
      <c r="G33" s="70"/>
      <c r="H33" s="70"/>
      <c r="I33" s="64"/>
      <c r="J33" s="64"/>
      <c r="K33" s="64"/>
      <c r="L33" s="68"/>
      <c r="M33" s="68"/>
      <c r="N33" s="69"/>
    </row>
    <row r="34" spans="1:14" s="4" customFormat="1" ht="18.75" x14ac:dyDescent="0.3">
      <c r="A34" s="62" t="s">
        <v>54</v>
      </c>
      <c r="B34" s="71">
        <f>B31/B32</f>
        <v>1</v>
      </c>
      <c r="C34" s="54" t="s">
        <v>55</v>
      </c>
      <c r="D34" s="54"/>
      <c r="E34" s="54"/>
      <c r="F34" s="54"/>
      <c r="G34" s="54"/>
      <c r="I34" s="64"/>
      <c r="J34" s="64"/>
      <c r="K34" s="64"/>
      <c r="L34" s="68"/>
      <c r="M34" s="68"/>
      <c r="N34" s="69"/>
    </row>
    <row r="35" spans="1:14" s="4" customFormat="1" ht="19.5" customHeight="1" x14ac:dyDescent="0.3">
      <c r="A35" s="62"/>
      <c r="B35" s="61"/>
      <c r="G35" s="54"/>
      <c r="I35" s="64"/>
      <c r="J35" s="64"/>
      <c r="K35" s="64"/>
      <c r="L35" s="68"/>
      <c r="M35" s="68"/>
      <c r="N35" s="69"/>
    </row>
    <row r="36" spans="1:14" s="4" customFormat="1" ht="27" customHeight="1" x14ac:dyDescent="0.4">
      <c r="A36" s="72" t="s">
        <v>105</v>
      </c>
      <c r="B36" s="207">
        <v>50</v>
      </c>
      <c r="C36" s="54"/>
      <c r="D36" s="250" t="s">
        <v>56</v>
      </c>
      <c r="E36" s="266"/>
      <c r="F36" s="250" t="s">
        <v>57</v>
      </c>
      <c r="G36" s="251"/>
      <c r="J36" s="64"/>
      <c r="K36" s="64"/>
      <c r="L36" s="68"/>
      <c r="M36" s="68"/>
      <c r="N36" s="69"/>
    </row>
    <row r="37" spans="1:14" s="4" customFormat="1" ht="15.75" customHeight="1" x14ac:dyDescent="0.4">
      <c r="A37" s="73" t="s">
        <v>58</v>
      </c>
      <c r="B37" s="208">
        <v>1</v>
      </c>
      <c r="C37" s="75" t="s">
        <v>106</v>
      </c>
      <c r="D37" s="76" t="s">
        <v>60</v>
      </c>
      <c r="E37" s="134" t="s">
        <v>61</v>
      </c>
      <c r="F37" s="76" t="s">
        <v>60</v>
      </c>
      <c r="G37" s="77" t="s">
        <v>61</v>
      </c>
      <c r="J37" s="64"/>
      <c r="K37" s="64"/>
      <c r="L37" s="68"/>
      <c r="M37" s="68"/>
      <c r="N37" s="69"/>
    </row>
    <row r="38" spans="1:14" s="4" customFormat="1" ht="26.25" customHeight="1" x14ac:dyDescent="0.4">
      <c r="A38" s="73" t="s">
        <v>62</v>
      </c>
      <c r="B38" s="208">
        <v>1</v>
      </c>
      <c r="C38" s="78">
        <v>1</v>
      </c>
      <c r="D38" s="209">
        <v>126057557</v>
      </c>
      <c r="E38" s="149">
        <f>IF(ISBLANK(D38),"-",$D$48/$D$45*D38)</f>
        <v>109129706.19075058</v>
      </c>
      <c r="F38" s="209">
        <v>132574449</v>
      </c>
      <c r="G38" s="152">
        <f>IF(ISBLANK(F38),"-",$D$48/$F$45*F38)</f>
        <v>110863032.6799572</v>
      </c>
      <c r="J38" s="64"/>
      <c r="K38" s="64"/>
      <c r="L38" s="68"/>
      <c r="M38" s="68"/>
      <c r="N38" s="69"/>
    </row>
    <row r="39" spans="1:14" s="4" customFormat="1" ht="26.25" customHeight="1" x14ac:dyDescent="0.4">
      <c r="A39" s="73" t="s">
        <v>63</v>
      </c>
      <c r="B39" s="208">
        <v>1</v>
      </c>
      <c r="C39" s="74">
        <v>2</v>
      </c>
      <c r="D39" s="210">
        <v>126005229</v>
      </c>
      <c r="E39" s="150">
        <f>IF(ISBLANK(D39),"-",$D$48/$D$45*D39)</f>
        <v>109084405.14413781</v>
      </c>
      <c r="F39" s="210">
        <v>132702432</v>
      </c>
      <c r="G39" s="153">
        <f>IF(ISBLANK(F39),"-",$D$48/$F$45*F39)</f>
        <v>110970056.19480868</v>
      </c>
      <c r="J39" s="64"/>
      <c r="K39" s="64"/>
      <c r="L39" s="68"/>
      <c r="M39" s="68"/>
      <c r="N39" s="69"/>
    </row>
    <row r="40" spans="1:14" ht="26.25" customHeight="1" x14ac:dyDescent="0.4">
      <c r="A40" s="73" t="s">
        <v>64</v>
      </c>
      <c r="B40" s="208">
        <v>1</v>
      </c>
      <c r="C40" s="74">
        <v>3</v>
      </c>
      <c r="D40" s="210">
        <v>125780121</v>
      </c>
      <c r="E40" s="150">
        <f>IF(ISBLANK(D40),"-",$D$48/$D$45*D40)</f>
        <v>108889526.15008284</v>
      </c>
      <c r="F40" s="210">
        <v>132733348</v>
      </c>
      <c r="G40" s="153">
        <f>IF(ISBLANK(F40),"-",$D$48/$F$45*F40)</f>
        <v>110995909.15172599</v>
      </c>
      <c r="L40" s="68"/>
      <c r="M40" s="68"/>
      <c r="N40" s="80"/>
    </row>
    <row r="41" spans="1:14" ht="26.25" customHeight="1" x14ac:dyDescent="0.4">
      <c r="A41" s="73" t="s">
        <v>65</v>
      </c>
      <c r="B41" s="208">
        <v>1</v>
      </c>
      <c r="C41" s="81">
        <v>4</v>
      </c>
      <c r="D41" s="211"/>
      <c r="E41" s="151" t="str">
        <f>IF(ISBLANK(D41),"-",$D$48/$D$45*D41)</f>
        <v>-</v>
      </c>
      <c r="F41" s="211"/>
      <c r="G41" s="154" t="str">
        <f>IF(ISBLANK(F41),"-",$D$48/$F$45*F41)</f>
        <v>-</v>
      </c>
      <c r="L41" s="68"/>
      <c r="M41" s="68"/>
      <c r="N41" s="80"/>
    </row>
    <row r="42" spans="1:14" ht="27" customHeight="1" x14ac:dyDescent="0.4">
      <c r="A42" s="73" t="s">
        <v>66</v>
      </c>
      <c r="B42" s="208">
        <v>1</v>
      </c>
      <c r="C42" s="83" t="s">
        <v>67</v>
      </c>
      <c r="D42" s="183">
        <f>AVERAGE(D38:D41)</f>
        <v>125947635.66666667</v>
      </c>
      <c r="E42" s="108">
        <f>AVERAGE(E38:E41)</f>
        <v>109034545.82832374</v>
      </c>
      <c r="F42" s="84">
        <f>AVERAGE(F38:F41)</f>
        <v>132670076.33333333</v>
      </c>
      <c r="G42" s="85">
        <f>AVERAGE(G38:G41)</f>
        <v>110942999.34216397</v>
      </c>
      <c r="H42" s="169"/>
    </row>
    <row r="43" spans="1:14" ht="26.25" customHeight="1" x14ac:dyDescent="0.4">
      <c r="A43" s="73" t="s">
        <v>68</v>
      </c>
      <c r="B43" s="205">
        <v>1</v>
      </c>
      <c r="C43" s="184" t="s">
        <v>97</v>
      </c>
      <c r="D43" s="212">
        <v>17.87</v>
      </c>
      <c r="E43" s="80"/>
      <c r="F43" s="232">
        <v>18.5</v>
      </c>
      <c r="H43" s="169"/>
    </row>
    <row r="44" spans="1:14" ht="26.25" customHeight="1" x14ac:dyDescent="0.4">
      <c r="A44" s="73" t="s">
        <v>69</v>
      </c>
      <c r="B44" s="205">
        <v>1</v>
      </c>
      <c r="C44" s="185" t="s">
        <v>98</v>
      </c>
      <c r="D44" s="186">
        <f>D43*$B$34</f>
        <v>17.87</v>
      </c>
      <c r="E44" s="87"/>
      <c r="F44" s="86">
        <f>F43*$B$34</f>
        <v>18.5</v>
      </c>
      <c r="H44" s="169"/>
    </row>
    <row r="45" spans="1:14" ht="19.5" customHeight="1" x14ac:dyDescent="0.3">
      <c r="A45" s="73" t="s">
        <v>70</v>
      </c>
      <c r="B45" s="182">
        <f>(B44/B43)*(B42/B41)*(B40/B39)*(B38/B37)*B36</f>
        <v>50</v>
      </c>
      <c r="C45" s="185" t="s">
        <v>71</v>
      </c>
      <c r="D45" s="187">
        <f>D44*$B$30/100</f>
        <v>14.43896</v>
      </c>
      <c r="E45" s="89"/>
      <c r="F45" s="88">
        <f>F44*$B$30/100</f>
        <v>14.948</v>
      </c>
      <c r="H45" s="169"/>
    </row>
    <row r="46" spans="1:14" ht="19.5" customHeight="1" x14ac:dyDescent="0.3">
      <c r="A46" s="252" t="s">
        <v>72</v>
      </c>
      <c r="B46" s="253"/>
      <c r="C46" s="185" t="s">
        <v>73</v>
      </c>
      <c r="D46" s="186">
        <f>D45/$B$45</f>
        <v>0.28877920000000001</v>
      </c>
      <c r="E46" s="89"/>
      <c r="F46" s="90">
        <f>F45/$B$45</f>
        <v>0.29896</v>
      </c>
      <c r="H46" s="169"/>
    </row>
    <row r="47" spans="1:14" ht="27" customHeight="1" x14ac:dyDescent="0.4">
      <c r="A47" s="254"/>
      <c r="B47" s="255"/>
      <c r="C47" s="185" t="s">
        <v>107</v>
      </c>
      <c r="D47" s="214">
        <v>0.25</v>
      </c>
      <c r="F47" s="92"/>
      <c r="H47" s="169"/>
    </row>
    <row r="48" spans="1:14" ht="18.75" x14ac:dyDescent="0.3">
      <c r="C48" s="185" t="s">
        <v>74</v>
      </c>
      <c r="D48" s="186">
        <f>D47*$B$45</f>
        <v>12.5</v>
      </c>
      <c r="F48" s="92"/>
      <c r="H48" s="169"/>
    </row>
    <row r="49" spans="1:12" ht="19.5" customHeight="1" x14ac:dyDescent="0.3">
      <c r="C49" s="188" t="s">
        <v>75</v>
      </c>
      <c r="D49" s="189">
        <f>D48/B34</f>
        <v>12.5</v>
      </c>
      <c r="F49" s="95"/>
      <c r="H49" s="169"/>
    </row>
    <row r="50" spans="1:12" ht="18.75" x14ac:dyDescent="0.3">
      <c r="C50" s="190" t="s">
        <v>76</v>
      </c>
      <c r="D50" s="191">
        <f>AVERAGE(E38:E41,G38:G41)</f>
        <v>109988772.58524387</v>
      </c>
      <c r="F50" s="95"/>
      <c r="H50" s="169"/>
    </row>
    <row r="51" spans="1:12" ht="18.75" x14ac:dyDescent="0.3">
      <c r="C51" s="91" t="s">
        <v>77</v>
      </c>
      <c r="D51" s="96">
        <f>STDEV(E38:E41,G38:G41)/D50</f>
        <v>9.5406175265573389E-3</v>
      </c>
      <c r="F51" s="95"/>
    </row>
    <row r="52" spans="1:12" ht="19.5" customHeight="1" x14ac:dyDescent="0.3">
      <c r="C52" s="93" t="s">
        <v>19</v>
      </c>
      <c r="D52" s="97">
        <f>COUNT(E38:E41,G38:G41)</f>
        <v>6</v>
      </c>
      <c r="F52" s="95"/>
    </row>
    <row r="54" spans="1:12" ht="18.75" x14ac:dyDescent="0.3">
      <c r="A54" s="53" t="s">
        <v>1</v>
      </c>
      <c r="B54" s="98" t="s">
        <v>78</v>
      </c>
    </row>
    <row r="55" spans="1:12" ht="18.75" x14ac:dyDescent="0.3">
      <c r="A55" s="54" t="s">
        <v>79</v>
      </c>
      <c r="B55" s="57" t="str">
        <f>B21</f>
        <v>Each film coated tablet contains Cefuroxime Axetil USP (amorphous) equivalent to Cefuroxime 500 mg.</v>
      </c>
    </row>
    <row r="56" spans="1:12" ht="26.25" customHeight="1" x14ac:dyDescent="0.4">
      <c r="A56" s="56" t="s">
        <v>80</v>
      </c>
      <c r="B56" s="204">
        <v>500</v>
      </c>
      <c r="C56" s="54" t="str">
        <f>B20</f>
        <v>Cefuroxime Axetil</v>
      </c>
      <c r="H56" s="63"/>
    </row>
    <row r="57" spans="1:12" ht="18.75" x14ac:dyDescent="0.3">
      <c r="A57" s="57" t="s">
        <v>81</v>
      </c>
      <c r="B57" s="203">
        <f>Uniformity!C46</f>
        <v>875.93799999999987</v>
      </c>
      <c r="H57" s="63"/>
    </row>
    <row r="58" spans="1:12" ht="19.5" customHeight="1" x14ac:dyDescent="0.3">
      <c r="H58" s="63"/>
    </row>
    <row r="59" spans="1:12" s="4" customFormat="1" ht="27" customHeight="1" x14ac:dyDescent="0.4">
      <c r="A59" s="72" t="s">
        <v>108</v>
      </c>
      <c r="B59" s="207">
        <v>100</v>
      </c>
      <c r="C59" s="54"/>
      <c r="D59" s="100" t="s">
        <v>82</v>
      </c>
      <c r="E59" s="99" t="s">
        <v>59</v>
      </c>
      <c r="F59" s="99" t="s">
        <v>60</v>
      </c>
      <c r="G59" s="99" t="s">
        <v>83</v>
      </c>
      <c r="H59" s="75" t="s">
        <v>84</v>
      </c>
      <c r="L59" s="64"/>
    </row>
    <row r="60" spans="1:12" s="4" customFormat="1" ht="22.5" customHeight="1" x14ac:dyDescent="0.4">
      <c r="A60" s="73" t="s">
        <v>102</v>
      </c>
      <c r="B60" s="208">
        <v>5</v>
      </c>
      <c r="C60" s="269" t="s">
        <v>85</v>
      </c>
      <c r="D60" s="273">
        <v>870.28</v>
      </c>
      <c r="E60" s="101">
        <v>1</v>
      </c>
      <c r="F60" s="215">
        <f>53589068+57579930</f>
        <v>111168998</v>
      </c>
      <c r="G60" s="138">
        <f>IF(ISBLANK(F60),"-",(F60/$D$50*$D$47*$B$68)*($B$57/$D$60))</f>
        <v>508.65076766226076</v>
      </c>
      <c r="H60" s="140">
        <f t="shared" ref="H60:H71" si="0">IF(ISBLANK(F60),"-",G60/$B$56)</f>
        <v>1.0173015353245216</v>
      </c>
      <c r="L60" s="64"/>
    </row>
    <row r="61" spans="1:12" s="4" customFormat="1" ht="26.25" customHeight="1" x14ac:dyDescent="0.4">
      <c r="A61" s="73" t="s">
        <v>86</v>
      </c>
      <c r="B61" s="208">
        <v>100</v>
      </c>
      <c r="C61" s="270"/>
      <c r="D61" s="274"/>
      <c r="E61" s="102">
        <v>2</v>
      </c>
      <c r="F61" s="210">
        <f>53485799+57482308</f>
        <v>110968107</v>
      </c>
      <c r="G61" s="139">
        <f>IF(ISBLANK(F61),"-",(F61/$D$50*$D$47*$B$68)*($B$57/$D$60))</f>
        <v>507.73159628170697</v>
      </c>
      <c r="H61" s="141">
        <f t="shared" si="0"/>
        <v>1.0154631925634139</v>
      </c>
      <c r="L61" s="64"/>
    </row>
    <row r="62" spans="1:12" s="4" customFormat="1" ht="26.25" customHeight="1" x14ac:dyDescent="0.4">
      <c r="A62" s="73" t="s">
        <v>87</v>
      </c>
      <c r="B62" s="208">
        <v>1</v>
      </c>
      <c r="C62" s="270"/>
      <c r="D62" s="274"/>
      <c r="E62" s="102">
        <v>3</v>
      </c>
      <c r="F62" s="210">
        <f>53979926+57973911</f>
        <v>111953837</v>
      </c>
      <c r="G62" s="139">
        <f>IF(ISBLANK(F62),"-",(F62/$D$50*$D$47*$B$68)*($B$57/$D$60))</f>
        <v>512.2417774493714</v>
      </c>
      <c r="H62" s="141">
        <f t="shared" si="0"/>
        <v>1.0244835548987428</v>
      </c>
      <c r="L62" s="64"/>
    </row>
    <row r="63" spans="1:12" ht="21" customHeight="1" x14ac:dyDescent="0.4">
      <c r="A63" s="73" t="s">
        <v>88</v>
      </c>
      <c r="B63" s="208">
        <v>1</v>
      </c>
      <c r="C63" s="271"/>
      <c r="D63" s="275"/>
      <c r="E63" s="103">
        <v>4</v>
      </c>
      <c r="F63" s="216"/>
      <c r="G63" s="139" t="str">
        <f>IF(ISBLANK(F63),"-",(F63/$D$50*$D$47*$B$68)*($B$57/$D$60))</f>
        <v>-</v>
      </c>
      <c r="H63" s="141" t="str">
        <f t="shared" si="0"/>
        <v>-</v>
      </c>
    </row>
    <row r="64" spans="1:12" ht="26.25" customHeight="1" x14ac:dyDescent="0.4">
      <c r="A64" s="73" t="s">
        <v>89</v>
      </c>
      <c r="B64" s="208">
        <v>1</v>
      </c>
      <c r="C64" s="269" t="s">
        <v>90</v>
      </c>
      <c r="D64" s="273">
        <v>868.4</v>
      </c>
      <c r="E64" s="101">
        <v>1</v>
      </c>
      <c r="F64" s="215">
        <f>53554543+57561448</f>
        <v>111115991</v>
      </c>
      <c r="G64" s="165">
        <f>IF(ISBLANK(F64),"-",(F64/$D$50*$D$47*$B$68)*($B$57/$D$64))</f>
        <v>509.50888903688565</v>
      </c>
      <c r="H64" s="162">
        <f t="shared" si="0"/>
        <v>1.0190177780737713</v>
      </c>
    </row>
    <row r="65" spans="1:8" ht="26.25" customHeight="1" x14ac:dyDescent="0.4">
      <c r="A65" s="73" t="s">
        <v>91</v>
      </c>
      <c r="B65" s="208">
        <v>1</v>
      </c>
      <c r="C65" s="270"/>
      <c r="D65" s="274"/>
      <c r="E65" s="102">
        <v>2</v>
      </c>
      <c r="F65" s="210">
        <f>53910136+57913696</f>
        <v>111823832</v>
      </c>
      <c r="G65" s="166">
        <f>IF(ISBLANK(F65),"-",(F65/$D$50*$D$47*$B$68)*($B$57/$D$64))</f>
        <v>512.75460802187638</v>
      </c>
      <c r="H65" s="163">
        <f t="shared" si="0"/>
        <v>1.0255092160437527</v>
      </c>
    </row>
    <row r="66" spans="1:8" ht="26.25" customHeight="1" x14ac:dyDescent="0.4">
      <c r="A66" s="73" t="s">
        <v>92</v>
      </c>
      <c r="B66" s="208">
        <v>1</v>
      </c>
      <c r="C66" s="270"/>
      <c r="D66" s="274"/>
      <c r="E66" s="102">
        <v>3</v>
      </c>
      <c r="F66" s="210">
        <f>53173148+57110608</f>
        <v>110283756</v>
      </c>
      <c r="G66" s="166">
        <f>IF(ISBLANK(F66),"-",(F66/$D$50*$D$47*$B$68)*($B$57/$D$64))</f>
        <v>505.69277646432516</v>
      </c>
      <c r="H66" s="163">
        <f t="shared" si="0"/>
        <v>1.0113855529286504</v>
      </c>
    </row>
    <row r="67" spans="1:8" ht="21" customHeight="1" x14ac:dyDescent="0.4">
      <c r="A67" s="73" t="s">
        <v>93</v>
      </c>
      <c r="B67" s="208">
        <v>1</v>
      </c>
      <c r="C67" s="271"/>
      <c r="D67" s="275"/>
      <c r="E67" s="103">
        <v>4</v>
      </c>
      <c r="F67" s="216"/>
      <c r="G67" s="167" t="str">
        <f>IF(ISBLANK(F67),"-",(F67/$D$50*$D$47*$B$68)*($B$57/$D$64))</f>
        <v>-</v>
      </c>
      <c r="H67" s="164" t="str">
        <f t="shared" si="0"/>
        <v>-</v>
      </c>
    </row>
    <row r="68" spans="1:8" ht="21.75" customHeight="1" x14ac:dyDescent="0.4">
      <c r="A68" s="73" t="s">
        <v>94</v>
      </c>
      <c r="B68" s="174">
        <f>(B67/B66)*(B65/B64)*(B63/B62)*(B61/B60)*B59</f>
        <v>2000</v>
      </c>
      <c r="C68" s="269" t="s">
        <v>95</v>
      </c>
      <c r="D68" s="273">
        <v>876.4</v>
      </c>
      <c r="E68" s="101">
        <v>1</v>
      </c>
      <c r="F68" s="215">
        <f>53632141+57641084</f>
        <v>111273225</v>
      </c>
      <c r="G68" s="165">
        <f>IF(ISBLANK(F68),"-",(F68/$D$50*$D$47*$B$68)*($B$57/$D$68))</f>
        <v>505.57235968999038</v>
      </c>
      <c r="H68" s="141">
        <f t="shared" si="0"/>
        <v>1.0111447193799807</v>
      </c>
    </row>
    <row r="69" spans="1:8" ht="21.75" customHeight="1" x14ac:dyDescent="0.4">
      <c r="A69" s="192" t="s">
        <v>96</v>
      </c>
      <c r="B69" s="193">
        <f>D47*B68/B56*B57</f>
        <v>875.93799999999987</v>
      </c>
      <c r="C69" s="270"/>
      <c r="D69" s="274"/>
      <c r="E69" s="102">
        <v>2</v>
      </c>
      <c r="F69" s="210">
        <f>53521866+57492981</f>
        <v>111014847</v>
      </c>
      <c r="G69" s="166">
        <f>IF(ISBLANK(F69),"-",(F69/$D$50*$D$47*$B$68)*($B$57/$D$68))</f>
        <v>504.39841353041805</v>
      </c>
      <c r="H69" s="141">
        <f t="shared" si="0"/>
        <v>1.0087968270608361</v>
      </c>
    </row>
    <row r="70" spans="1:8" ht="22.5" customHeight="1" x14ac:dyDescent="0.4">
      <c r="A70" s="261" t="s">
        <v>72</v>
      </c>
      <c r="B70" s="262"/>
      <c r="C70" s="270"/>
      <c r="D70" s="274"/>
      <c r="E70" s="102">
        <v>3</v>
      </c>
      <c r="F70" s="210">
        <f>53474228+57430873</f>
        <v>110905101</v>
      </c>
      <c r="G70" s="166">
        <f>IF(ISBLANK(F70),"-",(F70/$D$50*$D$47*$B$68)*($B$57/$D$68))</f>
        <v>503.89978015130521</v>
      </c>
      <c r="H70" s="141">
        <f t="shared" si="0"/>
        <v>1.0077995603026104</v>
      </c>
    </row>
    <row r="71" spans="1:8" ht="21.75" customHeight="1" x14ac:dyDescent="0.4">
      <c r="A71" s="263"/>
      <c r="B71" s="264"/>
      <c r="C71" s="272"/>
      <c r="D71" s="275"/>
      <c r="E71" s="103">
        <v>4</v>
      </c>
      <c r="F71" s="216"/>
      <c r="G71" s="167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04"/>
      <c r="B72" s="104"/>
      <c r="C72" s="104"/>
      <c r="D72" s="104"/>
      <c r="E72" s="104"/>
      <c r="F72" s="105"/>
      <c r="G72" s="94" t="s">
        <v>67</v>
      </c>
      <c r="H72" s="217">
        <f>AVERAGE(H60:H71)</f>
        <v>1.0156557707306977</v>
      </c>
    </row>
    <row r="73" spans="1:8" ht="26.25" customHeight="1" x14ac:dyDescent="0.4">
      <c r="C73" s="104"/>
      <c r="D73" s="104"/>
      <c r="E73" s="104"/>
      <c r="F73" s="105"/>
      <c r="G73" s="91" t="s">
        <v>77</v>
      </c>
      <c r="H73" s="218">
        <f>STDEV(H60:H71)/H72</f>
        <v>6.384815021086984E-3</v>
      </c>
    </row>
    <row r="74" spans="1:8" ht="27" customHeight="1" x14ac:dyDescent="0.4">
      <c r="A74" s="104"/>
      <c r="B74" s="104"/>
      <c r="C74" s="105"/>
      <c r="D74" s="105"/>
      <c r="E74" s="106"/>
      <c r="F74" s="105"/>
      <c r="G74" s="93" t="s">
        <v>19</v>
      </c>
      <c r="H74" s="219">
        <f>COUNT(H60:H71)</f>
        <v>9</v>
      </c>
    </row>
    <row r="75" spans="1:8" ht="18.75" x14ac:dyDescent="0.3">
      <c r="A75" s="104"/>
      <c r="B75" s="104"/>
      <c r="C75" s="105"/>
      <c r="D75" s="105"/>
      <c r="E75" s="106"/>
      <c r="F75" s="105"/>
      <c r="G75" s="127"/>
      <c r="H75" s="181"/>
    </row>
    <row r="76" spans="1:8" ht="18.75" x14ac:dyDescent="0.3">
      <c r="A76" s="60" t="s">
        <v>109</v>
      </c>
      <c r="B76" s="198" t="s">
        <v>103</v>
      </c>
      <c r="C76" s="265" t="str">
        <f>B20</f>
        <v>Cefuroxime Axetil</v>
      </c>
      <c r="D76" s="265"/>
      <c r="E76" s="200" t="s">
        <v>110</v>
      </c>
      <c r="F76" s="200"/>
      <c r="G76" s="201">
        <f>H72</f>
        <v>1.0156557707306977</v>
      </c>
      <c r="H76" s="181"/>
    </row>
    <row r="77" spans="1:8" ht="18.75" x14ac:dyDescent="0.3">
      <c r="A77" s="104"/>
      <c r="B77" s="104"/>
      <c r="C77" s="105"/>
      <c r="D77" s="105"/>
      <c r="E77" s="106"/>
      <c r="F77" s="105"/>
      <c r="G77" s="127"/>
      <c r="H77" s="181"/>
    </row>
    <row r="78" spans="1:8" ht="26.25" customHeight="1" x14ac:dyDescent="0.4">
      <c r="A78" s="59" t="s">
        <v>111</v>
      </c>
      <c r="B78" s="59" t="s">
        <v>112</v>
      </c>
      <c r="D78" s="220" t="s">
        <v>115</v>
      </c>
    </row>
    <row r="79" spans="1:8" ht="18.75" x14ac:dyDescent="0.3">
      <c r="A79" s="59"/>
      <c r="B79" s="59"/>
    </row>
    <row r="80" spans="1:8" ht="26.25" customHeight="1" x14ac:dyDescent="0.4">
      <c r="A80" s="60" t="s">
        <v>3</v>
      </c>
      <c r="B80" s="204" t="str">
        <f>B26</f>
        <v>Cefuroxime Axetil</v>
      </c>
      <c r="C80" s="228"/>
    </row>
    <row r="81" spans="1:12" ht="26.25" customHeight="1" x14ac:dyDescent="0.4">
      <c r="A81" s="62" t="s">
        <v>46</v>
      </c>
      <c r="B81" s="204" t="str">
        <f>B27</f>
        <v>C3-7</v>
      </c>
    </row>
    <row r="82" spans="1:12" ht="27" customHeight="1" x14ac:dyDescent="0.4">
      <c r="A82" s="62" t="s">
        <v>5</v>
      </c>
      <c r="B82" s="204">
        <f>B28</f>
        <v>82.3</v>
      </c>
    </row>
    <row r="83" spans="1:12" s="4" customFormat="1" ht="27" customHeight="1" x14ac:dyDescent="0.4">
      <c r="A83" s="62" t="s">
        <v>47</v>
      </c>
      <c r="B83" s="204">
        <f>B29</f>
        <v>1.5</v>
      </c>
      <c r="C83" s="258" t="s">
        <v>48</v>
      </c>
      <c r="D83" s="259"/>
      <c r="E83" s="259"/>
      <c r="F83" s="259"/>
      <c r="G83" s="260"/>
      <c r="I83" s="64"/>
      <c r="J83" s="64"/>
      <c r="K83" s="64"/>
      <c r="L83" s="64"/>
    </row>
    <row r="84" spans="1:12" s="4" customFormat="1" ht="18.75" x14ac:dyDescent="0.3">
      <c r="A84" s="62" t="s">
        <v>49</v>
      </c>
      <c r="B84" s="61">
        <f>B82-B83</f>
        <v>80.8</v>
      </c>
      <c r="C84" s="65"/>
      <c r="D84" s="65"/>
      <c r="E84" s="65"/>
      <c r="F84" s="65"/>
      <c r="G84" s="66"/>
      <c r="I84" s="64"/>
      <c r="J84" s="64"/>
      <c r="K84" s="64"/>
      <c r="L84" s="64"/>
    </row>
    <row r="85" spans="1:12" s="4" customFormat="1" ht="19.5" customHeight="1" x14ac:dyDescent="0.3">
      <c r="A85" s="62"/>
      <c r="B85" s="61"/>
      <c r="C85" s="65"/>
      <c r="D85" s="65"/>
      <c r="E85" s="65"/>
      <c r="F85" s="65"/>
      <c r="G85" s="66"/>
      <c r="I85" s="64"/>
      <c r="J85" s="64"/>
      <c r="K85" s="64"/>
      <c r="L85" s="64"/>
    </row>
    <row r="86" spans="1:12" s="4" customFormat="1" ht="27" customHeight="1" x14ac:dyDescent="0.4">
      <c r="A86" s="62" t="s">
        <v>50</v>
      </c>
      <c r="B86" s="206">
        <v>1</v>
      </c>
      <c r="C86" s="246" t="s">
        <v>51</v>
      </c>
      <c r="D86" s="247"/>
      <c r="E86" s="247"/>
      <c r="F86" s="247"/>
      <c r="G86" s="247"/>
      <c r="H86" s="248"/>
      <c r="I86" s="64"/>
      <c r="J86" s="64"/>
      <c r="K86" s="64"/>
      <c r="L86" s="64"/>
    </row>
    <row r="87" spans="1:12" s="4" customFormat="1" ht="27" customHeight="1" x14ac:dyDescent="0.4">
      <c r="A87" s="62" t="s">
        <v>52</v>
      </c>
      <c r="B87" s="206">
        <v>1</v>
      </c>
      <c r="C87" s="246" t="s">
        <v>53</v>
      </c>
      <c r="D87" s="247"/>
      <c r="E87" s="247"/>
      <c r="F87" s="247"/>
      <c r="G87" s="247"/>
      <c r="H87" s="248"/>
      <c r="I87" s="64"/>
      <c r="J87" s="64"/>
      <c r="K87" s="64"/>
      <c r="L87" s="64"/>
    </row>
    <row r="88" spans="1:12" s="4" customFormat="1" ht="18.75" x14ac:dyDescent="0.3">
      <c r="A88" s="62"/>
      <c r="B88" s="61"/>
      <c r="C88" s="65"/>
      <c r="D88" s="65"/>
      <c r="E88" s="65"/>
      <c r="F88" s="65"/>
      <c r="G88" s="66"/>
      <c r="I88" s="64"/>
      <c r="J88" s="64"/>
      <c r="K88" s="64"/>
      <c r="L88" s="64"/>
    </row>
    <row r="89" spans="1:12" ht="18.75" x14ac:dyDescent="0.3">
      <c r="A89" s="62" t="s">
        <v>54</v>
      </c>
      <c r="B89" s="71">
        <f>B86/B87</f>
        <v>1</v>
      </c>
      <c r="C89" s="54" t="s">
        <v>55</v>
      </c>
    </row>
    <row r="90" spans="1:12" ht="19.5" customHeight="1" x14ac:dyDescent="0.3">
      <c r="A90" s="62"/>
      <c r="B90" s="71"/>
    </row>
    <row r="91" spans="1:12" ht="27" customHeight="1" x14ac:dyDescent="0.4">
      <c r="A91" s="72" t="s">
        <v>105</v>
      </c>
      <c r="B91" s="207">
        <v>25</v>
      </c>
      <c r="D91" s="136" t="s">
        <v>56</v>
      </c>
      <c r="E91" s="137"/>
      <c r="F91" s="250" t="s">
        <v>57</v>
      </c>
      <c r="G91" s="251"/>
    </row>
    <row r="92" spans="1:12" ht="26.25" customHeight="1" x14ac:dyDescent="0.4">
      <c r="A92" s="73" t="s">
        <v>58</v>
      </c>
      <c r="B92" s="208">
        <v>2</v>
      </c>
      <c r="C92" s="133" t="s">
        <v>106</v>
      </c>
      <c r="D92" s="76" t="s">
        <v>60</v>
      </c>
      <c r="E92" s="134" t="s">
        <v>61</v>
      </c>
      <c r="F92" s="76" t="s">
        <v>60</v>
      </c>
      <c r="G92" s="77" t="s">
        <v>61</v>
      </c>
    </row>
    <row r="93" spans="1:12" ht="26.25" customHeight="1" x14ac:dyDescent="0.4">
      <c r="A93" s="73" t="s">
        <v>62</v>
      </c>
      <c r="B93" s="208">
        <v>100</v>
      </c>
      <c r="C93" s="132">
        <v>1</v>
      </c>
      <c r="D93" s="209">
        <v>0.42499999999999999</v>
      </c>
      <c r="E93" s="149">
        <f>IF(ISBLANK(D93),"-",$D$103/$D$100*D93)</f>
        <v>0.48061960801343295</v>
      </c>
      <c r="F93" s="209">
        <v>0.42099999999999999</v>
      </c>
      <c r="G93" s="152">
        <f>IF(ISBLANK(F93),"-",$D$103/$F$100*F93)</f>
        <v>0.4953224617465169</v>
      </c>
    </row>
    <row r="94" spans="1:12" ht="26.25" customHeight="1" x14ac:dyDescent="0.4">
      <c r="A94" s="73" t="s">
        <v>63</v>
      </c>
      <c r="B94" s="208">
        <v>1</v>
      </c>
      <c r="C94" s="105">
        <v>2</v>
      </c>
      <c r="D94" s="210">
        <v>0.42399999999999999</v>
      </c>
      <c r="E94" s="150">
        <f>IF(ISBLANK(D94),"-",$D$103/$D$100*D94)</f>
        <v>0.47948873834751898</v>
      </c>
      <c r="F94" s="210">
        <v>0.42199999999999999</v>
      </c>
      <c r="G94" s="153">
        <f>IF(ISBLANK(F94),"-",$D$103/$F$100*F94)</f>
        <v>0.49649899966040412</v>
      </c>
    </row>
    <row r="95" spans="1:12" ht="26.25" customHeight="1" x14ac:dyDescent="0.4">
      <c r="A95" s="73" t="s">
        <v>64</v>
      </c>
      <c r="B95" s="208">
        <v>1</v>
      </c>
      <c r="C95" s="105">
        <v>3</v>
      </c>
      <c r="D95" s="210">
        <v>0.42499999999999999</v>
      </c>
      <c r="E95" s="150">
        <f>IF(ISBLANK(D95),"-",$D$103/$D$100*D95)</f>
        <v>0.48061960801343295</v>
      </c>
      <c r="F95" s="210">
        <v>0.42099999999999999</v>
      </c>
      <c r="G95" s="153">
        <f>IF(ISBLANK(F95),"-",$D$103/$F$100*F95)</f>
        <v>0.4953224617465169</v>
      </c>
    </row>
    <row r="96" spans="1:12" ht="26.25" customHeight="1" x14ac:dyDescent="0.4">
      <c r="A96" s="73" t="s">
        <v>65</v>
      </c>
      <c r="B96" s="208">
        <v>1</v>
      </c>
      <c r="C96" s="135">
        <v>4</v>
      </c>
      <c r="D96" s="211"/>
      <c r="E96" s="151" t="str">
        <f>IF(ISBLANK(D96),"-",$D$103/$D$100*D96)</f>
        <v>-</v>
      </c>
      <c r="F96" s="221"/>
      <c r="G96" s="154" t="str">
        <f>IF(ISBLANK(F96),"-",$D$103/$F$100*F96)</f>
        <v>-</v>
      </c>
    </row>
    <row r="97" spans="1:10" ht="27" customHeight="1" x14ac:dyDescent="0.4">
      <c r="A97" s="73" t="s">
        <v>66</v>
      </c>
      <c r="B97" s="208">
        <v>1</v>
      </c>
      <c r="C97" s="127" t="s">
        <v>67</v>
      </c>
      <c r="D97" s="327">
        <f>AVERAGE(D93:D96)</f>
        <v>0.42466666666666669</v>
      </c>
      <c r="E97" s="108">
        <f>AVERAGE(E93:E96)</f>
        <v>0.48024265145812822</v>
      </c>
      <c r="F97" s="328">
        <f>AVERAGE(F93:F96)</f>
        <v>0.42133333333333334</v>
      </c>
      <c r="G97" s="155">
        <f>AVERAGE(G93:G96)</f>
        <v>0.49571464105114593</v>
      </c>
    </row>
    <row r="98" spans="1:10" ht="26.25" customHeight="1" x14ac:dyDescent="0.4">
      <c r="A98" s="73" t="s">
        <v>68</v>
      </c>
      <c r="B98" s="205">
        <v>1</v>
      </c>
      <c r="C98" s="184" t="s">
        <v>97</v>
      </c>
      <c r="D98" s="212">
        <v>15.2</v>
      </c>
      <c r="E98" s="80"/>
      <c r="F98" s="213">
        <v>14.61</v>
      </c>
    </row>
    <row r="99" spans="1:10" ht="26.25" customHeight="1" x14ac:dyDescent="0.4">
      <c r="A99" s="73" t="s">
        <v>69</v>
      </c>
      <c r="B99" s="205">
        <v>1</v>
      </c>
      <c r="C99" s="185" t="s">
        <v>98</v>
      </c>
      <c r="D99" s="186">
        <f>D98*$B$89</f>
        <v>15.2</v>
      </c>
      <c r="E99" s="87"/>
      <c r="F99" s="86">
        <f>F98*$B$89</f>
        <v>14.61</v>
      </c>
    </row>
    <row r="100" spans="1:10" ht="19.5" customHeight="1" x14ac:dyDescent="0.3">
      <c r="A100" s="73" t="s">
        <v>70</v>
      </c>
      <c r="B100" s="182">
        <f>(B99/B98)*(B97/B96)*(B95/B94)*(B93/B92)*B91</f>
        <v>1250</v>
      </c>
      <c r="C100" s="185" t="s">
        <v>71</v>
      </c>
      <c r="D100" s="187">
        <f>D99*$B$84/100</f>
        <v>12.281599999999999</v>
      </c>
      <c r="E100" s="89"/>
      <c r="F100" s="88">
        <f>F99*$B$84/100</f>
        <v>11.804879999999999</v>
      </c>
    </row>
    <row r="101" spans="1:10" ht="19.5" customHeight="1" x14ac:dyDescent="0.3">
      <c r="A101" s="252" t="s">
        <v>72</v>
      </c>
      <c r="B101" s="253"/>
      <c r="C101" s="185" t="s">
        <v>73</v>
      </c>
      <c r="D101" s="186">
        <f>D100/$B$100</f>
        <v>9.8252799999999987E-3</v>
      </c>
      <c r="E101" s="89"/>
      <c r="F101" s="90">
        <f>F100/$B$100</f>
        <v>9.4439039999999995E-3</v>
      </c>
      <c r="G101" s="168"/>
      <c r="H101" s="169"/>
    </row>
    <row r="102" spans="1:10" ht="19.5" customHeight="1" x14ac:dyDescent="0.3">
      <c r="A102" s="254"/>
      <c r="B102" s="255"/>
      <c r="C102" s="185" t="s">
        <v>107</v>
      </c>
      <c r="D102" s="194">
        <f>$B$56/$B$118</f>
        <v>1.1111111111111112E-2</v>
      </c>
      <c r="F102" s="92"/>
      <c r="G102" s="170"/>
      <c r="H102" s="169"/>
    </row>
    <row r="103" spans="1:10" ht="18.75" x14ac:dyDescent="0.3">
      <c r="C103" s="185" t="s">
        <v>74</v>
      </c>
      <c r="D103" s="186">
        <f>D102*$B$100</f>
        <v>13.888888888888889</v>
      </c>
      <c r="F103" s="92"/>
      <c r="G103" s="168"/>
      <c r="H103" s="169"/>
    </row>
    <row r="104" spans="1:10" ht="19.5" customHeight="1" x14ac:dyDescent="0.3">
      <c r="C104" s="188" t="s">
        <v>75</v>
      </c>
      <c r="D104" s="195">
        <f>D103/B34</f>
        <v>13.888888888888889</v>
      </c>
      <c r="F104" s="95"/>
      <c r="G104" s="168"/>
      <c r="H104" s="169"/>
      <c r="J104" s="109"/>
    </row>
    <row r="105" spans="1:10" ht="18.75" x14ac:dyDescent="0.3">
      <c r="C105" s="190" t="s">
        <v>76</v>
      </c>
      <c r="D105" s="191">
        <f>AVERAGE(E93:E96,G93:G96)</f>
        <v>0.48797864625463711</v>
      </c>
      <c r="F105" s="95"/>
      <c r="G105" s="171"/>
      <c r="H105" s="169"/>
      <c r="J105" s="111"/>
    </row>
    <row r="106" spans="1:10" ht="18.75" x14ac:dyDescent="0.3">
      <c r="C106" s="91" t="s">
        <v>77</v>
      </c>
      <c r="D106" s="110">
        <f>STDEV(E93:E96,G93:G96)/D105</f>
        <v>1.7409126941325275E-2</v>
      </c>
      <c r="F106" s="95"/>
      <c r="G106" s="168"/>
      <c r="H106" s="169"/>
      <c r="J106" s="111"/>
    </row>
    <row r="107" spans="1:10" ht="19.5" customHeight="1" x14ac:dyDescent="0.3">
      <c r="C107" s="93" t="s">
        <v>19</v>
      </c>
      <c r="D107" s="112">
        <f>COUNT(E93:E96,G93:G96)</f>
        <v>6</v>
      </c>
      <c r="F107" s="95"/>
      <c r="G107" s="168"/>
      <c r="H107" s="169"/>
      <c r="J107" s="111"/>
    </row>
    <row r="108" spans="1:10" ht="19.5" customHeight="1" x14ac:dyDescent="0.3">
      <c r="A108" s="53"/>
      <c r="B108" s="53"/>
      <c r="C108" s="53"/>
      <c r="D108" s="53"/>
      <c r="E108" s="53"/>
    </row>
    <row r="109" spans="1:10" ht="26.25" customHeight="1" x14ac:dyDescent="0.4">
      <c r="A109" s="72" t="s">
        <v>99</v>
      </c>
      <c r="B109" s="207">
        <v>900</v>
      </c>
      <c r="C109" s="113" t="s">
        <v>113</v>
      </c>
      <c r="D109" s="114" t="s">
        <v>60</v>
      </c>
      <c r="E109" s="115" t="s">
        <v>100</v>
      </c>
      <c r="F109" s="116" t="s">
        <v>101</v>
      </c>
    </row>
    <row r="110" spans="1:10" ht="26.25" customHeight="1" x14ac:dyDescent="0.4">
      <c r="A110" s="73" t="s">
        <v>102</v>
      </c>
      <c r="B110" s="208">
        <v>2</v>
      </c>
      <c r="C110" s="79">
        <v>1</v>
      </c>
      <c r="D110" s="230">
        <v>0.40600000000000003</v>
      </c>
      <c r="E110" s="117">
        <f t="shared" ref="E110:E115" si="1">IF(ISBLANK(D110),"-",D110/$D$105*$D$102*$B$118)</f>
        <v>416.00180982933944</v>
      </c>
      <c r="F110" s="118">
        <f t="shared" ref="F110:F115" si="2">IF(ISBLANK(D110), "-", E110/$B$56)</f>
        <v>0.83200361965867886</v>
      </c>
    </row>
    <row r="111" spans="1:10" ht="26.25" customHeight="1" x14ac:dyDescent="0.4">
      <c r="A111" s="73" t="s">
        <v>86</v>
      </c>
      <c r="B111" s="208">
        <v>100</v>
      </c>
      <c r="C111" s="79">
        <v>2</v>
      </c>
      <c r="D111" s="230">
        <v>0.41399999999999998</v>
      </c>
      <c r="E111" s="119">
        <f t="shared" si="1"/>
        <v>424.19888982597661</v>
      </c>
      <c r="F111" s="143">
        <f t="shared" si="2"/>
        <v>0.84839777965195318</v>
      </c>
    </row>
    <row r="112" spans="1:10" ht="26.25" customHeight="1" x14ac:dyDescent="0.4">
      <c r="A112" s="73" t="s">
        <v>87</v>
      </c>
      <c r="B112" s="208">
        <v>1</v>
      </c>
      <c r="C112" s="79">
        <v>3</v>
      </c>
      <c r="D112" s="230">
        <v>0.41299999999999998</v>
      </c>
      <c r="E112" s="119">
        <f t="shared" si="1"/>
        <v>423.17425482639692</v>
      </c>
      <c r="F112" s="143">
        <f t="shared" si="2"/>
        <v>0.84634850965279385</v>
      </c>
    </row>
    <row r="113" spans="1:10" ht="26.25" customHeight="1" x14ac:dyDescent="0.4">
      <c r="A113" s="73" t="s">
        <v>88</v>
      </c>
      <c r="B113" s="208">
        <v>1</v>
      </c>
      <c r="C113" s="79">
        <v>4</v>
      </c>
      <c r="D113" s="230">
        <v>0.40699999999999997</v>
      </c>
      <c r="E113" s="119">
        <f t="shared" si="1"/>
        <v>417.02644482891901</v>
      </c>
      <c r="F113" s="143">
        <f t="shared" si="2"/>
        <v>0.83405288965783797</v>
      </c>
    </row>
    <row r="114" spans="1:10" ht="26.25" customHeight="1" x14ac:dyDescent="0.4">
      <c r="A114" s="73" t="s">
        <v>89</v>
      </c>
      <c r="B114" s="208">
        <v>1</v>
      </c>
      <c r="C114" s="79">
        <v>5</v>
      </c>
      <c r="D114" s="230">
        <v>0.41</v>
      </c>
      <c r="E114" s="119">
        <f t="shared" si="1"/>
        <v>420.10034982765791</v>
      </c>
      <c r="F114" s="143">
        <f t="shared" si="2"/>
        <v>0.84020069965531585</v>
      </c>
    </row>
    <row r="115" spans="1:10" ht="26.25" customHeight="1" x14ac:dyDescent="0.4">
      <c r="A115" s="73" t="s">
        <v>91</v>
      </c>
      <c r="B115" s="208">
        <v>1</v>
      </c>
      <c r="C115" s="82">
        <v>6</v>
      </c>
      <c r="D115" s="231">
        <v>0.41499999999999998</v>
      </c>
      <c r="E115" s="120">
        <f t="shared" si="1"/>
        <v>425.22352482555624</v>
      </c>
      <c r="F115" s="144">
        <f t="shared" si="2"/>
        <v>0.85044704965111251</v>
      </c>
    </row>
    <row r="116" spans="1:10" ht="26.25" customHeight="1" x14ac:dyDescent="0.4">
      <c r="A116" s="73" t="s">
        <v>92</v>
      </c>
      <c r="B116" s="208">
        <v>1</v>
      </c>
      <c r="C116" s="79"/>
      <c r="D116" s="105"/>
      <c r="E116" s="107"/>
      <c r="F116" s="121"/>
    </row>
    <row r="117" spans="1:10" ht="26.25" customHeight="1" x14ac:dyDescent="0.4">
      <c r="A117" s="73" t="s">
        <v>93</v>
      </c>
      <c r="B117" s="208">
        <v>1</v>
      </c>
      <c r="C117" s="79"/>
      <c r="D117" s="122"/>
      <c r="E117" s="123" t="s">
        <v>67</v>
      </c>
      <c r="F117" s="124">
        <f>AVERAGE(F110:F115)</f>
        <v>0.84190842465461546</v>
      </c>
    </row>
    <row r="118" spans="1:10" ht="19.5" customHeight="1" x14ac:dyDescent="0.3">
      <c r="A118" s="73" t="s">
        <v>94</v>
      </c>
      <c r="B118" s="173">
        <f>(B117/B116)*(B115/B114)*(B113/B112)*(B111/B110)*B109</f>
        <v>45000</v>
      </c>
      <c r="C118" s="125"/>
      <c r="D118" s="126"/>
      <c r="E118" s="127" t="s">
        <v>77</v>
      </c>
      <c r="F118" s="128">
        <f>STDEV(F110:F115)/F117</f>
        <v>9.1615332986906186E-3</v>
      </c>
      <c r="I118" s="107"/>
    </row>
    <row r="119" spans="1:10" ht="19.5" customHeight="1" x14ac:dyDescent="0.3">
      <c r="A119" s="252" t="s">
        <v>72</v>
      </c>
      <c r="B119" s="256"/>
      <c r="C119" s="129"/>
      <c r="D119" s="130"/>
      <c r="E119" s="131" t="s">
        <v>19</v>
      </c>
      <c r="F119" s="112">
        <f>COUNT(F110:F115)</f>
        <v>6</v>
      </c>
      <c r="I119" s="107"/>
      <c r="J119" s="111"/>
    </row>
    <row r="120" spans="1:10" ht="19.5" customHeight="1" x14ac:dyDescent="0.3">
      <c r="A120" s="254"/>
      <c r="B120" s="257"/>
      <c r="C120" s="107"/>
      <c r="D120" s="107"/>
      <c r="E120" s="107"/>
      <c r="F120" s="105"/>
      <c r="G120" s="107"/>
      <c r="H120" s="107"/>
      <c r="I120" s="107"/>
    </row>
    <row r="121" spans="1:10" ht="18.75" x14ac:dyDescent="0.3">
      <c r="A121" s="70"/>
      <c r="B121" s="70"/>
      <c r="C121" s="107"/>
      <c r="D121" s="107"/>
      <c r="E121" s="107"/>
      <c r="F121" s="105"/>
      <c r="G121" s="107"/>
      <c r="H121" s="107"/>
      <c r="I121" s="107"/>
    </row>
    <row r="122" spans="1:10" ht="18.75" x14ac:dyDescent="0.3">
      <c r="A122" s="60" t="s">
        <v>109</v>
      </c>
      <c r="B122" s="198" t="s">
        <v>103</v>
      </c>
      <c r="C122" s="265" t="str">
        <f>B20</f>
        <v>Cefuroxime Axetil</v>
      </c>
      <c r="D122" s="265"/>
      <c r="E122" s="200" t="s">
        <v>104</v>
      </c>
      <c r="F122" s="200"/>
      <c r="G122" s="201">
        <f>F117</f>
        <v>0.84190842465461546</v>
      </c>
      <c r="H122" s="107"/>
      <c r="I122" s="107"/>
    </row>
    <row r="123" spans="1:10" ht="18.75" x14ac:dyDescent="0.3">
      <c r="A123" s="70"/>
      <c r="B123" s="70"/>
      <c r="C123" s="107"/>
      <c r="D123" s="107"/>
      <c r="E123" s="107"/>
      <c r="F123" s="105"/>
      <c r="G123" s="107"/>
      <c r="H123" s="107"/>
      <c r="I123" s="107"/>
    </row>
    <row r="124" spans="1:10" ht="26.25" customHeight="1" x14ac:dyDescent="0.4">
      <c r="A124" s="59" t="s">
        <v>111</v>
      </c>
      <c r="B124" s="59" t="s">
        <v>112</v>
      </c>
      <c r="D124" s="220" t="s">
        <v>114</v>
      </c>
    </row>
    <row r="125" spans="1:10" ht="19.5" customHeight="1" x14ac:dyDescent="0.3">
      <c r="A125" s="53"/>
      <c r="B125" s="53"/>
      <c r="C125" s="53"/>
      <c r="D125" s="53"/>
      <c r="E125" s="53"/>
    </row>
    <row r="126" spans="1:10" ht="26.25" customHeight="1" x14ac:dyDescent="0.4">
      <c r="A126" s="72" t="s">
        <v>99</v>
      </c>
      <c r="B126" s="207">
        <v>900</v>
      </c>
      <c r="C126" s="113" t="s">
        <v>113</v>
      </c>
      <c r="D126" s="114" t="s">
        <v>60</v>
      </c>
      <c r="E126" s="115" t="s">
        <v>100</v>
      </c>
      <c r="F126" s="116" t="s">
        <v>101</v>
      </c>
    </row>
    <row r="127" spans="1:10" ht="26.25" customHeight="1" x14ac:dyDescent="0.4">
      <c r="A127" s="73" t="s">
        <v>102</v>
      </c>
      <c r="B127" s="208">
        <v>2</v>
      </c>
      <c r="C127" s="79">
        <v>1</v>
      </c>
      <c r="D127" s="230">
        <v>0.47399999999999998</v>
      </c>
      <c r="E127" s="178">
        <f t="shared" ref="E127:E132" si="3">IF(ISBLANK(D127),"-",D127/$D$105*$D$102*$B$135)</f>
        <v>485.67698980075573</v>
      </c>
      <c r="F127" s="175">
        <f t="shared" ref="F127:F132" si="4">IF(ISBLANK(D127), "-", E127/$B$56)</f>
        <v>0.97135397960151149</v>
      </c>
    </row>
    <row r="128" spans="1:10" ht="26.25" customHeight="1" x14ac:dyDescent="0.4">
      <c r="A128" s="73" t="s">
        <v>86</v>
      </c>
      <c r="B128" s="208">
        <v>100</v>
      </c>
      <c r="C128" s="79">
        <v>2</v>
      </c>
      <c r="D128" s="230">
        <v>0.47699999999999998</v>
      </c>
      <c r="E128" s="179">
        <f t="shared" si="3"/>
        <v>488.75089479949474</v>
      </c>
      <c r="F128" s="176">
        <f t="shared" si="4"/>
        <v>0.97750178959898948</v>
      </c>
    </row>
    <row r="129" spans="1:10" ht="26.25" customHeight="1" x14ac:dyDescent="0.4">
      <c r="A129" s="73" t="s">
        <v>87</v>
      </c>
      <c r="B129" s="208">
        <v>1</v>
      </c>
      <c r="C129" s="79">
        <v>3</v>
      </c>
      <c r="D129" s="230">
        <v>0.47499999999999998</v>
      </c>
      <c r="E129" s="179">
        <f t="shared" si="3"/>
        <v>486.70162480033548</v>
      </c>
      <c r="F129" s="176">
        <f t="shared" si="4"/>
        <v>0.97340324960067093</v>
      </c>
    </row>
    <row r="130" spans="1:10" ht="26.25" customHeight="1" x14ac:dyDescent="0.4">
      <c r="A130" s="73" t="s">
        <v>88</v>
      </c>
      <c r="B130" s="208">
        <v>1</v>
      </c>
      <c r="C130" s="79">
        <v>4</v>
      </c>
      <c r="D130" s="230">
        <v>0.47499999999999998</v>
      </c>
      <c r="E130" s="179">
        <f t="shared" si="3"/>
        <v>486.70162480033548</v>
      </c>
      <c r="F130" s="176">
        <f t="shared" si="4"/>
        <v>0.97340324960067093</v>
      </c>
    </row>
    <row r="131" spans="1:10" ht="26.25" customHeight="1" x14ac:dyDescent="0.4">
      <c r="A131" s="73" t="s">
        <v>89</v>
      </c>
      <c r="B131" s="208">
        <v>1</v>
      </c>
      <c r="C131" s="79">
        <v>5</v>
      </c>
      <c r="D131" s="230">
        <v>0.47399999999999998</v>
      </c>
      <c r="E131" s="179">
        <f t="shared" si="3"/>
        <v>485.67698980075573</v>
      </c>
      <c r="F131" s="176">
        <f t="shared" si="4"/>
        <v>0.97135397960151149</v>
      </c>
    </row>
    <row r="132" spans="1:10" ht="26.25" customHeight="1" x14ac:dyDescent="0.4">
      <c r="A132" s="73" t="s">
        <v>91</v>
      </c>
      <c r="B132" s="208">
        <v>1</v>
      </c>
      <c r="C132" s="82">
        <v>6</v>
      </c>
      <c r="D132" s="231">
        <v>0.47599999999999998</v>
      </c>
      <c r="E132" s="180">
        <f t="shared" si="3"/>
        <v>487.72625979991511</v>
      </c>
      <c r="F132" s="177">
        <f t="shared" si="4"/>
        <v>0.97545251959983026</v>
      </c>
    </row>
    <row r="133" spans="1:10" ht="26.25" customHeight="1" x14ac:dyDescent="0.4">
      <c r="A133" s="73" t="s">
        <v>92</v>
      </c>
      <c r="B133" s="208">
        <v>1</v>
      </c>
      <c r="C133" s="79"/>
      <c r="D133" s="105"/>
      <c r="E133" s="107"/>
      <c r="F133" s="121"/>
    </row>
    <row r="134" spans="1:10" ht="26.25" customHeight="1" x14ac:dyDescent="0.4">
      <c r="A134" s="73" t="s">
        <v>93</v>
      </c>
      <c r="B134" s="208">
        <v>1</v>
      </c>
      <c r="C134" s="79"/>
      <c r="D134" s="122"/>
      <c r="E134" s="123" t="s">
        <v>67</v>
      </c>
      <c r="F134" s="224">
        <f>AVERAGE(F127:F132)</f>
        <v>0.97374479460053076</v>
      </c>
    </row>
    <row r="135" spans="1:10" ht="27" customHeight="1" x14ac:dyDescent="0.4">
      <c r="A135" s="73" t="s">
        <v>94</v>
      </c>
      <c r="B135" s="208">
        <f>(B134/B133)*(B132/B131)*(B130/B129)*(B128/B127)*B126</f>
        <v>45000</v>
      </c>
      <c r="C135" s="125"/>
      <c r="D135" s="126"/>
      <c r="E135" s="127" t="s">
        <v>77</v>
      </c>
      <c r="F135" s="225">
        <f>STDEV(F127:F132)/F134</f>
        <v>2.4602845200631996E-3</v>
      </c>
      <c r="I135" s="107"/>
    </row>
    <row r="136" spans="1:10" ht="27" customHeight="1" x14ac:dyDescent="0.4">
      <c r="A136" s="252" t="s">
        <v>72</v>
      </c>
      <c r="B136" s="256"/>
      <c r="C136" s="129"/>
      <c r="D136" s="130"/>
      <c r="E136" s="131" t="s">
        <v>19</v>
      </c>
      <c r="F136" s="226">
        <f>COUNT(F127:F132)</f>
        <v>6</v>
      </c>
      <c r="I136" s="107"/>
      <c r="J136" s="111"/>
    </row>
    <row r="137" spans="1:10" ht="19.5" customHeight="1" x14ac:dyDescent="0.3">
      <c r="A137" s="254"/>
      <c r="B137" s="257"/>
      <c r="C137" s="107"/>
      <c r="D137" s="107"/>
      <c r="E137" s="107"/>
      <c r="F137" s="105"/>
      <c r="G137" s="107"/>
      <c r="H137" s="107"/>
      <c r="I137" s="107"/>
    </row>
    <row r="138" spans="1:10" ht="18.75" x14ac:dyDescent="0.3">
      <c r="A138" s="70"/>
      <c r="B138" s="70"/>
      <c r="C138" s="107"/>
      <c r="D138" s="107"/>
      <c r="E138" s="107"/>
      <c r="F138" s="105"/>
      <c r="G138" s="107"/>
      <c r="H138" s="107"/>
      <c r="I138" s="107"/>
    </row>
    <row r="139" spans="1:10" ht="26.25" customHeight="1" x14ac:dyDescent="0.4">
      <c r="A139" s="60" t="s">
        <v>109</v>
      </c>
      <c r="B139" s="198" t="s">
        <v>103</v>
      </c>
      <c r="C139" s="265" t="str">
        <f>B20</f>
        <v>Cefuroxime Axetil</v>
      </c>
      <c r="D139" s="265"/>
      <c r="E139" s="200" t="s">
        <v>104</v>
      </c>
      <c r="F139" s="200"/>
      <c r="G139" s="227">
        <f>F134</f>
        <v>0.97374479460053076</v>
      </c>
      <c r="H139" s="107"/>
      <c r="I139" s="107"/>
    </row>
    <row r="140" spans="1:10" ht="18.75" x14ac:dyDescent="0.3">
      <c r="A140" s="60"/>
      <c r="B140" s="198"/>
      <c r="C140" s="199"/>
      <c r="D140" s="199"/>
      <c r="E140" s="200"/>
      <c r="F140" s="200"/>
      <c r="G140" s="201"/>
      <c r="H140" s="107"/>
      <c r="I140" s="107"/>
    </row>
    <row r="141" spans="1:10" ht="26.25" customHeight="1" x14ac:dyDescent="0.4">
      <c r="A141" s="59" t="s">
        <v>111</v>
      </c>
      <c r="B141" s="59" t="s">
        <v>112</v>
      </c>
      <c r="D141" s="220"/>
      <c r="H141" s="107"/>
      <c r="I141" s="107"/>
    </row>
    <row r="142" spans="1:10" ht="19.5" customHeight="1" x14ac:dyDescent="0.3">
      <c r="A142" s="53"/>
      <c r="B142" s="53"/>
      <c r="C142" s="53"/>
      <c r="D142" s="53"/>
      <c r="E142" s="53"/>
      <c r="H142" s="107"/>
      <c r="I142" s="107"/>
    </row>
    <row r="143" spans="1:10" ht="26.25" customHeight="1" x14ac:dyDescent="0.4">
      <c r="A143" s="72" t="s">
        <v>99</v>
      </c>
      <c r="B143" s="207">
        <v>1</v>
      </c>
      <c r="C143" s="113" t="s">
        <v>113</v>
      </c>
      <c r="D143" s="114" t="s">
        <v>60</v>
      </c>
      <c r="E143" s="115" t="s">
        <v>100</v>
      </c>
      <c r="F143" s="116" t="s">
        <v>101</v>
      </c>
      <c r="H143" s="107"/>
      <c r="I143" s="107"/>
    </row>
    <row r="144" spans="1:10" ht="26.25" customHeight="1" x14ac:dyDescent="0.4">
      <c r="A144" s="73" t="s">
        <v>102</v>
      </c>
      <c r="B144" s="208">
        <v>1</v>
      </c>
      <c r="C144" s="79">
        <v>1</v>
      </c>
      <c r="D144" s="222"/>
      <c r="E144" s="178" t="str">
        <f t="shared" ref="E144:E149" si="5">IF(ISBLANK(D144),"-",D144/$D$105*$D$102*$B$152)</f>
        <v>-</v>
      </c>
      <c r="F144" s="175" t="str">
        <f t="shared" ref="F144:F149" si="6">IF(ISBLANK(D144), "-", E144/$B$56)</f>
        <v>-</v>
      </c>
      <c r="H144" s="107"/>
      <c r="I144" s="107"/>
    </row>
    <row r="145" spans="1:9" ht="26.25" customHeight="1" x14ac:dyDescent="0.4">
      <c r="A145" s="73" t="s">
        <v>86</v>
      </c>
      <c r="B145" s="208">
        <v>1</v>
      </c>
      <c r="C145" s="79">
        <v>2</v>
      </c>
      <c r="D145" s="222"/>
      <c r="E145" s="179" t="str">
        <f t="shared" si="5"/>
        <v>-</v>
      </c>
      <c r="F145" s="176" t="str">
        <f t="shared" si="6"/>
        <v>-</v>
      </c>
      <c r="H145" s="107"/>
      <c r="I145" s="107"/>
    </row>
    <row r="146" spans="1:9" ht="26.25" customHeight="1" x14ac:dyDescent="0.4">
      <c r="A146" s="73" t="s">
        <v>87</v>
      </c>
      <c r="B146" s="208">
        <v>1</v>
      </c>
      <c r="C146" s="79">
        <v>3</v>
      </c>
      <c r="D146" s="222"/>
      <c r="E146" s="179" t="str">
        <f t="shared" si="5"/>
        <v>-</v>
      </c>
      <c r="F146" s="176" t="str">
        <f t="shared" si="6"/>
        <v>-</v>
      </c>
      <c r="H146" s="107"/>
      <c r="I146" s="107"/>
    </row>
    <row r="147" spans="1:9" ht="26.25" customHeight="1" x14ac:dyDescent="0.4">
      <c r="A147" s="73" t="s">
        <v>88</v>
      </c>
      <c r="B147" s="208">
        <v>1</v>
      </c>
      <c r="C147" s="79">
        <v>4</v>
      </c>
      <c r="D147" s="222"/>
      <c r="E147" s="179" t="str">
        <f t="shared" si="5"/>
        <v>-</v>
      </c>
      <c r="F147" s="176" t="str">
        <f t="shared" si="6"/>
        <v>-</v>
      </c>
      <c r="H147" s="107"/>
      <c r="I147" s="107"/>
    </row>
    <row r="148" spans="1:9" ht="26.25" customHeight="1" x14ac:dyDescent="0.4">
      <c r="A148" s="73" t="s">
        <v>89</v>
      </c>
      <c r="B148" s="208">
        <v>1</v>
      </c>
      <c r="C148" s="79">
        <v>5</v>
      </c>
      <c r="D148" s="222"/>
      <c r="E148" s="179" t="str">
        <f t="shared" si="5"/>
        <v>-</v>
      </c>
      <c r="F148" s="176" t="str">
        <f t="shared" si="6"/>
        <v>-</v>
      </c>
      <c r="H148" s="107"/>
      <c r="I148" s="107"/>
    </row>
    <row r="149" spans="1:9" ht="26.25" customHeight="1" x14ac:dyDescent="0.4">
      <c r="A149" s="73" t="s">
        <v>91</v>
      </c>
      <c r="B149" s="208">
        <v>1</v>
      </c>
      <c r="C149" s="82">
        <v>6</v>
      </c>
      <c r="D149" s="223"/>
      <c r="E149" s="180" t="str">
        <f t="shared" si="5"/>
        <v>-</v>
      </c>
      <c r="F149" s="177" t="str">
        <f t="shared" si="6"/>
        <v>-</v>
      </c>
      <c r="H149" s="107"/>
      <c r="I149" s="107"/>
    </row>
    <row r="150" spans="1:9" ht="26.25" customHeight="1" x14ac:dyDescent="0.4">
      <c r="A150" s="73" t="s">
        <v>92</v>
      </c>
      <c r="B150" s="208">
        <v>1</v>
      </c>
      <c r="C150" s="79"/>
      <c r="D150" s="105"/>
      <c r="E150" s="107"/>
      <c r="F150" s="121"/>
      <c r="H150" s="107"/>
      <c r="I150" s="107"/>
    </row>
    <row r="151" spans="1:9" ht="26.25" customHeight="1" x14ac:dyDescent="0.4">
      <c r="A151" s="73" t="s">
        <v>93</v>
      </c>
      <c r="B151" s="208">
        <v>1</v>
      </c>
      <c r="C151" s="79"/>
      <c r="D151" s="122"/>
      <c r="E151" s="123" t="s">
        <v>67</v>
      </c>
      <c r="F151" s="224" t="e">
        <f>AVERAGE(F144:F149)</f>
        <v>#DIV/0!</v>
      </c>
      <c r="H151" s="107"/>
      <c r="I151" s="107"/>
    </row>
    <row r="152" spans="1:9" ht="27" customHeight="1" x14ac:dyDescent="0.4">
      <c r="A152" s="73" t="s">
        <v>94</v>
      </c>
      <c r="B152" s="208">
        <f>(B151/B150)*(B149/B148)*(B147/B146)*(B145/B144)*B143</f>
        <v>1</v>
      </c>
      <c r="C152" s="125"/>
      <c r="D152" s="126"/>
      <c r="E152" s="127" t="s">
        <v>77</v>
      </c>
      <c r="F152" s="225" t="e">
        <f>STDEV(F144:F149)/F151</f>
        <v>#DIV/0!</v>
      </c>
      <c r="H152" s="107"/>
      <c r="I152" s="107"/>
    </row>
    <row r="153" spans="1:9" ht="27" customHeight="1" x14ac:dyDescent="0.4">
      <c r="A153" s="252" t="s">
        <v>72</v>
      </c>
      <c r="B153" s="256"/>
      <c r="C153" s="129"/>
      <c r="D153" s="130"/>
      <c r="E153" s="131" t="s">
        <v>19</v>
      </c>
      <c r="F153" s="226">
        <f>COUNT(F144:F149)</f>
        <v>0</v>
      </c>
      <c r="H153" s="107"/>
      <c r="I153" s="107"/>
    </row>
    <row r="154" spans="1:9" ht="19.5" customHeight="1" x14ac:dyDescent="0.3">
      <c r="A154" s="254"/>
      <c r="B154" s="257"/>
      <c r="C154" s="107"/>
      <c r="D154" s="107"/>
      <c r="E154" s="107"/>
      <c r="F154" s="105"/>
      <c r="G154" s="107"/>
      <c r="H154" s="107"/>
      <c r="I154" s="107"/>
    </row>
    <row r="155" spans="1:9" ht="18.75" x14ac:dyDescent="0.3">
      <c r="A155" s="70"/>
      <c r="B155" s="70"/>
      <c r="C155" s="107"/>
      <c r="D155" s="107"/>
      <c r="E155" s="107"/>
      <c r="F155" s="105"/>
      <c r="G155" s="107"/>
      <c r="H155" s="107"/>
      <c r="I155" s="107"/>
    </row>
    <row r="156" spans="1:9" ht="26.25" customHeight="1" x14ac:dyDescent="0.4">
      <c r="A156" s="60" t="s">
        <v>109</v>
      </c>
      <c r="B156" s="198" t="s">
        <v>103</v>
      </c>
      <c r="C156" s="265" t="str">
        <f>B20</f>
        <v>Cefuroxime Axetil</v>
      </c>
      <c r="D156" s="265"/>
      <c r="E156" s="200" t="s">
        <v>104</v>
      </c>
      <c r="F156" s="200"/>
      <c r="G156" s="227" t="e">
        <f>F151</f>
        <v>#DIV/0!</v>
      </c>
      <c r="H156" s="107"/>
      <c r="I156" s="107"/>
    </row>
    <row r="157" spans="1:9" ht="18.75" x14ac:dyDescent="0.3">
      <c r="A157" s="60"/>
      <c r="B157" s="198"/>
      <c r="C157" s="202"/>
      <c r="D157" s="202"/>
      <c r="E157" s="200"/>
      <c r="F157" s="200"/>
      <c r="G157" s="201"/>
      <c r="H157" s="107"/>
      <c r="I157" s="107"/>
    </row>
    <row r="158" spans="1:9" ht="26.25" customHeight="1" x14ac:dyDescent="0.4">
      <c r="A158" s="59" t="s">
        <v>111</v>
      </c>
      <c r="B158" s="59" t="s">
        <v>112</v>
      </c>
      <c r="D158" s="220"/>
      <c r="H158" s="107"/>
      <c r="I158" s="107"/>
    </row>
    <row r="159" spans="1:9" ht="19.5" customHeight="1" x14ac:dyDescent="0.3">
      <c r="A159" s="53"/>
      <c r="B159" s="53"/>
      <c r="C159" s="53"/>
      <c r="D159" s="53"/>
      <c r="E159" s="53"/>
      <c r="H159" s="107"/>
      <c r="I159" s="107"/>
    </row>
    <row r="160" spans="1:9" ht="26.25" customHeight="1" x14ac:dyDescent="0.4">
      <c r="A160" s="72" t="s">
        <v>99</v>
      </c>
      <c r="B160" s="207">
        <v>1</v>
      </c>
      <c r="C160" s="113" t="s">
        <v>113</v>
      </c>
      <c r="D160" s="114" t="s">
        <v>60</v>
      </c>
      <c r="E160" s="115" t="s">
        <v>100</v>
      </c>
      <c r="F160" s="116" t="s">
        <v>101</v>
      </c>
      <c r="H160" s="107"/>
      <c r="I160" s="107"/>
    </row>
    <row r="161" spans="1:9" ht="26.25" customHeight="1" x14ac:dyDescent="0.4">
      <c r="A161" s="73" t="s">
        <v>102</v>
      </c>
      <c r="B161" s="208">
        <v>1</v>
      </c>
      <c r="C161" s="79">
        <v>1</v>
      </c>
      <c r="D161" s="222"/>
      <c r="E161" s="178" t="str">
        <f t="shared" ref="E161:E166" si="7">IF(ISBLANK(D161),"-",D161/$D$105*$D$102*$B$169)</f>
        <v>-</v>
      </c>
      <c r="F161" s="175" t="str">
        <f t="shared" ref="F161:F166" si="8">IF(ISBLANK(D161), "-", E161/$B$56)</f>
        <v>-</v>
      </c>
      <c r="H161" s="107"/>
      <c r="I161" s="107"/>
    </row>
    <row r="162" spans="1:9" ht="26.25" customHeight="1" x14ac:dyDescent="0.4">
      <c r="A162" s="73" t="s">
        <v>86</v>
      </c>
      <c r="B162" s="208">
        <v>1</v>
      </c>
      <c r="C162" s="79">
        <v>2</v>
      </c>
      <c r="D162" s="222"/>
      <c r="E162" s="179" t="str">
        <f t="shared" si="7"/>
        <v>-</v>
      </c>
      <c r="F162" s="176" t="str">
        <f t="shared" si="8"/>
        <v>-</v>
      </c>
      <c r="H162" s="107"/>
      <c r="I162" s="107"/>
    </row>
    <row r="163" spans="1:9" ht="26.25" customHeight="1" x14ac:dyDescent="0.4">
      <c r="A163" s="73" t="s">
        <v>87</v>
      </c>
      <c r="B163" s="208">
        <v>1</v>
      </c>
      <c r="C163" s="79">
        <v>3</v>
      </c>
      <c r="D163" s="222"/>
      <c r="E163" s="179" t="str">
        <f t="shared" si="7"/>
        <v>-</v>
      </c>
      <c r="F163" s="176" t="str">
        <f t="shared" si="8"/>
        <v>-</v>
      </c>
      <c r="H163" s="107"/>
      <c r="I163" s="107"/>
    </row>
    <row r="164" spans="1:9" ht="26.25" customHeight="1" x14ac:dyDescent="0.4">
      <c r="A164" s="73" t="s">
        <v>88</v>
      </c>
      <c r="B164" s="208">
        <v>1</v>
      </c>
      <c r="C164" s="79">
        <v>4</v>
      </c>
      <c r="D164" s="222"/>
      <c r="E164" s="179" t="str">
        <f t="shared" si="7"/>
        <v>-</v>
      </c>
      <c r="F164" s="176" t="str">
        <f t="shared" si="8"/>
        <v>-</v>
      </c>
      <c r="H164" s="107"/>
      <c r="I164" s="107"/>
    </row>
    <row r="165" spans="1:9" ht="26.25" customHeight="1" x14ac:dyDescent="0.4">
      <c r="A165" s="73" t="s">
        <v>89</v>
      </c>
      <c r="B165" s="208">
        <v>1</v>
      </c>
      <c r="C165" s="79">
        <v>5</v>
      </c>
      <c r="D165" s="222"/>
      <c r="E165" s="179" t="str">
        <f t="shared" si="7"/>
        <v>-</v>
      </c>
      <c r="F165" s="176" t="str">
        <f t="shared" si="8"/>
        <v>-</v>
      </c>
      <c r="H165" s="107"/>
      <c r="I165" s="107"/>
    </row>
    <row r="166" spans="1:9" ht="26.25" customHeight="1" x14ac:dyDescent="0.4">
      <c r="A166" s="73" t="s">
        <v>91</v>
      </c>
      <c r="B166" s="208">
        <v>1</v>
      </c>
      <c r="C166" s="82">
        <v>6</v>
      </c>
      <c r="D166" s="223"/>
      <c r="E166" s="180" t="str">
        <f t="shared" si="7"/>
        <v>-</v>
      </c>
      <c r="F166" s="177" t="str">
        <f t="shared" si="8"/>
        <v>-</v>
      </c>
      <c r="H166" s="107"/>
      <c r="I166" s="107"/>
    </row>
    <row r="167" spans="1:9" ht="26.25" customHeight="1" x14ac:dyDescent="0.4">
      <c r="A167" s="73" t="s">
        <v>92</v>
      </c>
      <c r="B167" s="208">
        <v>1</v>
      </c>
      <c r="C167" s="79"/>
      <c r="D167" s="105"/>
      <c r="E167" s="107"/>
      <c r="F167" s="121"/>
      <c r="H167" s="107"/>
      <c r="I167" s="107"/>
    </row>
    <row r="168" spans="1:9" ht="26.25" customHeight="1" x14ac:dyDescent="0.4">
      <c r="A168" s="73" t="s">
        <v>93</v>
      </c>
      <c r="B168" s="208">
        <v>1</v>
      </c>
      <c r="C168" s="79"/>
      <c r="D168" s="122"/>
      <c r="E168" s="123" t="s">
        <v>67</v>
      </c>
      <c r="F168" s="224" t="e">
        <f>AVERAGE(F161:F166)</f>
        <v>#DIV/0!</v>
      </c>
      <c r="H168" s="107"/>
      <c r="I168" s="107"/>
    </row>
    <row r="169" spans="1:9" ht="27" customHeight="1" x14ac:dyDescent="0.4">
      <c r="A169" s="73" t="s">
        <v>94</v>
      </c>
      <c r="B169" s="208">
        <f>(B168/B167)*(B166/B165)*(B164/B163)*(B162/B161)*B160</f>
        <v>1</v>
      </c>
      <c r="C169" s="125"/>
      <c r="D169" s="126"/>
      <c r="E169" s="127" t="s">
        <v>77</v>
      </c>
      <c r="F169" s="225" t="e">
        <f>STDEV(F161:F166)/F168</f>
        <v>#DIV/0!</v>
      </c>
      <c r="H169" s="107"/>
      <c r="I169" s="107"/>
    </row>
    <row r="170" spans="1:9" ht="27" customHeight="1" x14ac:dyDescent="0.4">
      <c r="A170" s="252" t="s">
        <v>72</v>
      </c>
      <c r="B170" s="256"/>
      <c r="C170" s="129"/>
      <c r="D170" s="130"/>
      <c r="E170" s="131" t="s">
        <v>19</v>
      </c>
      <c r="F170" s="226">
        <f>COUNT(F161:F166)</f>
        <v>0</v>
      </c>
      <c r="H170" s="107"/>
      <c r="I170" s="107"/>
    </row>
    <row r="171" spans="1:9" ht="19.5" customHeight="1" x14ac:dyDescent="0.3">
      <c r="A171" s="254"/>
      <c r="B171" s="257"/>
      <c r="C171" s="107"/>
      <c r="D171" s="107"/>
      <c r="E171" s="107"/>
      <c r="F171" s="105"/>
      <c r="G171" s="107"/>
      <c r="H171" s="107"/>
      <c r="I171" s="107"/>
    </row>
    <row r="172" spans="1:9" ht="18.75" x14ac:dyDescent="0.3">
      <c r="A172" s="70"/>
      <c r="B172" s="70"/>
      <c r="C172" s="107"/>
      <c r="D172" s="107"/>
      <c r="E172" s="107"/>
      <c r="F172" s="105"/>
      <c r="G172" s="107"/>
      <c r="H172" s="107"/>
      <c r="I172" s="107"/>
    </row>
    <row r="173" spans="1:9" ht="26.25" customHeight="1" x14ac:dyDescent="0.4">
      <c r="A173" s="60" t="s">
        <v>109</v>
      </c>
      <c r="B173" s="198" t="s">
        <v>103</v>
      </c>
      <c r="C173" s="265" t="str">
        <f>B20</f>
        <v>Cefuroxime Axetil</v>
      </c>
      <c r="D173" s="265"/>
      <c r="E173" s="200" t="s">
        <v>104</v>
      </c>
      <c r="F173" s="200"/>
      <c r="G173" s="227" t="e">
        <f>F168</f>
        <v>#DIV/0!</v>
      </c>
      <c r="H173" s="107"/>
      <c r="I173" s="107"/>
    </row>
    <row r="174" spans="1:9" ht="18.75" x14ac:dyDescent="0.3">
      <c r="A174" s="60"/>
      <c r="B174" s="198"/>
      <c r="C174" s="202"/>
      <c r="D174" s="202"/>
      <c r="E174" s="200"/>
      <c r="F174" s="200"/>
      <c r="G174" s="201"/>
      <c r="H174" s="107"/>
      <c r="I174" s="107"/>
    </row>
    <row r="175" spans="1:9" ht="19.5" customHeight="1" x14ac:dyDescent="0.3">
      <c r="A175" s="145"/>
      <c r="B175" s="145"/>
      <c r="C175" s="146"/>
      <c r="D175" s="146"/>
      <c r="E175" s="146"/>
      <c r="F175" s="146"/>
      <c r="G175" s="146"/>
      <c r="H175" s="146"/>
    </row>
    <row r="176" spans="1:9" ht="18.75" x14ac:dyDescent="0.3">
      <c r="B176" s="267" t="s">
        <v>24</v>
      </c>
      <c r="C176" s="267"/>
      <c r="E176" s="133" t="s">
        <v>25</v>
      </c>
      <c r="F176" s="160"/>
      <c r="G176" s="267" t="s">
        <v>26</v>
      </c>
      <c r="H176" s="267"/>
    </row>
    <row r="177" spans="1:9" ht="83.1" customHeight="1" x14ac:dyDescent="0.3">
      <c r="A177" s="161" t="s">
        <v>27</v>
      </c>
      <c r="B177" s="196"/>
      <c r="C177" s="196"/>
      <c r="E177" s="156"/>
      <c r="F177" s="107"/>
      <c r="G177" s="158"/>
      <c r="H177" s="158"/>
    </row>
    <row r="178" spans="1:9" ht="83.1" customHeight="1" x14ac:dyDescent="0.3">
      <c r="A178" s="161" t="s">
        <v>28</v>
      </c>
      <c r="B178" s="197"/>
      <c r="C178" s="197"/>
      <c r="E178" s="157"/>
      <c r="F178" s="107"/>
      <c r="G178" s="159"/>
      <c r="H178" s="159"/>
    </row>
    <row r="179" spans="1:9" ht="18.75" x14ac:dyDescent="0.3">
      <c r="A179" s="104"/>
      <c r="B179" s="104"/>
      <c r="C179" s="105"/>
      <c r="D179" s="105"/>
      <c r="E179" s="105"/>
      <c r="F179" s="106"/>
      <c r="G179" s="105"/>
      <c r="H179" s="105"/>
      <c r="I179" s="107"/>
    </row>
    <row r="180" spans="1:9" ht="18.75" x14ac:dyDescent="0.3">
      <c r="A180" s="104"/>
      <c r="B180" s="104"/>
      <c r="C180" s="105"/>
      <c r="D180" s="105"/>
      <c r="E180" s="105"/>
      <c r="F180" s="106"/>
      <c r="G180" s="105"/>
      <c r="H180" s="105"/>
      <c r="I180" s="107"/>
    </row>
    <row r="181" spans="1:9" ht="18.75" x14ac:dyDescent="0.3">
      <c r="A181" s="104"/>
      <c r="B181" s="104"/>
      <c r="C181" s="105"/>
      <c r="D181" s="105"/>
      <c r="E181" s="105"/>
      <c r="F181" s="106"/>
      <c r="G181" s="105"/>
      <c r="H181" s="105"/>
      <c r="I181" s="107"/>
    </row>
    <row r="182" spans="1:9" ht="18.75" x14ac:dyDescent="0.3">
      <c r="A182" s="104"/>
      <c r="B182" s="104"/>
      <c r="C182" s="105"/>
      <c r="D182" s="105"/>
      <c r="E182" s="105"/>
      <c r="F182" s="106"/>
      <c r="G182" s="105"/>
      <c r="H182" s="105"/>
      <c r="I182" s="107"/>
    </row>
    <row r="183" spans="1:9" ht="18.75" x14ac:dyDescent="0.3">
      <c r="A183" s="104"/>
      <c r="B183" s="104"/>
      <c r="C183" s="105"/>
      <c r="D183" s="105"/>
      <c r="E183" s="105"/>
      <c r="F183" s="106"/>
      <c r="G183" s="105"/>
      <c r="H183" s="105"/>
      <c r="I183" s="107"/>
    </row>
    <row r="184" spans="1:9" ht="18.75" x14ac:dyDescent="0.3">
      <c r="A184" s="104"/>
      <c r="B184" s="104"/>
      <c r="C184" s="105"/>
      <c r="D184" s="105"/>
      <c r="E184" s="105"/>
      <c r="F184" s="106"/>
      <c r="G184" s="105"/>
      <c r="H184" s="105"/>
      <c r="I184" s="107"/>
    </row>
    <row r="185" spans="1:9" ht="18.75" x14ac:dyDescent="0.3">
      <c r="A185" s="104"/>
      <c r="B185" s="104"/>
      <c r="C185" s="105"/>
      <c r="D185" s="105"/>
      <c r="E185" s="105"/>
      <c r="F185" s="106"/>
      <c r="G185" s="105"/>
      <c r="H185" s="105"/>
      <c r="I185" s="107"/>
    </row>
    <row r="186" spans="1:9" ht="18.75" x14ac:dyDescent="0.3">
      <c r="A186" s="104"/>
      <c r="B186" s="104"/>
      <c r="C186" s="105"/>
      <c r="D186" s="105"/>
      <c r="E186" s="105"/>
      <c r="F186" s="106"/>
      <c r="G186" s="105"/>
      <c r="H186" s="105"/>
      <c r="I186" s="107"/>
    </row>
    <row r="187" spans="1:9" ht="18.75" x14ac:dyDescent="0.3">
      <c r="A187" s="104"/>
      <c r="B187" s="104"/>
      <c r="C187" s="105"/>
      <c r="D187" s="105"/>
      <c r="E187" s="105"/>
      <c r="F187" s="106"/>
      <c r="G187" s="105"/>
      <c r="H187" s="105"/>
      <c r="I187" s="107"/>
    </row>
    <row r="250" spans="1:1" x14ac:dyDescent="0.25">
      <c r="A250" s="2">
        <v>0</v>
      </c>
    </row>
  </sheetData>
  <sheetProtection password="F258" sheet="1" objects="1" scenarios="1" formatCells="0" formatColumns="0"/>
  <mergeCells count="34">
    <mergeCell ref="G176:H176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C122:D122"/>
    <mergeCell ref="C156:D156"/>
    <mergeCell ref="C139:D139"/>
    <mergeCell ref="C173:D173"/>
    <mergeCell ref="B176:C176"/>
    <mergeCell ref="A136:B137"/>
    <mergeCell ref="A170:B171"/>
    <mergeCell ref="A153:B154"/>
    <mergeCell ref="F91:G91"/>
    <mergeCell ref="A101:B102"/>
    <mergeCell ref="A119:B120"/>
    <mergeCell ref="A46:B47"/>
    <mergeCell ref="C83:G83"/>
    <mergeCell ref="A70:B71"/>
    <mergeCell ref="C76:D76"/>
    <mergeCell ref="A1:H7"/>
    <mergeCell ref="A8:H14"/>
    <mergeCell ref="A16:H16"/>
    <mergeCell ref="C86:H86"/>
    <mergeCell ref="C87:H87"/>
    <mergeCell ref="B18:C18"/>
    <mergeCell ref="D36:E36"/>
    <mergeCell ref="B21:H21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Cefuroxime</vt:lpstr>
      <vt:lpstr>Cefuroxime!Print_Area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2018-07-26T06:16:45Z</cp:lastPrinted>
  <dcterms:created xsi:type="dcterms:W3CDTF">2005-07-05T10:19:27Z</dcterms:created>
  <dcterms:modified xsi:type="dcterms:W3CDTF">2018-07-26T06:19:25Z</dcterms:modified>
</cp:coreProperties>
</file>