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21840" windowHeight="11445" activeTab="2"/>
  </bookViews>
  <sheets>
    <sheet name="SST " sheetId="4" r:id="rId1"/>
    <sheet name="Uniformity" sheetId="2" r:id="rId2"/>
    <sheet name="Cefuroxime" sheetId="3" r:id="rId3"/>
  </sheets>
  <definedNames>
    <definedName name="_xlnm.Print_Area" localSheetId="2">Cefuroxime!$A$1:$H$178</definedName>
    <definedName name="_xlnm.Print_Area" localSheetId="0">'SST '!$A$15:$H$61</definedName>
    <definedName name="_xlnm.Print_Area" localSheetId="1">Uniformity!$A$12:$I$54</definedName>
  </definedNames>
  <calcPr calcId="144525"/>
</workbook>
</file>

<file path=xl/calcChain.xml><?xml version="1.0" encoding="utf-8"?>
<calcChain xmlns="http://schemas.openxmlformats.org/spreadsheetml/2006/main">
  <c r="B53" i="4" l="1"/>
  <c r="F51" i="4"/>
  <c r="E51" i="4"/>
  <c r="D51" i="4"/>
  <c r="C51" i="4"/>
  <c r="B51" i="4"/>
  <c r="B52" i="4" s="1"/>
  <c r="B42" i="4"/>
  <c r="B32" i="4"/>
  <c r="F30" i="4"/>
  <c r="E30" i="4"/>
  <c r="D30" i="4"/>
  <c r="C30" i="4"/>
  <c r="B30" i="4"/>
  <c r="B31" i="4" s="1"/>
  <c r="B21" i="4"/>
  <c r="F70" i="3"/>
  <c r="F69" i="3" l="1"/>
  <c r="F68" i="3"/>
  <c r="F66" i="3"/>
  <c r="F65" i="3"/>
  <c r="F64" i="3"/>
  <c r="F62" i="3"/>
  <c r="F61" i="3"/>
  <c r="F60" i="3" l="1"/>
  <c r="C173" i="3"/>
  <c r="B169" i="3"/>
  <c r="C156" i="3"/>
  <c r="B152" i="3"/>
  <c r="C139" i="3"/>
  <c r="B135" i="3"/>
  <c r="C122" i="3"/>
  <c r="B118" i="3"/>
  <c r="D102" i="3" s="1"/>
  <c r="B100" i="3"/>
  <c r="F97" i="3"/>
  <c r="D97" i="3"/>
  <c r="G96" i="3"/>
  <c r="E96" i="3"/>
  <c r="B89" i="3"/>
  <c r="F99" i="3" s="1"/>
  <c r="B83" i="3"/>
  <c r="B82" i="3"/>
  <c r="B81" i="3"/>
  <c r="B80" i="3"/>
  <c r="C76" i="3"/>
  <c r="H71" i="3"/>
  <c r="G71" i="3"/>
  <c r="B68" i="3"/>
  <c r="H67" i="3"/>
  <c r="G67" i="3"/>
  <c r="H63" i="3"/>
  <c r="G63" i="3"/>
  <c r="C56" i="3"/>
  <c r="B55" i="3"/>
  <c r="D48" i="3"/>
  <c r="B45" i="3"/>
  <c r="F42" i="3"/>
  <c r="D42" i="3"/>
  <c r="G41" i="3"/>
  <c r="E41" i="3"/>
  <c r="B34" i="3"/>
  <c r="F44" i="3" s="1"/>
  <c r="B30" i="3"/>
  <c r="C46" i="2"/>
  <c r="D36" i="2" s="1"/>
  <c r="C45" i="2"/>
  <c r="C19" i="2"/>
  <c r="D39" i="2" l="1"/>
  <c r="D31" i="2"/>
  <c r="D29" i="2"/>
  <c r="D37" i="2"/>
  <c r="D50" i="2"/>
  <c r="D99" i="3"/>
  <c r="D24" i="2"/>
  <c r="D32" i="2"/>
  <c r="D40" i="2"/>
  <c r="C49" i="2"/>
  <c r="F45" i="3"/>
  <c r="G40" i="3" s="1"/>
  <c r="D26" i="2"/>
  <c r="D34" i="2"/>
  <c r="D42" i="2"/>
  <c r="D49" i="2"/>
  <c r="B57" i="3"/>
  <c r="B69" i="3" s="1"/>
  <c r="D44" i="3"/>
  <c r="D45" i="3" s="1"/>
  <c r="D46" i="3" s="1"/>
  <c r="D103" i="3"/>
  <c r="D104" i="3" s="1"/>
  <c r="B84" i="3"/>
  <c r="D30" i="2"/>
  <c r="D38" i="2"/>
  <c r="B49" i="2"/>
  <c r="D25" i="2"/>
  <c r="D33" i="2"/>
  <c r="D41" i="2"/>
  <c r="C50" i="2"/>
  <c r="D49" i="3"/>
  <c r="D27" i="2"/>
  <c r="D35" i="2"/>
  <c r="D43" i="2"/>
  <c r="D28" i="2"/>
  <c r="D100" i="3" l="1"/>
  <c r="E93" i="3" s="1"/>
  <c r="G39" i="3"/>
  <c r="G38" i="3"/>
  <c r="G42" i="3" s="1"/>
  <c r="F46" i="3"/>
  <c r="E40" i="3"/>
  <c r="E38" i="3"/>
  <c r="E39" i="3"/>
  <c r="D101" i="3"/>
  <c r="E94" i="3"/>
  <c r="E95" i="3"/>
  <c r="F100" i="3"/>
  <c r="E97" i="3" l="1"/>
  <c r="D52" i="3"/>
  <c r="E42" i="3"/>
  <c r="D50" i="3"/>
  <c r="G62" i="3" s="1"/>
  <c r="H62" i="3" s="1"/>
  <c r="F101" i="3"/>
  <c r="G93" i="3"/>
  <c r="G95" i="3"/>
  <c r="G94" i="3"/>
  <c r="D51" i="3" l="1"/>
  <c r="G65" i="3"/>
  <c r="H65" i="3" s="1"/>
  <c r="G61" i="3"/>
  <c r="H61" i="3" s="1"/>
  <c r="G66" i="3"/>
  <c r="H66" i="3" s="1"/>
  <c r="G70" i="3"/>
  <c r="H70" i="3" s="1"/>
  <c r="G69" i="3"/>
  <c r="H69" i="3" s="1"/>
  <c r="G60" i="3"/>
  <c r="H60" i="3" s="1"/>
  <c r="G64" i="3"/>
  <c r="H64" i="3" s="1"/>
  <c r="G68" i="3"/>
  <c r="H68" i="3" s="1"/>
  <c r="D105" i="3"/>
  <c r="G97" i="3"/>
  <c r="D107" i="3"/>
  <c r="H72" i="3" l="1"/>
  <c r="H73" i="3" s="1"/>
  <c r="H74" i="3"/>
  <c r="E161" i="3"/>
  <c r="F161" i="3" s="1"/>
  <c r="E144" i="3"/>
  <c r="F144" i="3" s="1"/>
  <c r="E111" i="3"/>
  <c r="F111" i="3" s="1"/>
  <c r="E113" i="3"/>
  <c r="F113" i="3" s="1"/>
  <c r="E130" i="3"/>
  <c r="F130" i="3" s="1"/>
  <c r="E114" i="3"/>
  <c r="F114" i="3" s="1"/>
  <c r="E149" i="3"/>
  <c r="F149" i="3" s="1"/>
  <c r="E128" i="3"/>
  <c r="F128" i="3" s="1"/>
  <c r="E166" i="3"/>
  <c r="F166" i="3" s="1"/>
  <c r="E129" i="3"/>
  <c r="F129" i="3" s="1"/>
  <c r="E146" i="3"/>
  <c r="F146" i="3" s="1"/>
  <c r="E147" i="3"/>
  <c r="F147" i="3" s="1"/>
  <c r="E131" i="3"/>
  <c r="F131" i="3" s="1"/>
  <c r="E110" i="3"/>
  <c r="F110" i="3" s="1"/>
  <c r="E148" i="3"/>
  <c r="F148" i="3" s="1"/>
  <c r="E132" i="3"/>
  <c r="F132" i="3" s="1"/>
  <c r="E145" i="3"/>
  <c r="F145" i="3" s="1"/>
  <c r="E112" i="3"/>
  <c r="F112" i="3" s="1"/>
  <c r="E162" i="3"/>
  <c r="F162" i="3" s="1"/>
  <c r="E163" i="3"/>
  <c r="F163" i="3" s="1"/>
  <c r="D106" i="3"/>
  <c r="E164" i="3"/>
  <c r="F164" i="3" s="1"/>
  <c r="E127" i="3"/>
  <c r="F127" i="3" s="1"/>
  <c r="E165" i="3"/>
  <c r="F165" i="3" s="1"/>
  <c r="E115" i="3"/>
  <c r="F115" i="3" s="1"/>
  <c r="G76" i="3" l="1"/>
  <c r="F134" i="3"/>
  <c r="G139" i="3" s="1"/>
  <c r="F136" i="3"/>
  <c r="F117" i="3"/>
  <c r="G122" i="3" s="1"/>
  <c r="F119" i="3"/>
  <c r="F153" i="3"/>
  <c r="F151" i="3"/>
  <c r="G156" i="3" s="1"/>
  <c r="F170" i="3"/>
  <c r="F168" i="3"/>
  <c r="G173" i="3" s="1"/>
  <c r="F118" i="3" l="1"/>
  <c r="F152" i="3"/>
  <c r="F135" i="3"/>
  <c r="F169" i="3"/>
</calcChain>
</file>

<file path=xl/sharedStrings.xml><?xml version="1.0" encoding="utf-8"?>
<sst xmlns="http://schemas.openxmlformats.org/spreadsheetml/2006/main" count="307" uniqueCount="123">
  <si>
    <t>HPLC System Suitability Report</t>
  </si>
  <si>
    <t>Analysis Data</t>
  </si>
  <si>
    <t>Sample(s)</t>
  </si>
  <si>
    <t>Reference Substance:</t>
  </si>
  <si>
    <t>CEFAKIND - 250 TABLETS</t>
  </si>
  <si>
    <t>% age Purity:</t>
  </si>
  <si>
    <t>NDQA201807018</t>
  </si>
  <si>
    <t>Weight (mg):</t>
  </si>
  <si>
    <t xml:space="preserve">Cefuroxime Axetil </t>
  </si>
  <si>
    <t>Standard Conc (mg/mL):</t>
  </si>
  <si>
    <t>Each film coated tablet contains Cefuroxime Axetil USP equivalent to Cefuroxime 250 mg.</t>
  </si>
  <si>
    <t>2018-07-09 08:17:48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</si>
  <si>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</si>
  <si>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</si>
  <si>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</si>
  <si>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</si>
  <si>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</si>
  <si>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</si>
  <si>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</si>
  <si>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</si>
  <si>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</si>
  <si>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</si>
  <si>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</si>
  <si>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</si>
  <si>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</si>
  <si>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</si>
  <si>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</si>
  <si>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</si>
  <si>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</si>
  <si>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</si>
  <si>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</si>
  <si>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</si>
  <si>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</si>
  <si>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</si>
  <si>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</si>
  <si>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</si>
  <si>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</si>
  <si>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</si>
  <si>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</si>
  <si>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</si>
  <si>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</si>
  <si>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</si>
  <si>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</si>
  <si>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</si>
  <si>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</si>
  <si>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</si>
  <si>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</si>
  <si>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</si>
  <si>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</si>
  <si>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</si>
  <si>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</si>
  <si>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</si>
  <si>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</si>
  <si>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</si>
  <si>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</si>
  <si>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</si>
  <si>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</si>
  <si>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</si>
  <si>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</si>
  <si>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</si>
  <si>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</si>
  <si>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</si>
  <si>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</si>
  <si>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</si>
  <si>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</si>
  <si>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</si>
  <si>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</si>
  <si>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</si>
  <si>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</si>
  <si>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</si>
  <si>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</si>
  <si>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</si>
  <si>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</si>
  <si>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</si>
  <si>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</si>
  <si>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</si>
  <si>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</si>
  <si>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</si>
  <si>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</si>
  <si>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</si>
  <si>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</si>
  <si>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</si>
  <si>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</si>
  <si>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</si>
  <si>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</si>
  <si>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</si>
  <si>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</si>
  <si>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</si>
  <si>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</si>
  <si>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</si>
  <si>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</si>
  <si>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</si>
  <si>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</si>
  <si>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</si>
  <si>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</si>
  <si>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</si>
  <si>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</si>
  <si>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</si>
  <si>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</si>
  <si>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</si>
  <si>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</si>
  <si>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</si>
  <si>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</si>
  <si>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</si>
  <si>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</si>
  <si>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</si>
  <si>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</si>
  <si>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</si>
  <si>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</si>
  <si>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</si>
  <si>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</si>
  <si>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</si>
  <si>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</si>
  <si>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</si>
  <si>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C3-7</t>
  </si>
  <si>
    <t>15 MINS</t>
  </si>
  <si>
    <t>45 MINS</t>
  </si>
  <si>
    <t>RUTTO  KENNEDY</t>
  </si>
  <si>
    <t>Assay(Cefuroxime Axetil Isomer A)</t>
  </si>
  <si>
    <t>Resolution</t>
  </si>
  <si>
    <r>
      <t xml:space="preserve">The Resolution between Cefuroxime Axetil Diastereoisomers  A &amp; B should be </t>
    </r>
    <r>
      <rPr>
        <b/>
        <sz val="12"/>
        <color rgb="FF000000"/>
        <rFont val="Book Antiqua"/>
        <family val="1"/>
      </rPr>
      <t>NLT 1.5</t>
    </r>
  </si>
  <si>
    <t>Assay(Cefuroxime Axetil Isomer B)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</si>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</sst>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%"/>
    <numFmt numFmtId="166" formatCode="0.0000"/>
    <numFmt numFmtId="167" formatCode="[$-409]d/mmm/yy;@"/>
    <numFmt numFmtId="168" formatCode="0.0000\ &quot;mg&quot;"/>
    <numFmt numFmtId="169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4" fillId="2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8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69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69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9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1" fillId="2" borderId="2" xfId="0" applyNumberFormat="1" applyFont="1" applyFill="1" applyBorder="1" applyAlignment="1">
      <alignment horizontal="right"/>
    </xf>
    <xf numFmtId="10" fontId="12" fillId="7" borderId="41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5" fontId="11" fillId="3" borderId="0" xfId="0" applyNumberFormat="1" applyFont="1" applyFill="1" applyAlignment="1" applyProtection="1">
      <alignment horizontal="left"/>
      <protection locked="0"/>
    </xf>
    <xf numFmtId="169" fontId="11" fillId="2" borderId="38" xfId="0" applyNumberFormat="1" applyFont="1" applyFill="1" applyBorder="1" applyAlignment="1">
      <alignment horizontal="center"/>
    </xf>
    <xf numFmtId="169" fontId="11" fillId="2" borderId="39" xfId="0" applyNumberFormat="1" applyFont="1" applyFill="1" applyBorder="1" applyAlignment="1">
      <alignment horizontal="center"/>
    </xf>
    <xf numFmtId="169" fontId="11" fillId="2" borderId="40" xfId="0" applyNumberFormat="1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69" fontId="11" fillId="2" borderId="48" xfId="0" applyNumberFormat="1" applyFont="1" applyFill="1" applyBorder="1" applyAlignment="1">
      <alignment horizontal="center"/>
    </xf>
    <xf numFmtId="169" fontId="11" fillId="2" borderId="49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9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50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2" fontId="21" fillId="3" borderId="0" xfId="0" applyNumberFormat="1" applyFont="1" applyFill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23" xfId="0" applyFont="1" applyFill="1" applyBorder="1" applyAlignment="1" applyProtection="1">
      <alignment horizontal="center"/>
      <protection locked="0"/>
    </xf>
    <xf numFmtId="0" fontId="21" fillId="3" borderId="55" xfId="0" applyFont="1" applyFill="1" applyBorder="1" applyAlignment="1" applyProtection="1">
      <alignment horizontal="center"/>
      <protection locked="0"/>
    </xf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9" xfId="0" applyFont="1" applyFill="1" applyBorder="1" applyAlignment="1" applyProtection="1">
      <alignment horizontal="center"/>
      <protection locked="0"/>
    </xf>
    <xf numFmtId="0" fontId="21" fillId="3" borderId="56" xfId="0" applyFont="1" applyFill="1" applyBorder="1" applyAlignment="1" applyProtection="1">
      <alignment horizontal="center"/>
      <protection locked="0"/>
    </xf>
    <xf numFmtId="0" fontId="21" fillId="3" borderId="16" xfId="0" applyFont="1" applyFill="1" applyBorder="1" applyAlignment="1" applyProtection="1">
      <alignment horizontal="center"/>
      <protection locked="0"/>
    </xf>
    <xf numFmtId="0" fontId="21" fillId="3" borderId="41" xfId="0" applyFont="1" applyFill="1" applyBorder="1" applyAlignment="1" applyProtection="1">
      <alignment horizontal="center"/>
      <protection locked="0"/>
    </xf>
    <xf numFmtId="0" fontId="21" fillId="3" borderId="21" xfId="0" applyFont="1" applyFill="1" applyBorder="1" applyAlignment="1" applyProtection="1">
      <alignment horizontal="center"/>
      <protection locked="0"/>
    </xf>
    <xf numFmtId="0" fontId="21" fillId="3" borderId="42" xfId="0" applyFont="1" applyFill="1" applyBorder="1" applyAlignment="1" applyProtection="1">
      <alignment horizontal="center"/>
      <protection locked="0"/>
    </xf>
    <xf numFmtId="10" fontId="21" fillId="7" borderId="28" xfId="0" applyNumberFormat="1" applyFont="1" applyFill="1" applyBorder="1" applyAlignment="1">
      <alignment horizontal="center"/>
    </xf>
    <xf numFmtId="10" fontId="21" fillId="6" borderId="57" xfId="0" applyNumberFormat="1" applyFont="1" applyFill="1" applyBorder="1" applyAlignment="1">
      <alignment horizontal="center"/>
    </xf>
    <xf numFmtId="0" fontId="21" fillId="7" borderId="58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69" fontId="21" fillId="3" borderId="29" xfId="0" applyNumberFormat="1" applyFont="1" applyFill="1" applyBorder="1" applyAlignment="1" applyProtection="1">
      <alignment horizontal="center"/>
      <protection locked="0"/>
    </xf>
    <xf numFmtId="1" fontId="21" fillId="3" borderId="39" xfId="0" applyNumberFormat="1" applyFont="1" applyFill="1" applyBorder="1" applyAlignment="1" applyProtection="1">
      <alignment horizontal="center"/>
      <protection locked="0"/>
    </xf>
    <xf numFmtId="1" fontId="21" fillId="3" borderId="40" xfId="0" applyNumberFormat="1" applyFont="1" applyFill="1" applyBorder="1" applyAlignment="1" applyProtection="1">
      <alignment horizontal="center"/>
      <protection locked="0"/>
    </xf>
    <xf numFmtId="10" fontId="21" fillId="7" borderId="41" xfId="0" applyNumberFormat="1" applyFont="1" applyFill="1" applyBorder="1" applyAlignment="1">
      <alignment horizontal="center"/>
    </xf>
    <xf numFmtId="10" fontId="21" fillId="6" borderId="41" xfId="0" applyNumberFormat="1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11" fillId="3" borderId="0" xfId="0" applyFont="1" applyFill="1"/>
    <xf numFmtId="0" fontId="21" fillId="3" borderId="0" xfId="0" applyFont="1" applyFill="1" applyAlignment="1" applyProtection="1">
      <alignment horizontal="left"/>
      <protection locked="0"/>
    </xf>
    <xf numFmtId="169" fontId="21" fillId="3" borderId="39" xfId="0" applyNumberFormat="1" applyFont="1" applyFill="1" applyBorder="1" applyAlignment="1" applyProtection="1">
      <alignment horizontal="center"/>
      <protection locked="0"/>
    </xf>
    <xf numFmtId="169" fontId="21" fillId="3" borderId="40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center" wrapText="1"/>
    </xf>
    <xf numFmtId="0" fontId="17" fillId="2" borderId="50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21" fillId="3" borderId="13" xfId="0" applyNumberFormat="1" applyFont="1" applyFill="1" applyBorder="1" applyAlignment="1" applyProtection="1">
      <alignment horizontal="center" vertical="center"/>
      <protection locked="0"/>
    </xf>
    <xf numFmtId="2" fontId="21" fillId="3" borderId="14" xfId="0" applyNumberFormat="1" applyFont="1" applyFill="1" applyBorder="1" applyAlignment="1" applyProtection="1">
      <alignment horizontal="center" vertical="center"/>
      <protection locked="0"/>
    </xf>
    <xf numFmtId="2" fontId="21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2" fillId="2" borderId="0" xfId="1" applyFont="1" applyFill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0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6" fillId="2" borderId="9" xfId="1" applyFont="1" applyFill="1" applyBorder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0" xfId="1" applyFont="1" applyFill="1" applyBorder="1"/>
    <xf numFmtId="0" fontId="1" fillId="2" borderId="11" xfId="1" applyFont="1" applyFill="1" applyBorder="1"/>
    <xf numFmtId="0" fontId="1" fillId="2" borderId="0" xfId="1" applyFont="1" applyFill="1" applyBorder="1"/>
    <xf numFmtId="0" fontId="2" fillId="2" borderId="11" xfId="1" applyFont="1" applyFill="1" applyBorder="1"/>
    <xf numFmtId="169" fontId="12" fillId="6" borderId="53" xfId="0" applyNumberFormat="1" applyFont="1" applyFill="1" applyBorder="1" applyAlignment="1">
      <alignment horizontal="center"/>
    </xf>
    <xf numFmtId="169" fontId="12" fillId="6" borderId="4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C18" sqref="C18"/>
    </sheetView>
  </sheetViews>
  <sheetFormatPr defaultRowHeight="13.5" x14ac:dyDescent="0.25"/>
  <cols>
    <col min="1" max="1" width="27.5703125" style="273" customWidth="1"/>
    <col min="2" max="2" width="20.42578125" style="273" customWidth="1"/>
    <col min="3" max="3" width="31.85546875" style="273" customWidth="1"/>
    <col min="4" max="4" width="25.85546875" style="273" customWidth="1"/>
    <col min="5" max="6" width="25.7109375" style="273" customWidth="1"/>
    <col min="7" max="7" width="23.140625" style="273" customWidth="1"/>
    <col min="8" max="8" width="28.42578125" style="273" customWidth="1"/>
    <col min="9" max="9" width="21.5703125" style="273" customWidth="1"/>
    <col min="10" max="10" width="9.140625" style="273" customWidth="1"/>
    <col min="11" max="16384" width="9.140625" style="314"/>
  </cols>
  <sheetData>
    <row r="14" spans="1:7" ht="15" customHeight="1" x14ac:dyDescent="0.3">
      <c r="A14" s="274"/>
      <c r="C14" s="275"/>
      <c r="G14" s="275"/>
    </row>
    <row r="15" spans="1:7" ht="18.75" customHeight="1" x14ac:dyDescent="0.3">
      <c r="A15" s="276" t="s">
        <v>0</v>
      </c>
      <c r="B15" s="276"/>
      <c r="C15" s="276"/>
      <c r="D15" s="276"/>
      <c r="E15" s="276"/>
      <c r="F15" s="277"/>
    </row>
    <row r="16" spans="1:7" ht="16.5" customHeight="1" x14ac:dyDescent="0.3">
      <c r="A16" s="278" t="s">
        <v>1</v>
      </c>
      <c r="B16" s="279" t="s">
        <v>118</v>
      </c>
    </row>
    <row r="17" spans="1:6" ht="16.5" customHeight="1" x14ac:dyDescent="0.3">
      <c r="A17" s="280" t="s">
        <v>2</v>
      </c>
      <c r="B17" s="3" t="s">
        <v>4</v>
      </c>
      <c r="D17" s="281"/>
      <c r="E17" s="282"/>
      <c r="F17" s="282"/>
    </row>
    <row r="18" spans="1:6" ht="16.5" customHeight="1" x14ac:dyDescent="0.3">
      <c r="A18" s="283" t="s">
        <v>3</v>
      </c>
      <c r="B18" s="284" t="s">
        <v>8</v>
      </c>
      <c r="C18" s="282"/>
      <c r="D18" s="282"/>
      <c r="E18" s="282"/>
      <c r="F18" s="282"/>
    </row>
    <row r="19" spans="1:6" ht="16.5" customHeight="1" x14ac:dyDescent="0.3">
      <c r="A19" s="283" t="s">
        <v>5</v>
      </c>
      <c r="B19" s="284">
        <v>82.3</v>
      </c>
      <c r="C19" s="282"/>
      <c r="D19" s="282"/>
      <c r="E19" s="282"/>
      <c r="F19" s="282"/>
    </row>
    <row r="20" spans="1:6" ht="16.5" customHeight="1" x14ac:dyDescent="0.3">
      <c r="A20" s="280" t="s">
        <v>7</v>
      </c>
      <c r="B20" s="284">
        <v>17.87</v>
      </c>
      <c r="C20" s="282"/>
      <c r="D20" s="282"/>
      <c r="E20" s="282"/>
      <c r="F20" s="282"/>
    </row>
    <row r="21" spans="1:6" ht="16.5" customHeight="1" x14ac:dyDescent="0.3">
      <c r="A21" s="280" t="s">
        <v>9</v>
      </c>
      <c r="B21" s="285">
        <f>B20/50</f>
        <v>0.3574</v>
      </c>
      <c r="C21" s="282"/>
      <c r="D21" s="282"/>
      <c r="E21" s="282"/>
      <c r="F21" s="282"/>
    </row>
    <row r="22" spans="1:6" ht="15.75" customHeight="1" x14ac:dyDescent="0.25">
      <c r="A22" s="282"/>
      <c r="B22" s="282"/>
      <c r="C22" s="282"/>
      <c r="D22" s="282"/>
      <c r="E22" s="282"/>
      <c r="F22" s="282"/>
    </row>
    <row r="23" spans="1:6" ht="16.5" customHeight="1" x14ac:dyDescent="0.3">
      <c r="A23" s="286" t="s">
        <v>12</v>
      </c>
      <c r="B23" s="287" t="s">
        <v>13</v>
      </c>
      <c r="C23" s="286" t="s">
        <v>14</v>
      </c>
      <c r="D23" s="286" t="s">
        <v>15</v>
      </c>
      <c r="E23" s="286" t="s">
        <v>16</v>
      </c>
      <c r="F23" s="286" t="s">
        <v>119</v>
      </c>
    </row>
    <row r="24" spans="1:6" ht="16.5" customHeight="1" x14ac:dyDescent="0.3">
      <c r="A24" s="288">
        <v>1</v>
      </c>
      <c r="B24" s="289">
        <v>61768972</v>
      </c>
      <c r="C24" s="289">
        <v>9988.27</v>
      </c>
      <c r="D24" s="290">
        <v>1.03</v>
      </c>
      <c r="E24" s="291">
        <v>16.07</v>
      </c>
      <c r="F24" s="292">
        <v>0</v>
      </c>
    </row>
    <row r="25" spans="1:6" ht="16.5" customHeight="1" x14ac:dyDescent="0.3">
      <c r="A25" s="288">
        <v>2</v>
      </c>
      <c r="B25" s="289">
        <v>61673857</v>
      </c>
      <c r="C25" s="289">
        <v>9956.3799999999992</v>
      </c>
      <c r="D25" s="290">
        <v>1.04</v>
      </c>
      <c r="E25" s="290">
        <v>16.07</v>
      </c>
      <c r="F25" s="292">
        <v>0</v>
      </c>
    </row>
    <row r="26" spans="1:6" ht="16.5" customHeight="1" x14ac:dyDescent="0.3">
      <c r="A26" s="288">
        <v>3</v>
      </c>
      <c r="B26" s="289">
        <v>61850261</v>
      </c>
      <c r="C26" s="289">
        <v>9978.74</v>
      </c>
      <c r="D26" s="290">
        <v>1.04</v>
      </c>
      <c r="E26" s="290">
        <v>16.079999999999998</v>
      </c>
      <c r="F26" s="292">
        <v>0</v>
      </c>
    </row>
    <row r="27" spans="1:6" ht="16.5" customHeight="1" x14ac:dyDescent="0.3">
      <c r="A27" s="288">
        <v>4</v>
      </c>
      <c r="B27" s="289">
        <v>61946250</v>
      </c>
      <c r="C27" s="289">
        <v>9946.9599999999991</v>
      </c>
      <c r="D27" s="290">
        <v>1.05</v>
      </c>
      <c r="E27" s="290">
        <v>16.09</v>
      </c>
      <c r="F27" s="292">
        <v>0</v>
      </c>
    </row>
    <row r="28" spans="1:6" ht="16.5" customHeight="1" x14ac:dyDescent="0.3">
      <c r="A28" s="288">
        <v>5</v>
      </c>
      <c r="B28" s="289">
        <v>61776097</v>
      </c>
      <c r="C28" s="289">
        <v>9921.32</v>
      </c>
      <c r="D28" s="290">
        <v>1.05</v>
      </c>
      <c r="E28" s="290">
        <v>16.09</v>
      </c>
      <c r="F28" s="292">
        <v>0</v>
      </c>
    </row>
    <row r="29" spans="1:6" ht="16.5" customHeight="1" x14ac:dyDescent="0.3">
      <c r="A29" s="288">
        <v>6</v>
      </c>
      <c r="B29" s="293">
        <v>61640376</v>
      </c>
      <c r="C29" s="293">
        <v>9916.94</v>
      </c>
      <c r="D29" s="294">
        <v>1.05</v>
      </c>
      <c r="E29" s="294">
        <v>16.09</v>
      </c>
      <c r="F29" s="292">
        <v>0</v>
      </c>
    </row>
    <row r="30" spans="1:6" ht="16.5" customHeight="1" x14ac:dyDescent="0.3">
      <c r="A30" s="295" t="s">
        <v>17</v>
      </c>
      <c r="B30" s="296">
        <f>AVERAGE(B24:B29)</f>
        <v>61775968.833333336</v>
      </c>
      <c r="C30" s="297">
        <f>AVERAGE(C24:C29)</f>
        <v>9951.4349999999995</v>
      </c>
      <c r="D30" s="298">
        <f>AVERAGE(D24:D29)</f>
        <v>1.0433333333333332</v>
      </c>
      <c r="E30" s="298">
        <f>AVERAGE(E24:E29)</f>
        <v>16.081666666666667</v>
      </c>
      <c r="F30" s="298">
        <f>AVERAGE(F24:F29)</f>
        <v>0</v>
      </c>
    </row>
    <row r="31" spans="1:6" ht="16.5" customHeight="1" x14ac:dyDescent="0.3">
      <c r="A31" s="299" t="s">
        <v>18</v>
      </c>
      <c r="B31" s="300">
        <f>(STDEV(B24:B29)/B30)</f>
        <v>1.8224624465196055E-3</v>
      </c>
      <c r="C31" s="301"/>
      <c r="D31" s="301"/>
      <c r="E31" s="302"/>
      <c r="F31" s="303"/>
    </row>
    <row r="32" spans="1:6" s="273" customFormat="1" ht="16.5" customHeight="1" x14ac:dyDescent="0.3">
      <c r="A32" s="304" t="s">
        <v>19</v>
      </c>
      <c r="B32" s="305">
        <f>COUNT(B24:B29)</f>
        <v>6</v>
      </c>
      <c r="C32" s="306"/>
      <c r="D32" s="307"/>
      <c r="E32" s="308"/>
      <c r="F32" s="308"/>
    </row>
    <row r="33" spans="1:6" s="273" customFormat="1" ht="15.75" customHeight="1" x14ac:dyDescent="0.25">
      <c r="A33" s="282"/>
      <c r="B33" s="282"/>
      <c r="C33" s="282"/>
      <c r="D33" s="282"/>
      <c r="E33" s="282"/>
      <c r="F33" s="282"/>
    </row>
    <row r="34" spans="1:6" s="273" customFormat="1" ht="16.5" customHeight="1" x14ac:dyDescent="0.3">
      <c r="A34" s="283" t="s">
        <v>20</v>
      </c>
      <c r="B34" s="309" t="s">
        <v>21</v>
      </c>
      <c r="C34" s="310"/>
      <c r="D34" s="310"/>
      <c r="E34" s="310"/>
      <c r="F34" s="310"/>
    </row>
    <row r="35" spans="1:6" ht="16.5" customHeight="1" x14ac:dyDescent="0.3">
      <c r="A35" s="283"/>
      <c r="B35" s="309" t="s">
        <v>22</v>
      </c>
      <c r="C35" s="310"/>
      <c r="D35" s="310"/>
      <c r="E35" s="310"/>
      <c r="F35" s="310"/>
    </row>
    <row r="36" spans="1:6" ht="16.5" customHeight="1" x14ac:dyDescent="0.3">
      <c r="A36" s="283"/>
      <c r="B36" s="309" t="s">
        <v>23</v>
      </c>
      <c r="C36" s="310"/>
      <c r="D36" s="310"/>
      <c r="E36" s="310"/>
      <c r="F36" s="310"/>
    </row>
    <row r="37" spans="1:6" ht="15.75" customHeight="1" thickBot="1" x14ac:dyDescent="0.35">
      <c r="A37" s="282"/>
      <c r="B37" s="311" t="s">
        <v>120</v>
      </c>
      <c r="C37" s="282"/>
      <c r="D37" s="282"/>
      <c r="E37" s="282"/>
      <c r="F37" s="282"/>
    </row>
    <row r="38" spans="1:6" ht="16.5" customHeight="1" x14ac:dyDescent="0.3">
      <c r="A38" s="278" t="s">
        <v>1</v>
      </c>
      <c r="B38" s="279" t="s">
        <v>121</v>
      </c>
    </row>
    <row r="39" spans="1:6" ht="16.5" customHeight="1" x14ac:dyDescent="0.3">
      <c r="A39" s="283" t="s">
        <v>3</v>
      </c>
      <c r="B39" s="284" t="s">
        <v>8</v>
      </c>
      <c r="C39" s="282"/>
      <c r="D39" s="282"/>
      <c r="E39" s="282"/>
      <c r="F39" s="282"/>
    </row>
    <row r="40" spans="1:6" ht="16.5" customHeight="1" x14ac:dyDescent="0.3">
      <c r="A40" s="283" t="s">
        <v>5</v>
      </c>
      <c r="B40" s="284">
        <v>82.3</v>
      </c>
      <c r="C40" s="282"/>
      <c r="D40" s="282"/>
      <c r="E40" s="282"/>
      <c r="F40" s="282"/>
    </row>
    <row r="41" spans="1:6" ht="16.5" customHeight="1" x14ac:dyDescent="0.3">
      <c r="A41" s="280" t="s">
        <v>7</v>
      </c>
      <c r="B41" s="284">
        <v>17.87</v>
      </c>
      <c r="C41" s="282"/>
      <c r="D41" s="282"/>
      <c r="E41" s="282"/>
      <c r="F41" s="282"/>
    </row>
    <row r="42" spans="1:6" ht="16.5" customHeight="1" x14ac:dyDescent="0.3">
      <c r="A42" s="280" t="s">
        <v>9</v>
      </c>
      <c r="B42" s="285">
        <f>B41/50</f>
        <v>0.3574</v>
      </c>
      <c r="C42" s="282"/>
      <c r="D42" s="282"/>
      <c r="E42" s="282"/>
      <c r="F42" s="282"/>
    </row>
    <row r="43" spans="1:6" ht="15.75" customHeight="1" x14ac:dyDescent="0.25">
      <c r="A43" s="282"/>
      <c r="B43" s="282"/>
      <c r="C43" s="282"/>
      <c r="D43" s="282"/>
      <c r="E43" s="282"/>
      <c r="F43" s="282"/>
    </row>
    <row r="44" spans="1:6" ht="16.5" customHeight="1" x14ac:dyDescent="0.3">
      <c r="A44" s="286" t="s">
        <v>12</v>
      </c>
      <c r="B44" s="287" t="s">
        <v>13</v>
      </c>
      <c r="C44" s="286" t="s">
        <v>14</v>
      </c>
      <c r="D44" s="286" t="s">
        <v>15</v>
      </c>
      <c r="E44" s="286" t="s">
        <v>16</v>
      </c>
      <c r="F44" s="286" t="s">
        <v>119</v>
      </c>
    </row>
    <row r="45" spans="1:6" ht="16.5" customHeight="1" x14ac:dyDescent="0.3">
      <c r="A45" s="288">
        <v>1</v>
      </c>
      <c r="B45" s="289">
        <v>64446648</v>
      </c>
      <c r="C45" s="289">
        <v>9526.31</v>
      </c>
      <c r="D45" s="290">
        <v>1.03</v>
      </c>
      <c r="E45" s="291">
        <v>18.28</v>
      </c>
      <c r="F45" s="292">
        <v>3.18</v>
      </c>
    </row>
    <row r="46" spans="1:6" ht="16.5" customHeight="1" x14ac:dyDescent="0.3">
      <c r="A46" s="288">
        <v>2</v>
      </c>
      <c r="B46" s="289">
        <v>64388350</v>
      </c>
      <c r="C46" s="289">
        <v>9509.9699999999993</v>
      </c>
      <c r="D46" s="290">
        <v>1.03</v>
      </c>
      <c r="E46" s="290">
        <v>18.29</v>
      </c>
      <c r="F46" s="292">
        <v>3.18</v>
      </c>
    </row>
    <row r="47" spans="1:6" ht="16.5" customHeight="1" x14ac:dyDescent="0.3">
      <c r="A47" s="288">
        <v>3</v>
      </c>
      <c r="B47" s="289">
        <v>64584414</v>
      </c>
      <c r="C47" s="289">
        <v>9484.23</v>
      </c>
      <c r="D47" s="290">
        <v>1.03</v>
      </c>
      <c r="E47" s="290">
        <v>18.3</v>
      </c>
      <c r="F47" s="292">
        <v>3.18</v>
      </c>
    </row>
    <row r="48" spans="1:6" ht="16.5" customHeight="1" x14ac:dyDescent="0.3">
      <c r="A48" s="288">
        <v>4</v>
      </c>
      <c r="B48" s="289">
        <v>64668879</v>
      </c>
      <c r="C48" s="289">
        <v>9499.7999999999993</v>
      </c>
      <c r="D48" s="290">
        <v>1.04</v>
      </c>
      <c r="E48" s="290">
        <v>18.309999999999999</v>
      </c>
      <c r="F48" s="292">
        <v>3.18</v>
      </c>
    </row>
    <row r="49" spans="1:8" ht="16.5" customHeight="1" x14ac:dyDescent="0.3">
      <c r="A49" s="288">
        <v>5</v>
      </c>
      <c r="B49" s="289">
        <v>64480771</v>
      </c>
      <c r="C49" s="289">
        <v>9468.5499999999993</v>
      </c>
      <c r="D49" s="290">
        <v>1.03</v>
      </c>
      <c r="E49" s="290">
        <v>18.309999999999999</v>
      </c>
      <c r="F49" s="292">
        <v>3.18</v>
      </c>
    </row>
    <row r="50" spans="1:8" ht="16.5" customHeight="1" x14ac:dyDescent="0.3">
      <c r="A50" s="288">
        <v>6</v>
      </c>
      <c r="B50" s="293">
        <v>64347591</v>
      </c>
      <c r="C50" s="293">
        <v>9456.59</v>
      </c>
      <c r="D50" s="294">
        <v>1.04</v>
      </c>
      <c r="E50" s="294">
        <v>18.32</v>
      </c>
      <c r="F50" s="292">
        <v>3.18</v>
      </c>
    </row>
    <row r="51" spans="1:8" ht="16.5" customHeight="1" x14ac:dyDescent="0.3">
      <c r="A51" s="295" t="s">
        <v>17</v>
      </c>
      <c r="B51" s="296">
        <f>AVERAGE(B45:B50)</f>
        <v>64486108.833333336</v>
      </c>
      <c r="C51" s="297">
        <f>AVERAGE(C45:C50)</f>
        <v>9490.9083333333328</v>
      </c>
      <c r="D51" s="298">
        <f>AVERAGE(D45:D50)</f>
        <v>1.0333333333333334</v>
      </c>
      <c r="E51" s="298">
        <f>AVERAGE(E45:E50)</f>
        <v>18.301666666666666</v>
      </c>
      <c r="F51" s="298">
        <f>AVERAGE(F45:F50)</f>
        <v>3.18</v>
      </c>
    </row>
    <row r="52" spans="1:8" ht="16.5" customHeight="1" x14ac:dyDescent="0.3">
      <c r="A52" s="299" t="s">
        <v>18</v>
      </c>
      <c r="B52" s="300">
        <f>(STDEV(B45:B50)/B51)</f>
        <v>1.878850941747854E-3</v>
      </c>
      <c r="C52" s="301"/>
      <c r="D52" s="301"/>
      <c r="E52" s="302"/>
      <c r="F52" s="303"/>
    </row>
    <row r="53" spans="1:8" s="273" customFormat="1" ht="16.5" customHeight="1" x14ac:dyDescent="0.3">
      <c r="A53" s="304" t="s">
        <v>19</v>
      </c>
      <c r="B53" s="305">
        <f>COUNT(B45:B50)</f>
        <v>6</v>
      </c>
      <c r="C53" s="306"/>
      <c r="D53" s="307"/>
      <c r="E53" s="308"/>
      <c r="F53" s="308"/>
    </row>
    <row r="54" spans="1:8" s="273" customFormat="1" ht="15.75" customHeight="1" x14ac:dyDescent="0.25">
      <c r="A54" s="282"/>
      <c r="B54" s="282"/>
      <c r="C54" s="282"/>
      <c r="D54" s="282"/>
      <c r="E54" s="282"/>
      <c r="F54" s="282"/>
    </row>
    <row r="55" spans="1:8" s="273" customFormat="1" ht="16.5" customHeight="1" x14ac:dyDescent="0.3">
      <c r="A55" s="283" t="s">
        <v>20</v>
      </c>
      <c r="B55" s="309" t="s">
        <v>21</v>
      </c>
      <c r="C55" s="310"/>
      <c r="D55" s="310"/>
      <c r="E55" s="310"/>
      <c r="F55" s="310"/>
    </row>
    <row r="56" spans="1:8" ht="16.5" customHeight="1" x14ac:dyDescent="0.3">
      <c r="A56" s="283"/>
      <c r="B56" s="309" t="s">
        <v>22</v>
      </c>
      <c r="C56" s="310"/>
      <c r="D56" s="310"/>
      <c r="E56" s="310"/>
      <c r="F56" s="310"/>
    </row>
    <row r="57" spans="1:8" ht="16.5" customHeight="1" x14ac:dyDescent="0.3">
      <c r="A57" s="283"/>
      <c r="B57" s="309" t="s">
        <v>23</v>
      </c>
      <c r="C57" s="310"/>
      <c r="D57" s="310"/>
      <c r="E57" s="310"/>
      <c r="F57" s="310"/>
    </row>
    <row r="58" spans="1:8" ht="14.25" customHeight="1" thickBot="1" x14ac:dyDescent="0.35">
      <c r="A58" s="312"/>
      <c r="B58" s="311" t="s">
        <v>120</v>
      </c>
      <c r="D58" s="313"/>
      <c r="G58" s="314"/>
      <c r="H58" s="314"/>
    </row>
    <row r="59" spans="1:8" ht="15" customHeight="1" x14ac:dyDescent="0.3">
      <c r="B59" s="315" t="s">
        <v>24</v>
      </c>
      <c r="C59" s="315"/>
      <c r="E59" s="316" t="s">
        <v>25</v>
      </c>
      <c r="F59" s="316"/>
      <c r="G59" s="317"/>
      <c r="H59" s="316" t="s">
        <v>26</v>
      </c>
    </row>
    <row r="60" spans="1:8" ht="15" customHeight="1" x14ac:dyDescent="0.3">
      <c r="A60" s="318" t="s">
        <v>27</v>
      </c>
      <c r="B60" s="319" t="s">
        <v>122</v>
      </c>
      <c r="C60" s="319"/>
      <c r="E60" s="319"/>
      <c r="F60" s="320"/>
      <c r="H60" s="319"/>
    </row>
    <row r="61" spans="1:8" ht="15" customHeight="1" x14ac:dyDescent="0.3">
      <c r="A61" s="318" t="s">
        <v>28</v>
      </c>
      <c r="B61" s="321"/>
      <c r="C61" s="321"/>
      <c r="E61" s="321"/>
      <c r="F61" s="322"/>
      <c r="H61" s="32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2" sqref="C2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4" t="s">
        <v>29</v>
      </c>
      <c r="B11" s="235"/>
      <c r="C11" s="235"/>
      <c r="D11" s="235"/>
      <c r="E11" s="235"/>
      <c r="F11" s="236"/>
      <c r="G11" s="44"/>
    </row>
    <row r="12" spans="1:7" ht="16.5" customHeight="1" x14ac:dyDescent="0.3">
      <c r="A12" s="233" t="s">
        <v>30</v>
      </c>
      <c r="B12" s="233"/>
      <c r="C12" s="233"/>
      <c r="D12" s="233"/>
      <c r="E12" s="233"/>
      <c r="F12" s="233"/>
      <c r="G12" s="43"/>
    </row>
    <row r="14" spans="1:7" ht="16.5" customHeight="1" x14ac:dyDescent="0.3">
      <c r="A14" s="238" t="s">
        <v>31</v>
      </c>
      <c r="B14" s="238"/>
      <c r="C14" s="13" t="s">
        <v>4</v>
      </c>
    </row>
    <row r="15" spans="1:7" ht="16.5" customHeight="1" x14ac:dyDescent="0.3">
      <c r="A15" s="238" t="s">
        <v>32</v>
      </c>
      <c r="B15" s="238"/>
      <c r="C15" s="13" t="s">
        <v>6</v>
      </c>
    </row>
    <row r="16" spans="1:7" ht="16.5" customHeight="1" x14ac:dyDescent="0.3">
      <c r="A16" s="238" t="s">
        <v>33</v>
      </c>
      <c r="B16" s="238"/>
      <c r="C16" s="13" t="s">
        <v>8</v>
      </c>
    </row>
    <row r="17" spans="1:5" ht="16.5" customHeight="1" x14ac:dyDescent="0.3">
      <c r="A17" s="238" t="s">
        <v>34</v>
      </c>
      <c r="B17" s="238"/>
      <c r="C17" s="13" t="s">
        <v>10</v>
      </c>
    </row>
    <row r="18" spans="1:5" ht="16.5" customHeight="1" x14ac:dyDescent="0.3">
      <c r="A18" s="238" t="s">
        <v>35</v>
      </c>
      <c r="B18" s="238"/>
      <c r="C18" s="50" t="s">
        <v>11</v>
      </c>
    </row>
    <row r="19" spans="1:5" ht="16.5" customHeight="1" x14ac:dyDescent="0.3">
      <c r="A19" s="238" t="s">
        <v>36</v>
      </c>
      <c r="B19" s="238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233" t="s">
        <v>1</v>
      </c>
      <c r="B21" s="233"/>
      <c r="C21" s="12" t="s">
        <v>37</v>
      </c>
      <c r="D21" s="19"/>
    </row>
    <row r="22" spans="1:5" ht="15.75" customHeight="1" x14ac:dyDescent="0.3">
      <c r="A22" s="237"/>
      <c r="B22" s="237"/>
      <c r="C22" s="10"/>
      <c r="D22" s="237"/>
      <c r="E22" s="237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619.78</v>
      </c>
      <c r="D24" s="40">
        <f t="shared" ref="D24:D43" si="0">(C24-$C$46)/$C$46</f>
        <v>3.7426980139892395E-3</v>
      </c>
      <c r="E24" s="6"/>
    </row>
    <row r="25" spans="1:5" ht="15.75" customHeight="1" x14ac:dyDescent="0.3">
      <c r="C25" s="48">
        <v>616.87</v>
      </c>
      <c r="D25" s="41">
        <f t="shared" si="0"/>
        <v>-9.7008918666369702E-4</v>
      </c>
      <c r="E25" s="6"/>
    </row>
    <row r="26" spans="1:5" ht="15.75" customHeight="1" x14ac:dyDescent="0.3">
      <c r="C26" s="48">
        <v>616.92999999999995</v>
      </c>
      <c r="D26" s="41">
        <f t="shared" si="0"/>
        <v>-8.7291831654722895E-4</v>
      </c>
      <c r="E26" s="6"/>
    </row>
    <row r="27" spans="1:5" ht="15.75" customHeight="1" x14ac:dyDescent="0.3">
      <c r="C27" s="48">
        <v>613.53</v>
      </c>
      <c r="D27" s="41">
        <f t="shared" si="0"/>
        <v>-6.3792676231520578E-3</v>
      </c>
      <c r="E27" s="6"/>
    </row>
    <row r="28" spans="1:5" ht="15.75" customHeight="1" x14ac:dyDescent="0.3">
      <c r="C28" s="48">
        <v>631.69000000000005</v>
      </c>
      <c r="D28" s="41">
        <f t="shared" si="0"/>
        <v>2.3031115732125827E-2</v>
      </c>
      <c r="E28" s="6"/>
    </row>
    <row r="29" spans="1:5" ht="15.75" customHeight="1" x14ac:dyDescent="0.3">
      <c r="C29" s="48">
        <v>603.66</v>
      </c>
      <c r="D29" s="41">
        <f t="shared" si="0"/>
        <v>-2.23638757573256E-2</v>
      </c>
      <c r="E29" s="6"/>
    </row>
    <row r="30" spans="1:5" ht="15.75" customHeight="1" x14ac:dyDescent="0.3">
      <c r="C30" s="48">
        <v>607.76</v>
      </c>
      <c r="D30" s="41">
        <f t="shared" si="0"/>
        <v>-1.5723866299360872E-2</v>
      </c>
      <c r="E30" s="6"/>
    </row>
    <row r="31" spans="1:5" ht="15.75" customHeight="1" x14ac:dyDescent="0.3">
      <c r="C31" s="48">
        <v>629.66999999999996</v>
      </c>
      <c r="D31" s="41">
        <f t="shared" si="0"/>
        <v>1.9759696438201607E-2</v>
      </c>
      <c r="E31" s="6"/>
    </row>
    <row r="32" spans="1:5" ht="15.75" customHeight="1" x14ac:dyDescent="0.3">
      <c r="C32" s="48">
        <v>617.42999999999995</v>
      </c>
      <c r="D32" s="41">
        <f t="shared" si="0"/>
        <v>-6.3161065575925184E-5</v>
      </c>
      <c r="E32" s="6"/>
    </row>
    <row r="33" spans="1:7" ht="15.75" customHeight="1" x14ac:dyDescent="0.3">
      <c r="C33" s="48">
        <v>623.99</v>
      </c>
      <c r="D33" s="41">
        <f t="shared" si="0"/>
        <v>1.0560854067167676E-2</v>
      </c>
      <c r="E33" s="6"/>
    </row>
    <row r="34" spans="1:7" ht="15.75" customHeight="1" x14ac:dyDescent="0.3">
      <c r="C34" s="48">
        <v>618.44000000000005</v>
      </c>
      <c r="D34" s="41">
        <f t="shared" si="0"/>
        <v>1.5725485813862779E-3</v>
      </c>
      <c r="E34" s="6"/>
    </row>
    <row r="35" spans="1:7" ht="15.75" customHeight="1" x14ac:dyDescent="0.3">
      <c r="C35" s="48">
        <v>618.77</v>
      </c>
      <c r="D35" s="41">
        <f t="shared" si="0"/>
        <v>2.1069883670272204E-3</v>
      </c>
      <c r="E35" s="6"/>
    </row>
    <row r="36" spans="1:7" ht="15.75" customHeight="1" x14ac:dyDescent="0.3">
      <c r="C36" s="48">
        <v>620.16999999999996</v>
      </c>
      <c r="D36" s="41">
        <f t="shared" si="0"/>
        <v>4.3743086697468339E-3</v>
      </c>
      <c r="E36" s="6"/>
    </row>
    <row r="37" spans="1:7" ht="15.75" customHeight="1" x14ac:dyDescent="0.3">
      <c r="C37" s="48">
        <v>614.79</v>
      </c>
      <c r="D37" s="41">
        <f t="shared" si="0"/>
        <v>-4.3386793507043872E-3</v>
      </c>
      <c r="E37" s="6"/>
    </row>
    <row r="38" spans="1:7" ht="15.75" customHeight="1" x14ac:dyDescent="0.3">
      <c r="C38" s="48">
        <v>614.19000000000005</v>
      </c>
      <c r="D38" s="41">
        <f t="shared" si="0"/>
        <v>-5.3103880518698045E-3</v>
      </c>
      <c r="E38" s="6"/>
    </row>
    <row r="39" spans="1:7" ht="15.75" customHeight="1" x14ac:dyDescent="0.3">
      <c r="C39" s="48">
        <v>617.91</v>
      </c>
      <c r="D39" s="41">
        <f t="shared" si="0"/>
        <v>7.1420589535655592E-4</v>
      </c>
      <c r="E39" s="6"/>
    </row>
    <row r="40" spans="1:7" ht="15.75" customHeight="1" x14ac:dyDescent="0.3">
      <c r="C40" s="48">
        <v>605.87</v>
      </c>
      <c r="D40" s="41">
        <f t="shared" si="0"/>
        <v>-1.878474870803238E-2</v>
      </c>
      <c r="E40" s="6"/>
    </row>
    <row r="41" spans="1:7" ht="15.75" customHeight="1" x14ac:dyDescent="0.3">
      <c r="C41" s="48">
        <v>619.94000000000005</v>
      </c>
      <c r="D41" s="41">
        <f t="shared" si="0"/>
        <v>4.0018203343001888E-3</v>
      </c>
      <c r="E41" s="6"/>
    </row>
    <row r="42" spans="1:7" ht="15.75" customHeight="1" x14ac:dyDescent="0.3">
      <c r="C42" s="48">
        <v>608.59</v>
      </c>
      <c r="D42" s="41">
        <f t="shared" si="0"/>
        <v>-1.4379669262748442E-2</v>
      </c>
      <c r="E42" s="6"/>
    </row>
    <row r="43" spans="1:7" ht="16.5" customHeight="1" x14ac:dyDescent="0.3">
      <c r="C43" s="49">
        <v>629.4</v>
      </c>
      <c r="D43" s="42">
        <f t="shared" si="0"/>
        <v>1.932242752267713E-2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12349.380000000001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617.46900000000005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231">
        <f>C46</f>
        <v>617.46900000000005</v>
      </c>
      <c r="C49" s="46">
        <f>-IF(C46&lt;=80,10%,IF(C46&lt;250,7.5%,5%))</f>
        <v>-0.05</v>
      </c>
      <c r="D49" s="34">
        <f>IF(C46&lt;=80,C46*0.9,IF(C46&lt;250,C46*0.925,C46*0.95))</f>
        <v>586.59555</v>
      </c>
    </row>
    <row r="50" spans="1:6" ht="17.25" customHeight="1" x14ac:dyDescent="0.3">
      <c r="B50" s="232"/>
      <c r="C50" s="47">
        <f>IF(C46&lt;=80, 10%, IF(C46&lt;250, 7.5%, 5%))</f>
        <v>0.05</v>
      </c>
      <c r="D50" s="34">
        <f>IF(C46&lt;=80, C46*1.1, IF(C46&lt;250, C46*1.075, C46*1.05))</f>
        <v>648.3424500000001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activeCell="E37" sqref="E3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3" t="s">
        <v>43</v>
      </c>
      <c r="B1" s="263"/>
      <c r="C1" s="263"/>
      <c r="D1" s="263"/>
      <c r="E1" s="263"/>
      <c r="F1" s="263"/>
      <c r="G1" s="263"/>
      <c r="H1" s="263"/>
    </row>
    <row r="2" spans="1:8" x14ac:dyDescent="0.25">
      <c r="A2" s="263"/>
      <c r="B2" s="263"/>
      <c r="C2" s="263"/>
      <c r="D2" s="263"/>
      <c r="E2" s="263"/>
      <c r="F2" s="263"/>
      <c r="G2" s="263"/>
      <c r="H2" s="263"/>
    </row>
    <row r="3" spans="1:8" x14ac:dyDescent="0.25">
      <c r="A3" s="263"/>
      <c r="B3" s="263"/>
      <c r="C3" s="263"/>
      <c r="D3" s="263"/>
      <c r="E3" s="263"/>
      <c r="F3" s="263"/>
      <c r="G3" s="263"/>
      <c r="H3" s="263"/>
    </row>
    <row r="4" spans="1:8" x14ac:dyDescent="0.25">
      <c r="A4" s="263"/>
      <c r="B4" s="263"/>
      <c r="C4" s="263"/>
      <c r="D4" s="263"/>
      <c r="E4" s="263"/>
      <c r="F4" s="263"/>
      <c r="G4" s="263"/>
      <c r="H4" s="263"/>
    </row>
    <row r="5" spans="1:8" x14ac:dyDescent="0.25">
      <c r="A5" s="263"/>
      <c r="B5" s="263"/>
      <c r="C5" s="263"/>
      <c r="D5" s="263"/>
      <c r="E5" s="263"/>
      <c r="F5" s="263"/>
      <c r="G5" s="263"/>
      <c r="H5" s="263"/>
    </row>
    <row r="6" spans="1:8" x14ac:dyDescent="0.25">
      <c r="A6" s="263"/>
      <c r="B6" s="263"/>
      <c r="C6" s="263"/>
      <c r="D6" s="263"/>
      <c r="E6" s="263"/>
      <c r="F6" s="263"/>
      <c r="G6" s="263"/>
      <c r="H6" s="263"/>
    </row>
    <row r="7" spans="1:8" x14ac:dyDescent="0.25">
      <c r="A7" s="263"/>
      <c r="B7" s="263"/>
      <c r="C7" s="263"/>
      <c r="D7" s="263"/>
      <c r="E7" s="263"/>
      <c r="F7" s="263"/>
      <c r="G7" s="263"/>
      <c r="H7" s="263"/>
    </row>
    <row r="8" spans="1:8" x14ac:dyDescent="0.25">
      <c r="A8" s="264" t="s">
        <v>44</v>
      </c>
      <c r="B8" s="264"/>
      <c r="C8" s="264"/>
      <c r="D8" s="264"/>
      <c r="E8" s="264"/>
      <c r="F8" s="264"/>
      <c r="G8" s="264"/>
      <c r="H8" s="264"/>
    </row>
    <row r="9" spans="1:8" x14ac:dyDescent="0.25">
      <c r="A9" s="264"/>
      <c r="B9" s="264"/>
      <c r="C9" s="264"/>
      <c r="D9" s="264"/>
      <c r="E9" s="264"/>
      <c r="F9" s="264"/>
      <c r="G9" s="264"/>
      <c r="H9" s="264"/>
    </row>
    <row r="10" spans="1:8" x14ac:dyDescent="0.25">
      <c r="A10" s="264"/>
      <c r="B10" s="264"/>
      <c r="C10" s="264"/>
      <c r="D10" s="264"/>
      <c r="E10" s="264"/>
      <c r="F10" s="264"/>
      <c r="G10" s="264"/>
      <c r="H10" s="264"/>
    </row>
    <row r="11" spans="1:8" x14ac:dyDescent="0.25">
      <c r="A11" s="264"/>
      <c r="B11" s="264"/>
      <c r="C11" s="264"/>
      <c r="D11" s="264"/>
      <c r="E11" s="264"/>
      <c r="F11" s="264"/>
      <c r="G11" s="264"/>
      <c r="H11" s="264"/>
    </row>
    <row r="12" spans="1:8" x14ac:dyDescent="0.25">
      <c r="A12" s="264"/>
      <c r="B12" s="264"/>
      <c r="C12" s="264"/>
      <c r="D12" s="264"/>
      <c r="E12" s="264"/>
      <c r="F12" s="264"/>
      <c r="G12" s="264"/>
      <c r="H12" s="264"/>
    </row>
    <row r="13" spans="1:8" x14ac:dyDescent="0.25">
      <c r="A13" s="264"/>
      <c r="B13" s="264"/>
      <c r="C13" s="264"/>
      <c r="D13" s="264"/>
      <c r="E13" s="264"/>
      <c r="F13" s="264"/>
      <c r="G13" s="264"/>
      <c r="H13" s="264"/>
    </row>
    <row r="14" spans="1:8" x14ac:dyDescent="0.25">
      <c r="A14" s="264"/>
      <c r="B14" s="264"/>
      <c r="C14" s="264"/>
      <c r="D14" s="264"/>
      <c r="E14" s="264"/>
      <c r="F14" s="264"/>
      <c r="G14" s="264"/>
      <c r="H14" s="264"/>
    </row>
    <row r="15" spans="1:8" ht="19.5" customHeight="1" x14ac:dyDescent="0.25"/>
    <row r="16" spans="1:8" ht="19.5" customHeight="1" x14ac:dyDescent="0.25">
      <c r="A16" s="265" t="s">
        <v>29</v>
      </c>
      <c r="B16" s="266"/>
      <c r="C16" s="266"/>
      <c r="D16" s="266"/>
      <c r="E16" s="266"/>
      <c r="F16" s="266"/>
      <c r="G16" s="266"/>
      <c r="H16" s="267"/>
    </row>
    <row r="17" spans="1:14" ht="18.75" x14ac:dyDescent="0.3">
      <c r="A17" s="51" t="s">
        <v>45</v>
      </c>
      <c r="B17" s="51"/>
    </row>
    <row r="18" spans="1:14" ht="18.75" x14ac:dyDescent="0.3">
      <c r="A18" s="53" t="s">
        <v>31</v>
      </c>
      <c r="B18" s="271" t="s">
        <v>4</v>
      </c>
      <c r="C18" s="271"/>
      <c r="D18" s="145"/>
      <c r="E18" s="145"/>
    </row>
    <row r="19" spans="1:14" ht="18.75" x14ac:dyDescent="0.3">
      <c r="A19" s="53" t="s">
        <v>32</v>
      </c>
      <c r="B19" s="146" t="s">
        <v>6</v>
      </c>
      <c r="C19" s="52">
        <v>24</v>
      </c>
    </row>
    <row r="20" spans="1:14" ht="18.75" x14ac:dyDescent="0.3">
      <c r="A20" s="53" t="s">
        <v>33</v>
      </c>
      <c r="B20" s="146" t="s">
        <v>8</v>
      </c>
    </row>
    <row r="21" spans="1:14" ht="18.75" x14ac:dyDescent="0.3">
      <c r="A21" s="53" t="s">
        <v>34</v>
      </c>
      <c r="B21" s="171" t="s">
        <v>10</v>
      </c>
      <c r="C21" s="171"/>
      <c r="D21" s="171"/>
      <c r="E21" s="171"/>
      <c r="F21" s="171"/>
      <c r="G21" s="171"/>
      <c r="H21" s="171"/>
      <c r="I21" s="171"/>
    </row>
    <row r="22" spans="1:14" ht="18.75" x14ac:dyDescent="0.3">
      <c r="A22" s="53" t="s">
        <v>35</v>
      </c>
      <c r="B22" s="147">
        <v>43301</v>
      </c>
    </row>
    <row r="23" spans="1:14" ht="18.75" x14ac:dyDescent="0.3">
      <c r="A23" s="53" t="s">
        <v>36</v>
      </c>
      <c r="B23" s="147">
        <v>43304</v>
      </c>
    </row>
    <row r="24" spans="1:14" ht="18.75" x14ac:dyDescent="0.3">
      <c r="A24" s="53"/>
      <c r="B24" s="56"/>
    </row>
    <row r="25" spans="1:14" ht="18.75" x14ac:dyDescent="0.3">
      <c r="A25" s="57" t="s">
        <v>1</v>
      </c>
      <c r="B25" s="56"/>
    </row>
    <row r="26" spans="1:14" ht="26.25" customHeight="1" x14ac:dyDescent="0.4">
      <c r="A26" s="58" t="s">
        <v>3</v>
      </c>
      <c r="B26" s="228" t="s">
        <v>8</v>
      </c>
      <c r="C26" s="227"/>
    </row>
    <row r="27" spans="1:14" ht="26.25" customHeight="1" x14ac:dyDescent="0.4">
      <c r="A27" s="60" t="s">
        <v>46</v>
      </c>
      <c r="B27" s="203" t="s">
        <v>114</v>
      </c>
    </row>
    <row r="28" spans="1:14" ht="27" customHeight="1" x14ac:dyDescent="0.4">
      <c r="A28" s="60" t="s">
        <v>5</v>
      </c>
      <c r="B28" s="204">
        <v>82.3</v>
      </c>
    </row>
    <row r="29" spans="1:14" s="4" customFormat="1" ht="27" customHeight="1" x14ac:dyDescent="0.4">
      <c r="A29" s="60" t="s">
        <v>47</v>
      </c>
      <c r="B29" s="203">
        <v>1.5</v>
      </c>
      <c r="C29" s="249" t="s">
        <v>48</v>
      </c>
      <c r="D29" s="250"/>
      <c r="E29" s="250"/>
      <c r="F29" s="250"/>
      <c r="G29" s="251"/>
      <c r="I29" s="62"/>
      <c r="J29" s="62"/>
      <c r="K29" s="62"/>
      <c r="L29" s="62"/>
    </row>
    <row r="30" spans="1:14" s="4" customFormat="1" ht="19.5" customHeight="1" x14ac:dyDescent="0.3">
      <c r="A30" s="60" t="s">
        <v>49</v>
      </c>
      <c r="B30" s="59">
        <f>B28-B29</f>
        <v>80.8</v>
      </c>
      <c r="C30" s="63"/>
      <c r="D30" s="63"/>
      <c r="E30" s="63"/>
      <c r="F30" s="63"/>
      <c r="G30" s="64"/>
      <c r="I30" s="62"/>
      <c r="J30" s="62"/>
      <c r="K30" s="62"/>
      <c r="L30" s="62"/>
    </row>
    <row r="31" spans="1:14" s="4" customFormat="1" ht="27" customHeight="1" x14ac:dyDescent="0.4">
      <c r="A31" s="60" t="s">
        <v>50</v>
      </c>
      <c r="B31" s="205">
        <v>1</v>
      </c>
      <c r="C31" s="268" t="s">
        <v>51</v>
      </c>
      <c r="D31" s="269"/>
      <c r="E31" s="269"/>
      <c r="F31" s="269"/>
      <c r="G31" s="269"/>
      <c r="H31" s="270"/>
      <c r="I31" s="62"/>
      <c r="J31" s="62"/>
      <c r="K31" s="62"/>
      <c r="L31" s="62"/>
    </row>
    <row r="32" spans="1:14" s="4" customFormat="1" ht="27" customHeight="1" x14ac:dyDescent="0.4">
      <c r="A32" s="60" t="s">
        <v>52</v>
      </c>
      <c r="B32" s="205">
        <v>1</v>
      </c>
      <c r="C32" s="268" t="s">
        <v>53</v>
      </c>
      <c r="D32" s="269"/>
      <c r="E32" s="269"/>
      <c r="F32" s="269"/>
      <c r="G32" s="269"/>
      <c r="H32" s="270"/>
      <c r="I32" s="62"/>
      <c r="J32" s="62"/>
      <c r="K32" s="62"/>
      <c r="L32" s="66"/>
      <c r="M32" s="66"/>
      <c r="N32" s="67"/>
    </row>
    <row r="33" spans="1:14" s="4" customFormat="1" ht="17.25" customHeight="1" x14ac:dyDescent="0.3">
      <c r="A33" s="60"/>
      <c r="B33" s="65"/>
      <c r="C33" s="68"/>
      <c r="D33" s="68"/>
      <c r="E33" s="68"/>
      <c r="F33" s="68"/>
      <c r="G33" s="68"/>
      <c r="H33" s="68"/>
      <c r="I33" s="62"/>
      <c r="J33" s="62"/>
      <c r="K33" s="62"/>
      <c r="L33" s="66"/>
      <c r="M33" s="66"/>
      <c r="N33" s="67"/>
    </row>
    <row r="34" spans="1:14" s="4" customFormat="1" ht="18.75" x14ac:dyDescent="0.3">
      <c r="A34" s="60" t="s">
        <v>54</v>
      </c>
      <c r="B34" s="69">
        <f>B31/B32</f>
        <v>1</v>
      </c>
      <c r="C34" s="52" t="s">
        <v>55</v>
      </c>
      <c r="D34" s="52"/>
      <c r="E34" s="52"/>
      <c r="F34" s="52"/>
      <c r="G34" s="52"/>
      <c r="I34" s="62"/>
      <c r="J34" s="62"/>
      <c r="K34" s="62"/>
      <c r="L34" s="66"/>
      <c r="M34" s="66"/>
      <c r="N34" s="67"/>
    </row>
    <row r="35" spans="1:14" s="4" customFormat="1" ht="19.5" customHeight="1" x14ac:dyDescent="0.3">
      <c r="A35" s="60"/>
      <c r="B35" s="59"/>
      <c r="G35" s="52"/>
      <c r="I35" s="62"/>
      <c r="J35" s="62"/>
      <c r="K35" s="62"/>
      <c r="L35" s="66"/>
      <c r="M35" s="66"/>
      <c r="N35" s="67"/>
    </row>
    <row r="36" spans="1:14" s="4" customFormat="1" ht="27" customHeight="1" x14ac:dyDescent="0.4">
      <c r="A36" s="70" t="s">
        <v>56</v>
      </c>
      <c r="B36" s="206">
        <v>50</v>
      </c>
      <c r="C36" s="52"/>
      <c r="D36" s="245" t="s">
        <v>57</v>
      </c>
      <c r="E36" s="272"/>
      <c r="F36" s="245" t="s">
        <v>58</v>
      </c>
      <c r="G36" s="246"/>
      <c r="J36" s="62"/>
      <c r="K36" s="62"/>
      <c r="L36" s="66"/>
      <c r="M36" s="66"/>
      <c r="N36" s="67"/>
    </row>
    <row r="37" spans="1:14" s="4" customFormat="1" ht="15.75" customHeight="1" x14ac:dyDescent="0.4">
      <c r="A37" s="71" t="s">
        <v>59</v>
      </c>
      <c r="B37" s="207">
        <v>1</v>
      </c>
      <c r="C37" s="73" t="s">
        <v>60</v>
      </c>
      <c r="D37" s="74" t="s">
        <v>61</v>
      </c>
      <c r="E37" s="132" t="s">
        <v>62</v>
      </c>
      <c r="F37" s="74" t="s">
        <v>61</v>
      </c>
      <c r="G37" s="75" t="s">
        <v>62</v>
      </c>
      <c r="J37" s="62"/>
      <c r="K37" s="62"/>
      <c r="L37" s="66"/>
      <c r="M37" s="66"/>
      <c r="N37" s="67"/>
    </row>
    <row r="38" spans="1:14" s="4" customFormat="1" ht="26.25" customHeight="1" x14ac:dyDescent="0.4">
      <c r="A38" s="71" t="s">
        <v>63</v>
      </c>
      <c r="B38" s="207">
        <v>1</v>
      </c>
      <c r="C38" s="76">
        <v>1</v>
      </c>
      <c r="D38" s="208">
        <v>126057557</v>
      </c>
      <c r="E38" s="148">
        <f>IF(ISBLANK(D38),"-",$D$48/$D$45*D38)</f>
        <v>109129706.19075058</v>
      </c>
      <c r="F38" s="208">
        <v>132574449</v>
      </c>
      <c r="G38" s="151">
        <f>IF(ISBLANK(F38),"-",$D$48/$F$45*F38)</f>
        <v>110863032.6799572</v>
      </c>
      <c r="J38" s="62"/>
      <c r="K38" s="62"/>
      <c r="L38" s="66"/>
      <c r="M38" s="66"/>
      <c r="N38" s="67"/>
    </row>
    <row r="39" spans="1:14" s="4" customFormat="1" ht="26.25" customHeight="1" x14ac:dyDescent="0.4">
      <c r="A39" s="71" t="s">
        <v>64</v>
      </c>
      <c r="B39" s="207">
        <v>1</v>
      </c>
      <c r="C39" s="72">
        <v>2</v>
      </c>
      <c r="D39" s="209">
        <v>126005229</v>
      </c>
      <c r="E39" s="149">
        <f>IF(ISBLANK(D39),"-",$D$48/$D$45*D39)</f>
        <v>109084405.14413781</v>
      </c>
      <c r="F39" s="209">
        <v>132702432</v>
      </c>
      <c r="G39" s="152">
        <f>IF(ISBLANK(F39),"-",$D$48/$F$45*F39)</f>
        <v>110970056.19480868</v>
      </c>
      <c r="J39" s="62"/>
      <c r="K39" s="62"/>
      <c r="L39" s="66"/>
      <c r="M39" s="66"/>
      <c r="N39" s="67"/>
    </row>
    <row r="40" spans="1:14" ht="26.25" customHeight="1" x14ac:dyDescent="0.4">
      <c r="A40" s="71" t="s">
        <v>65</v>
      </c>
      <c r="B40" s="207">
        <v>1</v>
      </c>
      <c r="C40" s="72">
        <v>3</v>
      </c>
      <c r="D40" s="209">
        <v>125780121</v>
      </c>
      <c r="E40" s="149">
        <f>IF(ISBLANK(D40),"-",$D$48/$D$45*D40)</f>
        <v>108889526.15008284</v>
      </c>
      <c r="F40" s="209">
        <v>132733348</v>
      </c>
      <c r="G40" s="152">
        <f>IF(ISBLANK(F40),"-",$D$48/$F$45*F40)</f>
        <v>110995909.15172599</v>
      </c>
      <c r="L40" s="66"/>
      <c r="M40" s="66"/>
      <c r="N40" s="78"/>
    </row>
    <row r="41" spans="1:14" ht="26.25" customHeight="1" x14ac:dyDescent="0.4">
      <c r="A41" s="71" t="s">
        <v>66</v>
      </c>
      <c r="B41" s="207">
        <v>1</v>
      </c>
      <c r="C41" s="79">
        <v>4</v>
      </c>
      <c r="D41" s="210"/>
      <c r="E41" s="150" t="str">
        <f>IF(ISBLANK(D41),"-",$D$48/$D$45*D41)</f>
        <v>-</v>
      </c>
      <c r="F41" s="210"/>
      <c r="G41" s="153" t="str">
        <f>IF(ISBLANK(F41),"-",$D$48/$F$45*F41)</f>
        <v>-</v>
      </c>
      <c r="L41" s="66"/>
      <c r="M41" s="66"/>
      <c r="N41" s="78"/>
    </row>
    <row r="42" spans="1:14" ht="27" customHeight="1" x14ac:dyDescent="0.4">
      <c r="A42" s="71" t="s">
        <v>67</v>
      </c>
      <c r="B42" s="207">
        <v>1</v>
      </c>
      <c r="C42" s="81" t="s">
        <v>68</v>
      </c>
      <c r="D42" s="182">
        <f>AVERAGE(D38:D41)</f>
        <v>125947635.66666667</v>
      </c>
      <c r="E42" s="106">
        <f>AVERAGE(E38:E41)</f>
        <v>109034545.82832374</v>
      </c>
      <c r="F42" s="82">
        <f>AVERAGE(F38:F41)</f>
        <v>132670076.33333333</v>
      </c>
      <c r="G42" s="83">
        <f>AVERAGE(G38:G41)</f>
        <v>110942999.34216397</v>
      </c>
      <c r="H42" s="168"/>
    </row>
    <row r="43" spans="1:14" ht="26.25" customHeight="1" x14ac:dyDescent="0.4">
      <c r="A43" s="71" t="s">
        <v>69</v>
      </c>
      <c r="B43" s="204">
        <v>1</v>
      </c>
      <c r="C43" s="183" t="s">
        <v>70</v>
      </c>
      <c r="D43" s="211">
        <v>17.87</v>
      </c>
      <c r="E43" s="78"/>
      <c r="F43" s="212">
        <v>18.5</v>
      </c>
      <c r="H43" s="168"/>
    </row>
    <row r="44" spans="1:14" ht="26.25" customHeight="1" x14ac:dyDescent="0.4">
      <c r="A44" s="71" t="s">
        <v>71</v>
      </c>
      <c r="B44" s="204">
        <v>1</v>
      </c>
      <c r="C44" s="184" t="s">
        <v>72</v>
      </c>
      <c r="D44" s="185">
        <f>D43*$B$34</f>
        <v>17.87</v>
      </c>
      <c r="E44" s="85"/>
      <c r="F44" s="84">
        <f>F43*$B$34</f>
        <v>18.5</v>
      </c>
      <c r="H44" s="168"/>
    </row>
    <row r="45" spans="1:14" ht="19.5" customHeight="1" x14ac:dyDescent="0.3">
      <c r="A45" s="71" t="s">
        <v>73</v>
      </c>
      <c r="B45" s="181">
        <f>(B44/B43)*(B42/B41)*(B40/B39)*(B38/B37)*B36</f>
        <v>50</v>
      </c>
      <c r="C45" s="184" t="s">
        <v>74</v>
      </c>
      <c r="D45" s="186">
        <f>D44*$B$30/100</f>
        <v>14.43896</v>
      </c>
      <c r="E45" s="87"/>
      <c r="F45" s="86">
        <f>F44*$B$30/100</f>
        <v>14.948</v>
      </c>
      <c r="H45" s="168"/>
    </row>
    <row r="46" spans="1:14" ht="19.5" customHeight="1" x14ac:dyDescent="0.3">
      <c r="A46" s="240" t="s">
        <v>75</v>
      </c>
      <c r="B46" s="247"/>
      <c r="C46" s="184" t="s">
        <v>76</v>
      </c>
      <c r="D46" s="185">
        <f>D45/$B$45</f>
        <v>0.28877920000000001</v>
      </c>
      <c r="E46" s="87"/>
      <c r="F46" s="88">
        <f>F45/$B$45</f>
        <v>0.29896</v>
      </c>
      <c r="H46" s="168"/>
    </row>
    <row r="47" spans="1:14" ht="27" customHeight="1" x14ac:dyDescent="0.4">
      <c r="A47" s="242"/>
      <c r="B47" s="248"/>
      <c r="C47" s="184" t="s">
        <v>77</v>
      </c>
      <c r="D47" s="213">
        <v>0.25</v>
      </c>
      <c r="F47" s="90"/>
      <c r="H47" s="168"/>
    </row>
    <row r="48" spans="1:14" ht="18.75" x14ac:dyDescent="0.3">
      <c r="C48" s="184" t="s">
        <v>78</v>
      </c>
      <c r="D48" s="185">
        <f>D47*$B$45</f>
        <v>12.5</v>
      </c>
      <c r="F48" s="90"/>
      <c r="H48" s="168"/>
    </row>
    <row r="49" spans="1:12" ht="19.5" customHeight="1" x14ac:dyDescent="0.3">
      <c r="C49" s="187" t="s">
        <v>79</v>
      </c>
      <c r="D49" s="188">
        <f>D48/B34</f>
        <v>12.5</v>
      </c>
      <c r="F49" s="93"/>
      <c r="H49" s="168"/>
    </row>
    <row r="50" spans="1:12" ht="18.75" x14ac:dyDescent="0.3">
      <c r="C50" s="189" t="s">
        <v>80</v>
      </c>
      <c r="D50" s="190">
        <f>AVERAGE(E38:E41,G38:G41)</f>
        <v>109988772.58524387</v>
      </c>
      <c r="F50" s="93"/>
      <c r="H50" s="168"/>
    </row>
    <row r="51" spans="1:12" ht="18.75" x14ac:dyDescent="0.3">
      <c r="C51" s="89" t="s">
        <v>81</v>
      </c>
      <c r="D51" s="94">
        <f>STDEV(E38:E41,G38:G41)/D50</f>
        <v>9.5406175265573389E-3</v>
      </c>
      <c r="F51" s="93"/>
    </row>
    <row r="52" spans="1:12" ht="19.5" customHeight="1" x14ac:dyDescent="0.3">
      <c r="C52" s="91" t="s">
        <v>19</v>
      </c>
      <c r="D52" s="95">
        <f>COUNT(E38:E41,G38:G41)</f>
        <v>6</v>
      </c>
      <c r="F52" s="93"/>
    </row>
    <row r="54" spans="1:12" ht="18.75" x14ac:dyDescent="0.3">
      <c r="A54" s="51" t="s">
        <v>1</v>
      </c>
      <c r="B54" s="96" t="s">
        <v>82</v>
      </c>
    </row>
    <row r="55" spans="1:12" ht="18.75" x14ac:dyDescent="0.3">
      <c r="A55" s="52" t="s">
        <v>83</v>
      </c>
      <c r="B55" s="55" t="str">
        <f>B21</f>
        <v>Each film coated tablet contains Cefuroxime Axetil USP equivalent to Cefuroxime 250 mg.</v>
      </c>
    </row>
    <row r="56" spans="1:12" ht="26.25" customHeight="1" x14ac:dyDescent="0.4">
      <c r="A56" s="54" t="s">
        <v>84</v>
      </c>
      <c r="B56" s="203">
        <v>250</v>
      </c>
      <c r="C56" s="52" t="str">
        <f>B20</f>
        <v xml:space="preserve">Cefuroxime Axetil </v>
      </c>
      <c r="H56" s="61"/>
    </row>
    <row r="57" spans="1:12" ht="18.75" x14ac:dyDescent="0.3">
      <c r="A57" s="55" t="s">
        <v>85</v>
      </c>
      <c r="B57" s="202">
        <f>Uniformity!C46</f>
        <v>617.46900000000005</v>
      </c>
      <c r="H57" s="61"/>
    </row>
    <row r="58" spans="1:12" ht="19.5" customHeight="1" x14ac:dyDescent="0.3">
      <c r="H58" s="61"/>
    </row>
    <row r="59" spans="1:12" s="4" customFormat="1" ht="27" customHeight="1" x14ac:dyDescent="0.4">
      <c r="A59" s="70" t="s">
        <v>86</v>
      </c>
      <c r="B59" s="206">
        <v>100</v>
      </c>
      <c r="C59" s="52"/>
      <c r="D59" s="98" t="s">
        <v>87</v>
      </c>
      <c r="E59" s="97" t="s">
        <v>88</v>
      </c>
      <c r="F59" s="97" t="s">
        <v>61</v>
      </c>
      <c r="G59" s="97" t="s">
        <v>89</v>
      </c>
      <c r="H59" s="73" t="s">
        <v>90</v>
      </c>
      <c r="L59" s="62"/>
    </row>
    <row r="60" spans="1:12" s="4" customFormat="1" ht="22.5" customHeight="1" x14ac:dyDescent="0.4">
      <c r="A60" s="71" t="s">
        <v>91</v>
      </c>
      <c r="B60" s="207">
        <v>5</v>
      </c>
      <c r="C60" s="256" t="s">
        <v>92</v>
      </c>
      <c r="D60" s="260">
        <v>623.66999999999996</v>
      </c>
      <c r="E60" s="99">
        <v>1</v>
      </c>
      <c r="F60" s="214">
        <f>53845721+57820578</f>
        <v>111666299</v>
      </c>
      <c r="G60" s="136">
        <f>IF(ISBLANK(F60),"-",(F60/$D$50*$D$47*$B$68)*($B$57/$D$60))</f>
        <v>251.2893484320212</v>
      </c>
      <c r="H60" s="138">
        <f t="shared" ref="H60:H71" si="0">IF(ISBLANK(F60),"-",G60/$B$56)</f>
        <v>1.0051573937280849</v>
      </c>
      <c r="L60" s="62"/>
    </row>
    <row r="61" spans="1:12" s="4" customFormat="1" ht="26.25" customHeight="1" x14ac:dyDescent="0.4">
      <c r="A61" s="71" t="s">
        <v>93</v>
      </c>
      <c r="B61" s="207">
        <v>50</v>
      </c>
      <c r="C61" s="257"/>
      <c r="D61" s="261"/>
      <c r="E61" s="100">
        <v>2</v>
      </c>
      <c r="F61" s="209">
        <f>53784875+57651605</f>
        <v>111436480</v>
      </c>
      <c r="G61" s="137">
        <f>IF(ISBLANK(F61),"-",(F61/$D$50*$D$47*$B$68)*($B$57/$D$60))</f>
        <v>250.77217299695735</v>
      </c>
      <c r="H61" s="139">
        <f t="shared" si="0"/>
        <v>1.0030886919878295</v>
      </c>
      <c r="L61" s="62"/>
    </row>
    <row r="62" spans="1:12" s="4" customFormat="1" ht="26.25" customHeight="1" x14ac:dyDescent="0.4">
      <c r="A62" s="71" t="s">
        <v>94</v>
      </c>
      <c r="B62" s="207">
        <v>1</v>
      </c>
      <c r="C62" s="257"/>
      <c r="D62" s="261"/>
      <c r="E62" s="100">
        <v>3</v>
      </c>
      <c r="F62" s="209">
        <f>53930898+57810833</f>
        <v>111741731</v>
      </c>
      <c r="G62" s="137">
        <f>IF(ISBLANK(F62),"-",(F62/$D$50*$D$47*$B$68)*($B$57/$D$60))</f>
        <v>251.4590975712035</v>
      </c>
      <c r="H62" s="139">
        <f t="shared" si="0"/>
        <v>1.005836390284814</v>
      </c>
      <c r="L62" s="62"/>
    </row>
    <row r="63" spans="1:12" ht="21" customHeight="1" x14ac:dyDescent="0.4">
      <c r="A63" s="71" t="s">
        <v>95</v>
      </c>
      <c r="B63" s="207">
        <v>1</v>
      </c>
      <c r="C63" s="259"/>
      <c r="D63" s="262"/>
      <c r="E63" s="101">
        <v>4</v>
      </c>
      <c r="F63" s="215"/>
      <c r="G63" s="137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1" t="s">
        <v>96</v>
      </c>
      <c r="B64" s="207">
        <v>1</v>
      </c>
      <c r="C64" s="256" t="s">
        <v>97</v>
      </c>
      <c r="D64" s="260">
        <v>612.51</v>
      </c>
      <c r="E64" s="99">
        <v>1</v>
      </c>
      <c r="F64" s="214">
        <f>52645209+56411843</f>
        <v>109057052</v>
      </c>
      <c r="G64" s="164">
        <f>IF(ISBLANK(F64),"-",(F64/$D$50*$D$47*$B$68)*($B$57/$D$64))</f>
        <v>249.88913982740658</v>
      </c>
      <c r="H64" s="161">
        <f t="shared" si="0"/>
        <v>0.99955655930962628</v>
      </c>
    </row>
    <row r="65" spans="1:8" ht="26.25" customHeight="1" x14ac:dyDescent="0.4">
      <c r="A65" s="71" t="s">
        <v>98</v>
      </c>
      <c r="B65" s="207">
        <v>1</v>
      </c>
      <c r="C65" s="257"/>
      <c r="D65" s="261"/>
      <c r="E65" s="100">
        <v>2</v>
      </c>
      <c r="F65" s="209">
        <f>52562499+56321695</f>
        <v>108884194</v>
      </c>
      <c r="G65" s="165">
        <f>IF(ISBLANK(F65),"-",(F65/$D$50*$D$47*$B$68)*($B$57/$D$64))</f>
        <v>249.49305964606916</v>
      </c>
      <c r="H65" s="162">
        <f t="shared" si="0"/>
        <v>0.99797223858427664</v>
      </c>
    </row>
    <row r="66" spans="1:8" ht="26.25" customHeight="1" x14ac:dyDescent="0.4">
      <c r="A66" s="71" t="s">
        <v>99</v>
      </c>
      <c r="B66" s="207">
        <v>1</v>
      </c>
      <c r="C66" s="257"/>
      <c r="D66" s="261"/>
      <c r="E66" s="100">
        <v>3</v>
      </c>
      <c r="F66" s="209">
        <f>52635241+56390154</f>
        <v>109025395</v>
      </c>
      <c r="G66" s="165">
        <f>IF(ISBLANK(F66),"-",(F66/$D$50*$D$47*$B$68)*($B$57/$D$64))</f>
        <v>249.81660219362277</v>
      </c>
      <c r="H66" s="162">
        <f t="shared" si="0"/>
        <v>0.99926640877449113</v>
      </c>
    </row>
    <row r="67" spans="1:8" ht="21" customHeight="1" x14ac:dyDescent="0.4">
      <c r="A67" s="71" t="s">
        <v>100</v>
      </c>
      <c r="B67" s="207">
        <v>1</v>
      </c>
      <c r="C67" s="259"/>
      <c r="D67" s="262"/>
      <c r="E67" s="101">
        <v>4</v>
      </c>
      <c r="F67" s="215"/>
      <c r="G67" s="166" t="str">
        <f>IF(ISBLANK(F67),"-",(F67/$D$50*$D$47*$B$68)*($B$57/$D$64))</f>
        <v>-</v>
      </c>
      <c r="H67" s="163" t="str">
        <f t="shared" si="0"/>
        <v>-</v>
      </c>
    </row>
    <row r="68" spans="1:8" ht="21.75" customHeight="1" x14ac:dyDescent="0.4">
      <c r="A68" s="71" t="s">
        <v>101</v>
      </c>
      <c r="B68" s="173">
        <f>(B67/B66)*(B65/B64)*(B63/B62)*(B61/B60)*B59</f>
        <v>1000</v>
      </c>
      <c r="C68" s="256" t="s">
        <v>102</v>
      </c>
      <c r="D68" s="260">
        <v>614.57000000000005</v>
      </c>
      <c r="E68" s="99">
        <v>1</v>
      </c>
      <c r="F68" s="214">
        <f>54165001+58029235</f>
        <v>112194236</v>
      </c>
      <c r="G68" s="164">
        <f>IF(ISBLANK(F68),"-",(F68/$D$50*$D$47*$B$68)*($B$57/$D$68))</f>
        <v>256.2158549117454</v>
      </c>
      <c r="H68" s="139">
        <f t="shared" si="0"/>
        <v>1.0248634196469817</v>
      </c>
    </row>
    <row r="69" spans="1:8" ht="21.75" customHeight="1" x14ac:dyDescent="0.4">
      <c r="A69" s="191" t="s">
        <v>103</v>
      </c>
      <c r="B69" s="192">
        <f>D47*B68/B56*B57</f>
        <v>617.46900000000005</v>
      </c>
      <c r="C69" s="257"/>
      <c r="D69" s="261"/>
      <c r="E69" s="100">
        <v>2</v>
      </c>
      <c r="F69" s="209">
        <f>54630757+58518372</f>
        <v>113149129</v>
      </c>
      <c r="G69" s="165">
        <f>IF(ISBLANK(F69),"-",(F69/$D$50*$D$47*$B$68)*($B$57/$D$68))</f>
        <v>258.39652599670416</v>
      </c>
      <c r="H69" s="139">
        <f t="shared" si="0"/>
        <v>1.0335861039868166</v>
      </c>
    </row>
    <row r="70" spans="1:8" ht="22.5" customHeight="1" x14ac:dyDescent="0.4">
      <c r="A70" s="252" t="s">
        <v>75</v>
      </c>
      <c r="B70" s="253"/>
      <c r="C70" s="257"/>
      <c r="D70" s="261"/>
      <c r="E70" s="100">
        <v>3</v>
      </c>
      <c r="F70" s="209">
        <f>54444240+58302771</f>
        <v>112747011</v>
      </c>
      <c r="G70" s="165">
        <f>IF(ISBLANK(F70),"-",(F70/$D$50*$D$47*$B$68)*($B$57/$D$68))</f>
        <v>257.47821672504602</v>
      </c>
      <c r="H70" s="139">
        <f t="shared" si="0"/>
        <v>1.029912866900184</v>
      </c>
    </row>
    <row r="71" spans="1:8" ht="21.75" customHeight="1" x14ac:dyDescent="0.4">
      <c r="A71" s="254"/>
      <c r="B71" s="255"/>
      <c r="C71" s="258"/>
      <c r="D71" s="262"/>
      <c r="E71" s="101">
        <v>4</v>
      </c>
      <c r="F71" s="215"/>
      <c r="G71" s="166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">
      <c r="A72" s="102"/>
      <c r="B72" s="102"/>
      <c r="C72" s="102"/>
      <c r="D72" s="102"/>
      <c r="E72" s="102"/>
      <c r="F72" s="103"/>
      <c r="G72" s="92" t="s">
        <v>68</v>
      </c>
      <c r="H72" s="216">
        <f>AVERAGE(H60:H71)</f>
        <v>1.0110266748003451</v>
      </c>
    </row>
    <row r="73" spans="1:8" ht="26.25" customHeight="1" x14ac:dyDescent="0.4">
      <c r="C73" s="102"/>
      <c r="D73" s="102"/>
      <c r="E73" s="102"/>
      <c r="F73" s="103"/>
      <c r="G73" s="89" t="s">
        <v>81</v>
      </c>
      <c r="H73" s="217">
        <f>STDEV(H60:H71)/H72</f>
        <v>1.4082676493241193E-2</v>
      </c>
    </row>
    <row r="74" spans="1:8" ht="27" customHeight="1" x14ac:dyDescent="0.4">
      <c r="A74" s="102"/>
      <c r="B74" s="102"/>
      <c r="C74" s="103"/>
      <c r="D74" s="103"/>
      <c r="E74" s="104"/>
      <c r="F74" s="103"/>
      <c r="G74" s="91" t="s">
        <v>19</v>
      </c>
      <c r="H74" s="218">
        <f>COUNT(H60:H71)</f>
        <v>9</v>
      </c>
    </row>
    <row r="75" spans="1:8" ht="18.75" x14ac:dyDescent="0.3">
      <c r="A75" s="102"/>
      <c r="B75" s="102"/>
      <c r="C75" s="103"/>
      <c r="D75" s="103"/>
      <c r="E75" s="104"/>
      <c r="F75" s="103"/>
      <c r="G75" s="125"/>
      <c r="H75" s="180"/>
    </row>
    <row r="76" spans="1:8" ht="18.75" x14ac:dyDescent="0.3">
      <c r="A76" s="58" t="s">
        <v>104</v>
      </c>
      <c r="B76" s="197" t="s">
        <v>105</v>
      </c>
      <c r="C76" s="244" t="str">
        <f>B20</f>
        <v xml:space="preserve">Cefuroxime Axetil </v>
      </c>
      <c r="D76" s="244"/>
      <c r="E76" s="199" t="s">
        <v>106</v>
      </c>
      <c r="F76" s="199"/>
      <c r="G76" s="200">
        <f>H72</f>
        <v>1.0110266748003451</v>
      </c>
      <c r="H76" s="180"/>
    </row>
    <row r="77" spans="1:8" ht="18.75" x14ac:dyDescent="0.3">
      <c r="A77" s="102"/>
      <c r="B77" s="102"/>
      <c r="C77" s="103"/>
      <c r="D77" s="103"/>
      <c r="E77" s="104"/>
      <c r="F77" s="103"/>
      <c r="G77" s="125"/>
      <c r="H77" s="180"/>
    </row>
    <row r="78" spans="1:8" ht="26.25" customHeight="1" x14ac:dyDescent="0.4">
      <c r="A78" s="57" t="s">
        <v>107</v>
      </c>
      <c r="B78" s="57" t="s">
        <v>108</v>
      </c>
      <c r="D78" s="219" t="s">
        <v>115</v>
      </c>
    </row>
    <row r="79" spans="1:8" ht="18.75" x14ac:dyDescent="0.3">
      <c r="A79" s="57"/>
      <c r="B79" s="57"/>
    </row>
    <row r="80" spans="1:8" ht="26.25" customHeight="1" x14ac:dyDescent="0.4">
      <c r="A80" s="58" t="s">
        <v>3</v>
      </c>
      <c r="B80" s="203" t="str">
        <f>B26</f>
        <v xml:space="preserve">Cefuroxime Axetil </v>
      </c>
      <c r="C80" s="227"/>
    </row>
    <row r="81" spans="1:12" ht="26.25" customHeight="1" x14ac:dyDescent="0.4">
      <c r="A81" s="60" t="s">
        <v>46</v>
      </c>
      <c r="B81" s="203" t="str">
        <f>B27</f>
        <v>C3-7</v>
      </c>
    </row>
    <row r="82" spans="1:12" ht="27" customHeight="1" x14ac:dyDescent="0.4">
      <c r="A82" s="60" t="s">
        <v>5</v>
      </c>
      <c r="B82" s="203">
        <f>B28</f>
        <v>82.3</v>
      </c>
    </row>
    <row r="83" spans="1:12" s="4" customFormat="1" ht="27" customHeight="1" x14ac:dyDescent="0.4">
      <c r="A83" s="60" t="s">
        <v>47</v>
      </c>
      <c r="B83" s="203">
        <f>B29</f>
        <v>1.5</v>
      </c>
      <c r="C83" s="249" t="s">
        <v>48</v>
      </c>
      <c r="D83" s="250"/>
      <c r="E83" s="250"/>
      <c r="F83" s="250"/>
      <c r="G83" s="251"/>
      <c r="I83" s="62"/>
      <c r="J83" s="62"/>
      <c r="K83" s="62"/>
      <c r="L83" s="62"/>
    </row>
    <row r="84" spans="1:12" s="4" customFormat="1" ht="18.75" x14ac:dyDescent="0.3">
      <c r="A84" s="60" t="s">
        <v>49</v>
      </c>
      <c r="B84" s="59">
        <f>B82-B83</f>
        <v>80.8</v>
      </c>
      <c r="C84" s="63"/>
      <c r="D84" s="63"/>
      <c r="E84" s="63"/>
      <c r="F84" s="63"/>
      <c r="G84" s="64"/>
      <c r="I84" s="62"/>
      <c r="J84" s="62"/>
      <c r="K84" s="62"/>
      <c r="L84" s="62"/>
    </row>
    <row r="85" spans="1:12" s="4" customFormat="1" ht="19.5" customHeight="1" x14ac:dyDescent="0.3">
      <c r="A85" s="60"/>
      <c r="B85" s="59"/>
      <c r="C85" s="63"/>
      <c r="D85" s="63"/>
      <c r="E85" s="63"/>
      <c r="F85" s="63"/>
      <c r="G85" s="64"/>
      <c r="I85" s="62"/>
      <c r="J85" s="62"/>
      <c r="K85" s="62"/>
      <c r="L85" s="62"/>
    </row>
    <row r="86" spans="1:12" s="4" customFormat="1" ht="27" customHeight="1" x14ac:dyDescent="0.4">
      <c r="A86" s="60" t="s">
        <v>50</v>
      </c>
      <c r="B86" s="205">
        <v>1</v>
      </c>
      <c r="C86" s="268" t="s">
        <v>51</v>
      </c>
      <c r="D86" s="269"/>
      <c r="E86" s="269"/>
      <c r="F86" s="269"/>
      <c r="G86" s="269"/>
      <c r="H86" s="270"/>
      <c r="I86" s="62"/>
      <c r="J86" s="62"/>
      <c r="K86" s="62"/>
      <c r="L86" s="62"/>
    </row>
    <row r="87" spans="1:12" s="4" customFormat="1" ht="27" customHeight="1" x14ac:dyDescent="0.4">
      <c r="A87" s="60" t="s">
        <v>52</v>
      </c>
      <c r="B87" s="205">
        <v>1</v>
      </c>
      <c r="C87" s="268" t="s">
        <v>53</v>
      </c>
      <c r="D87" s="269"/>
      <c r="E87" s="269"/>
      <c r="F87" s="269"/>
      <c r="G87" s="269"/>
      <c r="H87" s="270"/>
      <c r="I87" s="62"/>
      <c r="J87" s="62"/>
      <c r="K87" s="62"/>
      <c r="L87" s="62"/>
    </row>
    <row r="88" spans="1:12" s="4" customFormat="1" ht="18.75" x14ac:dyDescent="0.3">
      <c r="A88" s="60"/>
      <c r="B88" s="59"/>
      <c r="C88" s="63"/>
      <c r="D88" s="63"/>
      <c r="E88" s="63"/>
      <c r="F88" s="63"/>
      <c r="G88" s="64"/>
      <c r="I88" s="62"/>
      <c r="J88" s="62"/>
      <c r="K88" s="62"/>
      <c r="L88" s="62"/>
    </row>
    <row r="89" spans="1:12" ht="18.75" x14ac:dyDescent="0.3">
      <c r="A89" s="60" t="s">
        <v>54</v>
      </c>
      <c r="B89" s="69">
        <f>B86/B87</f>
        <v>1</v>
      </c>
      <c r="C89" s="52" t="s">
        <v>55</v>
      </c>
    </row>
    <row r="90" spans="1:12" ht="19.5" customHeight="1" x14ac:dyDescent="0.3">
      <c r="A90" s="60"/>
      <c r="B90" s="69"/>
    </row>
    <row r="91" spans="1:12" ht="27" customHeight="1" x14ac:dyDescent="0.4">
      <c r="A91" s="70" t="s">
        <v>56</v>
      </c>
      <c r="B91" s="206">
        <v>25</v>
      </c>
      <c r="D91" s="134" t="s">
        <v>57</v>
      </c>
      <c r="E91" s="135"/>
      <c r="F91" s="245" t="s">
        <v>58</v>
      </c>
      <c r="G91" s="246"/>
    </row>
    <row r="92" spans="1:12" ht="26.25" customHeight="1" x14ac:dyDescent="0.4">
      <c r="A92" s="71" t="s">
        <v>59</v>
      </c>
      <c r="B92" s="207">
        <v>2</v>
      </c>
      <c r="C92" s="131" t="s">
        <v>60</v>
      </c>
      <c r="D92" s="74" t="s">
        <v>61</v>
      </c>
      <c r="E92" s="132" t="s">
        <v>62</v>
      </c>
      <c r="F92" s="74" t="s">
        <v>61</v>
      </c>
      <c r="G92" s="75" t="s">
        <v>62</v>
      </c>
    </row>
    <row r="93" spans="1:12" ht="26.25" customHeight="1" x14ac:dyDescent="0.4">
      <c r="A93" s="71" t="s">
        <v>63</v>
      </c>
      <c r="B93" s="207">
        <v>100</v>
      </c>
      <c r="C93" s="130">
        <v>1</v>
      </c>
      <c r="D93" s="208">
        <v>0.42499999999999999</v>
      </c>
      <c r="E93" s="148">
        <f>IF(ISBLANK(D93),"-",$D$103/$D$100*D93)</f>
        <v>0.48061960801343295</v>
      </c>
      <c r="F93" s="208">
        <v>0.42099999999999999</v>
      </c>
      <c r="G93" s="151">
        <f>IF(ISBLANK(F93),"-",$D$103/$F$100*F93)</f>
        <v>0.4953224617465169</v>
      </c>
    </row>
    <row r="94" spans="1:12" ht="26.25" customHeight="1" x14ac:dyDescent="0.4">
      <c r="A94" s="71" t="s">
        <v>64</v>
      </c>
      <c r="B94" s="207">
        <v>1</v>
      </c>
      <c r="C94" s="103">
        <v>2</v>
      </c>
      <c r="D94" s="209">
        <v>0.42399999999999999</v>
      </c>
      <c r="E94" s="149">
        <f>IF(ISBLANK(D94),"-",$D$103/$D$100*D94)</f>
        <v>0.47948873834751898</v>
      </c>
      <c r="F94" s="209">
        <v>0.42199999999999999</v>
      </c>
      <c r="G94" s="152">
        <f>IF(ISBLANK(F94),"-",$D$103/$F$100*F94)</f>
        <v>0.49649899966040412</v>
      </c>
    </row>
    <row r="95" spans="1:12" ht="26.25" customHeight="1" x14ac:dyDescent="0.4">
      <c r="A95" s="71" t="s">
        <v>65</v>
      </c>
      <c r="B95" s="207">
        <v>1</v>
      </c>
      <c r="C95" s="103">
        <v>3</v>
      </c>
      <c r="D95" s="209">
        <v>0.42499999999999999</v>
      </c>
      <c r="E95" s="149">
        <f>IF(ISBLANK(D95),"-",$D$103/$D$100*D95)</f>
        <v>0.48061960801343295</v>
      </c>
      <c r="F95" s="209">
        <v>0.42099999999999999</v>
      </c>
      <c r="G95" s="152">
        <f>IF(ISBLANK(F95),"-",$D$103/$F$100*F95)</f>
        <v>0.4953224617465169</v>
      </c>
    </row>
    <row r="96" spans="1:12" ht="26.25" customHeight="1" x14ac:dyDescent="0.4">
      <c r="A96" s="71" t="s">
        <v>66</v>
      </c>
      <c r="B96" s="207">
        <v>1</v>
      </c>
      <c r="C96" s="133">
        <v>4</v>
      </c>
      <c r="D96" s="210"/>
      <c r="E96" s="150" t="str">
        <f>IF(ISBLANK(D96),"-",$D$103/$D$100*D96)</f>
        <v>-</v>
      </c>
      <c r="F96" s="220"/>
      <c r="G96" s="153" t="str">
        <f>IF(ISBLANK(F96),"-",$D$103/$F$100*F96)</f>
        <v>-</v>
      </c>
    </row>
    <row r="97" spans="1:10" ht="27" customHeight="1" x14ac:dyDescent="0.4">
      <c r="A97" s="71" t="s">
        <v>67</v>
      </c>
      <c r="B97" s="207">
        <v>1</v>
      </c>
      <c r="C97" s="125" t="s">
        <v>68</v>
      </c>
      <c r="D97" s="324">
        <f>AVERAGE(D93:D96)</f>
        <v>0.42466666666666669</v>
      </c>
      <c r="E97" s="106">
        <f>AVERAGE(E93:E96)</f>
        <v>0.48024265145812822</v>
      </c>
      <c r="F97" s="325">
        <f>AVERAGE(F93:F96)</f>
        <v>0.42133333333333334</v>
      </c>
      <c r="G97" s="154">
        <f>AVERAGE(G93:G96)</f>
        <v>0.49571464105114593</v>
      </c>
    </row>
    <row r="98" spans="1:10" ht="26.25" customHeight="1" x14ac:dyDescent="0.4">
      <c r="A98" s="71" t="s">
        <v>69</v>
      </c>
      <c r="B98" s="204">
        <v>1</v>
      </c>
      <c r="C98" s="183" t="s">
        <v>70</v>
      </c>
      <c r="D98" s="211">
        <v>15.2</v>
      </c>
      <c r="E98" s="78"/>
      <c r="F98" s="212">
        <v>14.61</v>
      </c>
    </row>
    <row r="99" spans="1:10" ht="26.25" customHeight="1" x14ac:dyDescent="0.4">
      <c r="A99" s="71" t="s">
        <v>71</v>
      </c>
      <c r="B99" s="204">
        <v>1</v>
      </c>
      <c r="C99" s="184" t="s">
        <v>72</v>
      </c>
      <c r="D99" s="185">
        <f>D98*$B$89</f>
        <v>15.2</v>
      </c>
      <c r="E99" s="85"/>
      <c r="F99" s="84">
        <f>F98*$B$89</f>
        <v>14.61</v>
      </c>
    </row>
    <row r="100" spans="1:10" ht="19.5" customHeight="1" x14ac:dyDescent="0.3">
      <c r="A100" s="71" t="s">
        <v>73</v>
      </c>
      <c r="B100" s="181">
        <f>(B99/B98)*(B97/B96)*(B95/B94)*(B93/B92)*B91</f>
        <v>1250</v>
      </c>
      <c r="C100" s="184" t="s">
        <v>74</v>
      </c>
      <c r="D100" s="186">
        <f>D99*$B$84/100</f>
        <v>12.281599999999999</v>
      </c>
      <c r="E100" s="87"/>
      <c r="F100" s="86">
        <f>F99*$B$84/100</f>
        <v>11.804879999999999</v>
      </c>
    </row>
    <row r="101" spans="1:10" ht="19.5" customHeight="1" x14ac:dyDescent="0.3">
      <c r="A101" s="240" t="s">
        <v>75</v>
      </c>
      <c r="B101" s="247"/>
      <c r="C101" s="184" t="s">
        <v>76</v>
      </c>
      <c r="D101" s="185">
        <f>D100/$B$100</f>
        <v>9.8252799999999987E-3</v>
      </c>
      <c r="E101" s="87"/>
      <c r="F101" s="88">
        <f>F100/$B$100</f>
        <v>9.4439039999999995E-3</v>
      </c>
      <c r="G101" s="167"/>
      <c r="H101" s="168"/>
    </row>
    <row r="102" spans="1:10" ht="19.5" customHeight="1" x14ac:dyDescent="0.3">
      <c r="A102" s="242"/>
      <c r="B102" s="248"/>
      <c r="C102" s="184" t="s">
        <v>77</v>
      </c>
      <c r="D102" s="193">
        <f>$B$56/$B$118</f>
        <v>1.1111111111111112E-2</v>
      </c>
      <c r="F102" s="90"/>
      <c r="G102" s="169"/>
      <c r="H102" s="168"/>
    </row>
    <row r="103" spans="1:10" ht="18.75" x14ac:dyDescent="0.3">
      <c r="C103" s="184" t="s">
        <v>78</v>
      </c>
      <c r="D103" s="185">
        <f>D102*$B$100</f>
        <v>13.888888888888889</v>
      </c>
      <c r="F103" s="90"/>
      <c r="G103" s="167"/>
      <c r="H103" s="168"/>
    </row>
    <row r="104" spans="1:10" ht="19.5" customHeight="1" x14ac:dyDescent="0.3">
      <c r="C104" s="187" t="s">
        <v>79</v>
      </c>
      <c r="D104" s="194">
        <f>D103/B34</f>
        <v>13.888888888888889</v>
      </c>
      <c r="F104" s="93"/>
      <c r="G104" s="167"/>
      <c r="H104" s="168"/>
      <c r="J104" s="107"/>
    </row>
    <row r="105" spans="1:10" ht="18.75" x14ac:dyDescent="0.3">
      <c r="C105" s="189" t="s">
        <v>80</v>
      </c>
      <c r="D105" s="190">
        <f>AVERAGE(E93:E96,G93:G96)</f>
        <v>0.48797864625463711</v>
      </c>
      <c r="F105" s="93"/>
      <c r="G105" s="170"/>
      <c r="H105" s="168"/>
      <c r="J105" s="109"/>
    </row>
    <row r="106" spans="1:10" ht="18.75" x14ac:dyDescent="0.3">
      <c r="C106" s="89" t="s">
        <v>81</v>
      </c>
      <c r="D106" s="108">
        <f>STDEV(E93:E96,G93:G96)/D105</f>
        <v>1.7409126941325275E-2</v>
      </c>
      <c r="F106" s="93"/>
      <c r="G106" s="167"/>
      <c r="H106" s="168"/>
      <c r="J106" s="109"/>
    </row>
    <row r="107" spans="1:10" ht="19.5" customHeight="1" x14ac:dyDescent="0.3">
      <c r="C107" s="91" t="s">
        <v>19</v>
      </c>
      <c r="D107" s="110">
        <f>COUNT(E93:E96,G93:G96)</f>
        <v>6</v>
      </c>
      <c r="F107" s="93"/>
      <c r="G107" s="167"/>
      <c r="H107" s="168"/>
      <c r="J107" s="109"/>
    </row>
    <row r="108" spans="1:10" ht="19.5" customHeight="1" x14ac:dyDescent="0.3">
      <c r="A108" s="51"/>
      <c r="B108" s="51"/>
      <c r="C108" s="51"/>
      <c r="D108" s="51"/>
      <c r="E108" s="51"/>
    </row>
    <row r="109" spans="1:10" ht="26.25" customHeight="1" x14ac:dyDescent="0.4">
      <c r="A109" s="70" t="s">
        <v>109</v>
      </c>
      <c r="B109" s="206">
        <v>900</v>
      </c>
      <c r="C109" s="111" t="s">
        <v>110</v>
      </c>
      <c r="D109" s="112" t="s">
        <v>61</v>
      </c>
      <c r="E109" s="113" t="s">
        <v>111</v>
      </c>
      <c r="F109" s="114" t="s">
        <v>112</v>
      </c>
    </row>
    <row r="110" spans="1:10" ht="26.25" customHeight="1" x14ac:dyDescent="0.4">
      <c r="A110" s="71" t="s">
        <v>91</v>
      </c>
      <c r="B110" s="207">
        <v>2</v>
      </c>
      <c r="C110" s="77">
        <v>1</v>
      </c>
      <c r="D110" s="229">
        <v>0.51200000000000001</v>
      </c>
      <c r="E110" s="115">
        <f t="shared" ref="E110:E115" si="1">IF(ISBLANK(D110),"-",D110/$D$105*$D$102*$B$118)</f>
        <v>262.30655989239136</v>
      </c>
      <c r="F110" s="116">
        <f t="shared" ref="F110:F115" si="2">IF(ISBLANK(D110), "-", E110/$B$56)</f>
        <v>1.0492262395695655</v>
      </c>
    </row>
    <row r="111" spans="1:10" ht="26.25" customHeight="1" x14ac:dyDescent="0.4">
      <c r="A111" s="71" t="s">
        <v>93</v>
      </c>
      <c r="B111" s="207">
        <v>50</v>
      </c>
      <c r="C111" s="77">
        <v>2</v>
      </c>
      <c r="D111" s="229">
        <v>0.50800000000000001</v>
      </c>
      <c r="E111" s="117">
        <f t="shared" si="1"/>
        <v>260.25728989323198</v>
      </c>
      <c r="F111" s="141">
        <f t="shared" si="2"/>
        <v>1.041029159572928</v>
      </c>
    </row>
    <row r="112" spans="1:10" ht="26.25" customHeight="1" x14ac:dyDescent="0.4">
      <c r="A112" s="71" t="s">
        <v>94</v>
      </c>
      <c r="B112" s="207">
        <v>1</v>
      </c>
      <c r="C112" s="77">
        <v>3</v>
      </c>
      <c r="D112" s="229">
        <v>0.50900000000000001</v>
      </c>
      <c r="E112" s="117">
        <f t="shared" si="1"/>
        <v>260.76960739302183</v>
      </c>
      <c r="F112" s="141">
        <f t="shared" si="2"/>
        <v>1.0430784295720874</v>
      </c>
    </row>
    <row r="113" spans="1:10" ht="26.25" customHeight="1" x14ac:dyDescent="0.4">
      <c r="A113" s="71" t="s">
        <v>95</v>
      </c>
      <c r="B113" s="207">
        <v>1</v>
      </c>
      <c r="C113" s="77">
        <v>4</v>
      </c>
      <c r="D113" s="229">
        <v>0.51100000000000001</v>
      </c>
      <c r="E113" s="117">
        <f t="shared" si="1"/>
        <v>261.79424239260146</v>
      </c>
      <c r="F113" s="141">
        <f t="shared" si="2"/>
        <v>1.0471769695704058</v>
      </c>
    </row>
    <row r="114" spans="1:10" ht="26.25" customHeight="1" x14ac:dyDescent="0.4">
      <c r="A114" s="71" t="s">
        <v>96</v>
      </c>
      <c r="B114" s="207">
        <v>1</v>
      </c>
      <c r="C114" s="77">
        <v>5</v>
      </c>
      <c r="D114" s="229">
        <v>0.50800000000000001</v>
      </c>
      <c r="E114" s="117">
        <f t="shared" si="1"/>
        <v>260.25728989323198</v>
      </c>
      <c r="F114" s="141">
        <f t="shared" si="2"/>
        <v>1.041029159572928</v>
      </c>
    </row>
    <row r="115" spans="1:10" ht="26.25" customHeight="1" x14ac:dyDescent="0.4">
      <c r="A115" s="71" t="s">
        <v>98</v>
      </c>
      <c r="B115" s="207">
        <v>1</v>
      </c>
      <c r="C115" s="80">
        <v>6</v>
      </c>
      <c r="D115" s="230">
        <v>0.51</v>
      </c>
      <c r="E115" s="118">
        <f t="shared" si="1"/>
        <v>261.28192489281167</v>
      </c>
      <c r="F115" s="142">
        <f t="shared" si="2"/>
        <v>1.0451276995712466</v>
      </c>
    </row>
    <row r="116" spans="1:10" ht="26.25" customHeight="1" x14ac:dyDescent="0.4">
      <c r="A116" s="71" t="s">
        <v>99</v>
      </c>
      <c r="B116" s="207">
        <v>1</v>
      </c>
      <c r="C116" s="77"/>
      <c r="D116" s="103"/>
      <c r="E116" s="105"/>
      <c r="F116" s="119"/>
    </row>
    <row r="117" spans="1:10" ht="26.25" customHeight="1" x14ac:dyDescent="0.4">
      <c r="A117" s="71" t="s">
        <v>100</v>
      </c>
      <c r="B117" s="207">
        <v>1</v>
      </c>
      <c r="C117" s="77"/>
      <c r="D117" s="120"/>
      <c r="E117" s="121" t="s">
        <v>68</v>
      </c>
      <c r="F117" s="122">
        <f>AVERAGE(F110:F115)</f>
        <v>1.044444609571527</v>
      </c>
    </row>
    <row r="118" spans="1:10" ht="19.5" customHeight="1" x14ac:dyDescent="0.3">
      <c r="A118" s="71" t="s">
        <v>101</v>
      </c>
      <c r="B118" s="172">
        <f>(B117/B116)*(B115/B114)*(B113/B112)*(B111/B110)*B109</f>
        <v>22500</v>
      </c>
      <c r="C118" s="123"/>
      <c r="D118" s="124"/>
      <c r="E118" s="125" t="s">
        <v>81</v>
      </c>
      <c r="F118" s="126">
        <f>STDEV(F110:F115)/F117</f>
        <v>3.204041520972182E-3</v>
      </c>
      <c r="I118" s="105"/>
    </row>
    <row r="119" spans="1:10" ht="19.5" customHeight="1" x14ac:dyDescent="0.3">
      <c r="A119" s="240" t="s">
        <v>75</v>
      </c>
      <c r="B119" s="241"/>
      <c r="C119" s="127"/>
      <c r="D119" s="128"/>
      <c r="E119" s="129" t="s">
        <v>19</v>
      </c>
      <c r="F119" s="110">
        <f>COUNT(F110:F115)</f>
        <v>6</v>
      </c>
      <c r="I119" s="105"/>
      <c r="J119" s="109"/>
    </row>
    <row r="120" spans="1:10" ht="19.5" customHeight="1" x14ac:dyDescent="0.3">
      <c r="A120" s="242"/>
      <c r="B120" s="243"/>
      <c r="C120" s="105"/>
      <c r="D120" s="105"/>
      <c r="E120" s="105"/>
      <c r="F120" s="103"/>
      <c r="G120" s="105"/>
      <c r="H120" s="105"/>
      <c r="I120" s="105"/>
    </row>
    <row r="121" spans="1:10" ht="18.75" x14ac:dyDescent="0.3">
      <c r="A121" s="68"/>
      <c r="B121" s="68"/>
      <c r="C121" s="105"/>
      <c r="D121" s="105"/>
      <c r="E121" s="105"/>
      <c r="F121" s="103"/>
      <c r="G121" s="105"/>
      <c r="H121" s="105"/>
      <c r="I121" s="105"/>
    </row>
    <row r="122" spans="1:10" ht="18.75" x14ac:dyDescent="0.3">
      <c r="A122" s="58" t="s">
        <v>104</v>
      </c>
      <c r="B122" s="197" t="s">
        <v>105</v>
      </c>
      <c r="C122" s="244" t="str">
        <f>B20</f>
        <v xml:space="preserve">Cefuroxime Axetil </v>
      </c>
      <c r="D122" s="244"/>
      <c r="E122" s="199" t="s">
        <v>113</v>
      </c>
      <c r="F122" s="199"/>
      <c r="G122" s="200">
        <f>F117</f>
        <v>1.044444609571527</v>
      </c>
      <c r="H122" s="105"/>
      <c r="I122" s="105"/>
    </row>
    <row r="123" spans="1:10" ht="18.75" x14ac:dyDescent="0.3">
      <c r="A123" s="68"/>
      <c r="B123" s="68"/>
      <c r="C123" s="105"/>
      <c r="D123" s="105"/>
      <c r="E123" s="105"/>
      <c r="F123" s="103"/>
      <c r="G123" s="105"/>
      <c r="H123" s="105"/>
      <c r="I123" s="105"/>
    </row>
    <row r="124" spans="1:10" ht="26.25" customHeight="1" x14ac:dyDescent="0.4">
      <c r="A124" s="57" t="s">
        <v>107</v>
      </c>
      <c r="B124" s="57" t="s">
        <v>108</v>
      </c>
      <c r="D124" s="219" t="s">
        <v>116</v>
      </c>
    </row>
    <row r="125" spans="1:10" ht="19.5" customHeight="1" x14ac:dyDescent="0.3">
      <c r="A125" s="51"/>
      <c r="B125" s="51"/>
      <c r="C125" s="51"/>
      <c r="D125" s="51"/>
      <c r="E125" s="51"/>
    </row>
    <row r="126" spans="1:10" ht="26.25" customHeight="1" x14ac:dyDescent="0.4">
      <c r="A126" s="70" t="s">
        <v>109</v>
      </c>
      <c r="B126" s="206">
        <v>900</v>
      </c>
      <c r="C126" s="111" t="s">
        <v>110</v>
      </c>
      <c r="D126" s="112" t="s">
        <v>61</v>
      </c>
      <c r="E126" s="113" t="s">
        <v>111</v>
      </c>
      <c r="F126" s="114" t="s">
        <v>112</v>
      </c>
    </row>
    <row r="127" spans="1:10" ht="26.25" customHeight="1" x14ac:dyDescent="0.4">
      <c r="A127" s="71" t="s">
        <v>91</v>
      </c>
      <c r="B127" s="207">
        <v>2</v>
      </c>
      <c r="C127" s="77">
        <v>1</v>
      </c>
      <c r="D127" s="229">
        <v>0.495</v>
      </c>
      <c r="E127" s="177">
        <f t="shared" ref="E127:E132" si="3">IF(ISBLANK(D127),"-",D127/$D$105*$D$102*$B$135)</f>
        <v>253.59716239596426</v>
      </c>
      <c r="F127" s="174">
        <f t="shared" ref="F127:F132" si="4">IF(ISBLANK(D127), "-", E127/$B$56)</f>
        <v>1.014388649583857</v>
      </c>
    </row>
    <row r="128" spans="1:10" ht="26.25" customHeight="1" x14ac:dyDescent="0.4">
      <c r="A128" s="71" t="s">
        <v>93</v>
      </c>
      <c r="B128" s="207">
        <v>50</v>
      </c>
      <c r="C128" s="77">
        <v>2</v>
      </c>
      <c r="D128" s="229">
        <v>0.501</v>
      </c>
      <c r="E128" s="178">
        <f t="shared" si="3"/>
        <v>256.67106739470319</v>
      </c>
      <c r="F128" s="175">
        <f t="shared" si="4"/>
        <v>1.0266842695788128</v>
      </c>
    </row>
    <row r="129" spans="1:10" ht="26.25" customHeight="1" x14ac:dyDescent="0.4">
      <c r="A129" s="71" t="s">
        <v>94</v>
      </c>
      <c r="B129" s="207">
        <v>1</v>
      </c>
      <c r="C129" s="77">
        <v>3</v>
      </c>
      <c r="D129" s="229">
        <v>0.498</v>
      </c>
      <c r="E129" s="178">
        <f t="shared" si="3"/>
        <v>255.13411489533371</v>
      </c>
      <c r="F129" s="175">
        <f t="shared" si="4"/>
        <v>1.0205364595813349</v>
      </c>
    </row>
    <row r="130" spans="1:10" ht="26.25" customHeight="1" x14ac:dyDescent="0.4">
      <c r="A130" s="71" t="s">
        <v>95</v>
      </c>
      <c r="B130" s="207">
        <v>1</v>
      </c>
      <c r="C130" s="77">
        <v>4</v>
      </c>
      <c r="D130" s="229">
        <v>0.5</v>
      </c>
      <c r="E130" s="178">
        <f t="shared" si="3"/>
        <v>256.1587498949134</v>
      </c>
      <c r="F130" s="175">
        <f t="shared" si="4"/>
        <v>1.0246349995796535</v>
      </c>
    </row>
    <row r="131" spans="1:10" ht="26.25" customHeight="1" x14ac:dyDescent="0.4">
      <c r="A131" s="71" t="s">
        <v>96</v>
      </c>
      <c r="B131" s="207">
        <v>1</v>
      </c>
      <c r="C131" s="77">
        <v>5</v>
      </c>
      <c r="D131" s="229">
        <v>0.499</v>
      </c>
      <c r="E131" s="178">
        <f t="shared" si="3"/>
        <v>255.64643239512358</v>
      </c>
      <c r="F131" s="175">
        <f t="shared" si="4"/>
        <v>1.0225857295804943</v>
      </c>
    </row>
    <row r="132" spans="1:10" ht="26.25" customHeight="1" x14ac:dyDescent="0.4">
      <c r="A132" s="71" t="s">
        <v>98</v>
      </c>
      <c r="B132" s="207">
        <v>1</v>
      </c>
      <c r="C132" s="80">
        <v>6</v>
      </c>
      <c r="D132" s="230">
        <v>0.5</v>
      </c>
      <c r="E132" s="179">
        <f t="shared" si="3"/>
        <v>256.1587498949134</v>
      </c>
      <c r="F132" s="176">
        <f t="shared" si="4"/>
        <v>1.0246349995796535</v>
      </c>
    </row>
    <row r="133" spans="1:10" ht="26.25" customHeight="1" x14ac:dyDescent="0.4">
      <c r="A133" s="71" t="s">
        <v>99</v>
      </c>
      <c r="B133" s="207">
        <v>1</v>
      </c>
      <c r="C133" s="77"/>
      <c r="D133" s="103"/>
      <c r="E133" s="105"/>
      <c r="F133" s="119"/>
    </row>
    <row r="134" spans="1:10" ht="26.25" customHeight="1" x14ac:dyDescent="0.4">
      <c r="A134" s="71" t="s">
        <v>100</v>
      </c>
      <c r="B134" s="207">
        <v>1</v>
      </c>
      <c r="C134" s="77"/>
      <c r="D134" s="120"/>
      <c r="E134" s="121" t="s">
        <v>68</v>
      </c>
      <c r="F134" s="223">
        <f>AVERAGE(F127:F132)</f>
        <v>1.0222441845806343</v>
      </c>
    </row>
    <row r="135" spans="1:10" ht="27" customHeight="1" x14ac:dyDescent="0.4">
      <c r="A135" s="71" t="s">
        <v>101</v>
      </c>
      <c r="B135" s="207">
        <f>(B134/B133)*(B132/B131)*(B130/B129)*(B128/B127)*B126</f>
        <v>22500</v>
      </c>
      <c r="C135" s="123"/>
      <c r="D135" s="124"/>
      <c r="E135" s="125" t="s">
        <v>81</v>
      </c>
      <c r="F135" s="224">
        <f>STDEV(F127:F132)/F134</f>
        <v>4.2839479919343998E-3</v>
      </c>
      <c r="I135" s="105"/>
    </row>
    <row r="136" spans="1:10" ht="27" customHeight="1" x14ac:dyDescent="0.4">
      <c r="A136" s="240" t="s">
        <v>75</v>
      </c>
      <c r="B136" s="241"/>
      <c r="C136" s="127"/>
      <c r="D136" s="128"/>
      <c r="E136" s="129" t="s">
        <v>19</v>
      </c>
      <c r="F136" s="225">
        <f>COUNT(F127:F132)</f>
        <v>6</v>
      </c>
      <c r="I136" s="105"/>
      <c r="J136" s="109"/>
    </row>
    <row r="137" spans="1:10" ht="19.5" customHeight="1" x14ac:dyDescent="0.3">
      <c r="A137" s="242"/>
      <c r="B137" s="243"/>
      <c r="C137" s="105"/>
      <c r="D137" s="105"/>
      <c r="E137" s="105"/>
      <c r="F137" s="103"/>
      <c r="G137" s="105"/>
      <c r="H137" s="105"/>
      <c r="I137" s="105"/>
    </row>
    <row r="138" spans="1:10" ht="18.75" x14ac:dyDescent="0.3">
      <c r="A138" s="68"/>
      <c r="B138" s="68"/>
      <c r="C138" s="105"/>
      <c r="D138" s="105"/>
      <c r="E138" s="105"/>
      <c r="F138" s="103"/>
      <c r="G138" s="105"/>
      <c r="H138" s="105"/>
      <c r="I138" s="105"/>
    </row>
    <row r="139" spans="1:10" ht="26.25" customHeight="1" x14ac:dyDescent="0.4">
      <c r="A139" s="58" t="s">
        <v>104</v>
      </c>
      <c r="B139" s="197" t="s">
        <v>105</v>
      </c>
      <c r="C139" s="244" t="str">
        <f>B20</f>
        <v xml:space="preserve">Cefuroxime Axetil </v>
      </c>
      <c r="D139" s="244"/>
      <c r="E139" s="199" t="s">
        <v>113</v>
      </c>
      <c r="F139" s="199"/>
      <c r="G139" s="226">
        <f>F134</f>
        <v>1.0222441845806343</v>
      </c>
      <c r="H139" s="105"/>
      <c r="I139" s="105"/>
    </row>
    <row r="140" spans="1:10" ht="18.75" x14ac:dyDescent="0.3">
      <c r="A140" s="58"/>
      <c r="B140" s="197"/>
      <c r="C140" s="198"/>
      <c r="D140" s="198"/>
      <c r="E140" s="199"/>
      <c r="F140" s="199"/>
      <c r="G140" s="200"/>
      <c r="H140" s="105"/>
      <c r="I140" s="105"/>
    </row>
    <row r="141" spans="1:10" ht="26.25" customHeight="1" x14ac:dyDescent="0.4">
      <c r="A141" s="57" t="s">
        <v>107</v>
      </c>
      <c r="B141" s="57" t="s">
        <v>108</v>
      </c>
      <c r="D141" s="219"/>
      <c r="H141" s="105"/>
      <c r="I141" s="105"/>
    </row>
    <row r="142" spans="1:10" ht="19.5" customHeight="1" x14ac:dyDescent="0.3">
      <c r="A142" s="51"/>
      <c r="B142" s="51"/>
      <c r="C142" s="51"/>
      <c r="D142" s="51"/>
      <c r="E142" s="51"/>
      <c r="H142" s="105"/>
      <c r="I142" s="105"/>
    </row>
    <row r="143" spans="1:10" ht="26.25" customHeight="1" x14ac:dyDescent="0.4">
      <c r="A143" s="70" t="s">
        <v>109</v>
      </c>
      <c r="B143" s="206">
        <v>1</v>
      </c>
      <c r="C143" s="111" t="s">
        <v>110</v>
      </c>
      <c r="D143" s="112" t="s">
        <v>61</v>
      </c>
      <c r="E143" s="113" t="s">
        <v>111</v>
      </c>
      <c r="F143" s="114" t="s">
        <v>112</v>
      </c>
      <c r="H143" s="105"/>
      <c r="I143" s="105"/>
    </row>
    <row r="144" spans="1:10" ht="26.25" customHeight="1" x14ac:dyDescent="0.4">
      <c r="A144" s="71" t="s">
        <v>91</v>
      </c>
      <c r="B144" s="207">
        <v>1</v>
      </c>
      <c r="C144" s="77">
        <v>1</v>
      </c>
      <c r="D144" s="221"/>
      <c r="E144" s="177" t="str">
        <f t="shared" ref="E144:E149" si="5">IF(ISBLANK(D144),"-",D144/$D$105*$D$102*$B$152)</f>
        <v>-</v>
      </c>
      <c r="F144" s="174" t="str">
        <f t="shared" ref="F144:F149" si="6">IF(ISBLANK(D144), "-", E144/$B$56)</f>
        <v>-</v>
      </c>
      <c r="H144" s="105"/>
      <c r="I144" s="105"/>
    </row>
    <row r="145" spans="1:9" ht="26.25" customHeight="1" x14ac:dyDescent="0.4">
      <c r="A145" s="71" t="s">
        <v>93</v>
      </c>
      <c r="B145" s="207">
        <v>1</v>
      </c>
      <c r="C145" s="77">
        <v>2</v>
      </c>
      <c r="D145" s="221"/>
      <c r="E145" s="178" t="str">
        <f t="shared" si="5"/>
        <v>-</v>
      </c>
      <c r="F145" s="175" t="str">
        <f t="shared" si="6"/>
        <v>-</v>
      </c>
      <c r="H145" s="105"/>
      <c r="I145" s="105"/>
    </row>
    <row r="146" spans="1:9" ht="26.25" customHeight="1" x14ac:dyDescent="0.4">
      <c r="A146" s="71" t="s">
        <v>94</v>
      </c>
      <c r="B146" s="207">
        <v>1</v>
      </c>
      <c r="C146" s="77">
        <v>3</v>
      </c>
      <c r="D146" s="221"/>
      <c r="E146" s="178" t="str">
        <f t="shared" si="5"/>
        <v>-</v>
      </c>
      <c r="F146" s="175" t="str">
        <f t="shared" si="6"/>
        <v>-</v>
      </c>
      <c r="H146" s="105"/>
      <c r="I146" s="105"/>
    </row>
    <row r="147" spans="1:9" ht="26.25" customHeight="1" x14ac:dyDescent="0.4">
      <c r="A147" s="71" t="s">
        <v>95</v>
      </c>
      <c r="B147" s="207">
        <v>1</v>
      </c>
      <c r="C147" s="77">
        <v>4</v>
      </c>
      <c r="D147" s="221"/>
      <c r="E147" s="178" t="str">
        <f t="shared" si="5"/>
        <v>-</v>
      </c>
      <c r="F147" s="175" t="str">
        <f t="shared" si="6"/>
        <v>-</v>
      </c>
      <c r="H147" s="105"/>
      <c r="I147" s="105"/>
    </row>
    <row r="148" spans="1:9" ht="26.25" customHeight="1" x14ac:dyDescent="0.4">
      <c r="A148" s="71" t="s">
        <v>96</v>
      </c>
      <c r="B148" s="207">
        <v>1</v>
      </c>
      <c r="C148" s="77">
        <v>5</v>
      </c>
      <c r="D148" s="221"/>
      <c r="E148" s="178" t="str">
        <f t="shared" si="5"/>
        <v>-</v>
      </c>
      <c r="F148" s="175" t="str">
        <f t="shared" si="6"/>
        <v>-</v>
      </c>
      <c r="H148" s="105"/>
      <c r="I148" s="105"/>
    </row>
    <row r="149" spans="1:9" ht="26.25" customHeight="1" x14ac:dyDescent="0.4">
      <c r="A149" s="71" t="s">
        <v>98</v>
      </c>
      <c r="B149" s="207">
        <v>1</v>
      </c>
      <c r="C149" s="80">
        <v>6</v>
      </c>
      <c r="D149" s="222"/>
      <c r="E149" s="179" t="str">
        <f t="shared" si="5"/>
        <v>-</v>
      </c>
      <c r="F149" s="176" t="str">
        <f t="shared" si="6"/>
        <v>-</v>
      </c>
      <c r="H149" s="105"/>
      <c r="I149" s="105"/>
    </row>
    <row r="150" spans="1:9" ht="26.25" customHeight="1" x14ac:dyDescent="0.4">
      <c r="A150" s="71" t="s">
        <v>99</v>
      </c>
      <c r="B150" s="207">
        <v>1</v>
      </c>
      <c r="C150" s="77"/>
      <c r="D150" s="103"/>
      <c r="E150" s="105"/>
      <c r="F150" s="119"/>
      <c r="H150" s="105"/>
      <c r="I150" s="105"/>
    </row>
    <row r="151" spans="1:9" ht="26.25" customHeight="1" x14ac:dyDescent="0.4">
      <c r="A151" s="71" t="s">
        <v>100</v>
      </c>
      <c r="B151" s="207">
        <v>1</v>
      </c>
      <c r="C151" s="77"/>
      <c r="D151" s="120"/>
      <c r="E151" s="121" t="s">
        <v>68</v>
      </c>
      <c r="F151" s="223" t="e">
        <f>AVERAGE(F144:F149)</f>
        <v>#DIV/0!</v>
      </c>
      <c r="H151" s="105"/>
      <c r="I151" s="105"/>
    </row>
    <row r="152" spans="1:9" ht="27" customHeight="1" x14ac:dyDescent="0.4">
      <c r="A152" s="71" t="s">
        <v>101</v>
      </c>
      <c r="B152" s="207">
        <f>(B151/B150)*(B149/B148)*(B147/B146)*(B145/B144)*B143</f>
        <v>1</v>
      </c>
      <c r="C152" s="123"/>
      <c r="D152" s="124"/>
      <c r="E152" s="125" t="s">
        <v>81</v>
      </c>
      <c r="F152" s="224" t="e">
        <f>STDEV(F144:F149)/F151</f>
        <v>#DIV/0!</v>
      </c>
      <c r="H152" s="105"/>
      <c r="I152" s="105"/>
    </row>
    <row r="153" spans="1:9" ht="27" customHeight="1" x14ac:dyDescent="0.4">
      <c r="A153" s="240" t="s">
        <v>75</v>
      </c>
      <c r="B153" s="241"/>
      <c r="C153" s="127"/>
      <c r="D153" s="128"/>
      <c r="E153" s="129" t="s">
        <v>19</v>
      </c>
      <c r="F153" s="225">
        <f>COUNT(F144:F149)</f>
        <v>0</v>
      </c>
      <c r="H153" s="105"/>
      <c r="I153" s="105"/>
    </row>
    <row r="154" spans="1:9" ht="19.5" customHeight="1" x14ac:dyDescent="0.3">
      <c r="A154" s="242"/>
      <c r="B154" s="243"/>
      <c r="C154" s="105"/>
      <c r="D154" s="105"/>
      <c r="E154" s="105"/>
      <c r="F154" s="103"/>
      <c r="G154" s="105"/>
      <c r="H154" s="105"/>
      <c r="I154" s="105"/>
    </row>
    <row r="155" spans="1:9" ht="18.75" x14ac:dyDescent="0.3">
      <c r="A155" s="68"/>
      <c r="B155" s="68"/>
      <c r="C155" s="105"/>
      <c r="D155" s="105"/>
      <c r="E155" s="105"/>
      <c r="F155" s="103"/>
      <c r="G155" s="105"/>
      <c r="H155" s="105"/>
      <c r="I155" s="105"/>
    </row>
    <row r="156" spans="1:9" ht="26.25" customHeight="1" x14ac:dyDescent="0.4">
      <c r="A156" s="58" t="s">
        <v>104</v>
      </c>
      <c r="B156" s="197" t="s">
        <v>105</v>
      </c>
      <c r="C156" s="244" t="str">
        <f>B20</f>
        <v xml:space="preserve">Cefuroxime Axetil </v>
      </c>
      <c r="D156" s="244"/>
      <c r="E156" s="199" t="s">
        <v>113</v>
      </c>
      <c r="F156" s="199"/>
      <c r="G156" s="226" t="e">
        <f>F151</f>
        <v>#DIV/0!</v>
      </c>
      <c r="H156" s="105"/>
      <c r="I156" s="105"/>
    </row>
    <row r="157" spans="1:9" ht="18.75" x14ac:dyDescent="0.3">
      <c r="A157" s="58"/>
      <c r="B157" s="197"/>
      <c r="C157" s="201"/>
      <c r="D157" s="201"/>
      <c r="E157" s="199"/>
      <c r="F157" s="199"/>
      <c r="G157" s="200"/>
      <c r="H157" s="105"/>
      <c r="I157" s="105"/>
    </row>
    <row r="158" spans="1:9" ht="26.25" customHeight="1" x14ac:dyDescent="0.4">
      <c r="A158" s="57" t="s">
        <v>107</v>
      </c>
      <c r="B158" s="57" t="s">
        <v>108</v>
      </c>
      <c r="D158" s="219"/>
      <c r="H158" s="105"/>
      <c r="I158" s="105"/>
    </row>
    <row r="159" spans="1:9" ht="19.5" customHeight="1" x14ac:dyDescent="0.3">
      <c r="A159" s="51"/>
      <c r="B159" s="51"/>
      <c r="C159" s="51"/>
      <c r="D159" s="51"/>
      <c r="E159" s="51"/>
      <c r="H159" s="105"/>
      <c r="I159" s="105"/>
    </row>
    <row r="160" spans="1:9" ht="26.25" customHeight="1" x14ac:dyDescent="0.4">
      <c r="A160" s="70" t="s">
        <v>109</v>
      </c>
      <c r="B160" s="206">
        <v>1</v>
      </c>
      <c r="C160" s="111" t="s">
        <v>110</v>
      </c>
      <c r="D160" s="112" t="s">
        <v>61</v>
      </c>
      <c r="E160" s="113" t="s">
        <v>111</v>
      </c>
      <c r="F160" s="114" t="s">
        <v>112</v>
      </c>
      <c r="H160" s="105"/>
      <c r="I160" s="105"/>
    </row>
    <row r="161" spans="1:9" ht="26.25" customHeight="1" x14ac:dyDescent="0.4">
      <c r="A161" s="71" t="s">
        <v>91</v>
      </c>
      <c r="B161" s="207">
        <v>1</v>
      </c>
      <c r="C161" s="77">
        <v>1</v>
      </c>
      <c r="D161" s="221"/>
      <c r="E161" s="177" t="str">
        <f t="shared" ref="E161:E166" si="7">IF(ISBLANK(D161),"-",D161/$D$105*$D$102*$B$169)</f>
        <v>-</v>
      </c>
      <c r="F161" s="174" t="str">
        <f t="shared" ref="F161:F166" si="8">IF(ISBLANK(D161), "-", E161/$B$56)</f>
        <v>-</v>
      </c>
      <c r="H161" s="105"/>
      <c r="I161" s="105"/>
    </row>
    <row r="162" spans="1:9" ht="26.25" customHeight="1" x14ac:dyDescent="0.4">
      <c r="A162" s="71" t="s">
        <v>93</v>
      </c>
      <c r="B162" s="207">
        <v>1</v>
      </c>
      <c r="C162" s="77">
        <v>2</v>
      </c>
      <c r="D162" s="221"/>
      <c r="E162" s="178" t="str">
        <f t="shared" si="7"/>
        <v>-</v>
      </c>
      <c r="F162" s="175" t="str">
        <f t="shared" si="8"/>
        <v>-</v>
      </c>
      <c r="H162" s="105"/>
      <c r="I162" s="105"/>
    </row>
    <row r="163" spans="1:9" ht="26.25" customHeight="1" x14ac:dyDescent="0.4">
      <c r="A163" s="71" t="s">
        <v>94</v>
      </c>
      <c r="B163" s="207">
        <v>1</v>
      </c>
      <c r="C163" s="77">
        <v>3</v>
      </c>
      <c r="D163" s="221"/>
      <c r="E163" s="178" t="str">
        <f t="shared" si="7"/>
        <v>-</v>
      </c>
      <c r="F163" s="175" t="str">
        <f t="shared" si="8"/>
        <v>-</v>
      </c>
      <c r="H163" s="105"/>
      <c r="I163" s="105"/>
    </row>
    <row r="164" spans="1:9" ht="26.25" customHeight="1" x14ac:dyDescent="0.4">
      <c r="A164" s="71" t="s">
        <v>95</v>
      </c>
      <c r="B164" s="207">
        <v>1</v>
      </c>
      <c r="C164" s="77">
        <v>4</v>
      </c>
      <c r="D164" s="221"/>
      <c r="E164" s="178" t="str">
        <f t="shared" si="7"/>
        <v>-</v>
      </c>
      <c r="F164" s="175" t="str">
        <f t="shared" si="8"/>
        <v>-</v>
      </c>
      <c r="H164" s="105"/>
      <c r="I164" s="105"/>
    </row>
    <row r="165" spans="1:9" ht="26.25" customHeight="1" x14ac:dyDescent="0.4">
      <c r="A165" s="71" t="s">
        <v>96</v>
      </c>
      <c r="B165" s="207">
        <v>1</v>
      </c>
      <c r="C165" s="77">
        <v>5</v>
      </c>
      <c r="D165" s="221"/>
      <c r="E165" s="178" t="str">
        <f t="shared" si="7"/>
        <v>-</v>
      </c>
      <c r="F165" s="175" t="str">
        <f t="shared" si="8"/>
        <v>-</v>
      </c>
      <c r="H165" s="105"/>
      <c r="I165" s="105"/>
    </row>
    <row r="166" spans="1:9" ht="26.25" customHeight="1" x14ac:dyDescent="0.4">
      <c r="A166" s="71" t="s">
        <v>98</v>
      </c>
      <c r="B166" s="207">
        <v>1</v>
      </c>
      <c r="C166" s="80">
        <v>6</v>
      </c>
      <c r="D166" s="222"/>
      <c r="E166" s="179" t="str">
        <f t="shared" si="7"/>
        <v>-</v>
      </c>
      <c r="F166" s="176" t="str">
        <f t="shared" si="8"/>
        <v>-</v>
      </c>
      <c r="H166" s="105"/>
      <c r="I166" s="105"/>
    </row>
    <row r="167" spans="1:9" ht="26.25" customHeight="1" x14ac:dyDescent="0.4">
      <c r="A167" s="71" t="s">
        <v>99</v>
      </c>
      <c r="B167" s="207">
        <v>1</v>
      </c>
      <c r="C167" s="77"/>
      <c r="D167" s="103"/>
      <c r="E167" s="105"/>
      <c r="F167" s="119"/>
      <c r="H167" s="105"/>
      <c r="I167" s="105"/>
    </row>
    <row r="168" spans="1:9" ht="26.25" customHeight="1" x14ac:dyDescent="0.4">
      <c r="A168" s="71" t="s">
        <v>100</v>
      </c>
      <c r="B168" s="207">
        <v>1</v>
      </c>
      <c r="C168" s="77"/>
      <c r="D168" s="120"/>
      <c r="E168" s="121" t="s">
        <v>68</v>
      </c>
      <c r="F168" s="223" t="e">
        <f>AVERAGE(F161:F166)</f>
        <v>#DIV/0!</v>
      </c>
      <c r="H168" s="105"/>
      <c r="I168" s="105"/>
    </row>
    <row r="169" spans="1:9" ht="27" customHeight="1" x14ac:dyDescent="0.4">
      <c r="A169" s="71" t="s">
        <v>101</v>
      </c>
      <c r="B169" s="207">
        <f>(B168/B167)*(B166/B165)*(B164/B163)*(B162/B161)*B160</f>
        <v>1</v>
      </c>
      <c r="C169" s="123"/>
      <c r="D169" s="124"/>
      <c r="E169" s="125" t="s">
        <v>81</v>
      </c>
      <c r="F169" s="224" t="e">
        <f>STDEV(F161:F166)/F168</f>
        <v>#DIV/0!</v>
      </c>
      <c r="H169" s="105"/>
      <c r="I169" s="105"/>
    </row>
    <row r="170" spans="1:9" ht="27" customHeight="1" x14ac:dyDescent="0.4">
      <c r="A170" s="240" t="s">
        <v>75</v>
      </c>
      <c r="B170" s="241"/>
      <c r="C170" s="127"/>
      <c r="D170" s="128"/>
      <c r="E170" s="129" t="s">
        <v>19</v>
      </c>
      <c r="F170" s="225">
        <f>COUNT(F161:F166)</f>
        <v>0</v>
      </c>
      <c r="H170" s="105"/>
      <c r="I170" s="105"/>
    </row>
    <row r="171" spans="1:9" ht="19.5" customHeight="1" x14ac:dyDescent="0.3">
      <c r="A171" s="242"/>
      <c r="B171" s="243"/>
      <c r="C171" s="105"/>
      <c r="D171" s="105"/>
      <c r="E171" s="105"/>
      <c r="F171" s="103"/>
      <c r="G171" s="105"/>
      <c r="H171" s="105"/>
      <c r="I171" s="105"/>
    </row>
    <row r="172" spans="1:9" ht="18.75" x14ac:dyDescent="0.3">
      <c r="A172" s="68"/>
      <c r="B172" s="68"/>
      <c r="C172" s="105"/>
      <c r="D172" s="105"/>
      <c r="E172" s="105"/>
      <c r="F172" s="103"/>
      <c r="G172" s="105"/>
      <c r="H172" s="105"/>
      <c r="I172" s="105"/>
    </row>
    <row r="173" spans="1:9" ht="26.25" customHeight="1" x14ac:dyDescent="0.4">
      <c r="A173" s="58" t="s">
        <v>104</v>
      </c>
      <c r="B173" s="197" t="s">
        <v>105</v>
      </c>
      <c r="C173" s="244" t="str">
        <f>B20</f>
        <v xml:space="preserve">Cefuroxime Axetil </v>
      </c>
      <c r="D173" s="244"/>
      <c r="E173" s="199" t="s">
        <v>113</v>
      </c>
      <c r="F173" s="199"/>
      <c r="G173" s="226" t="e">
        <f>F168</f>
        <v>#DIV/0!</v>
      </c>
      <c r="H173" s="105"/>
      <c r="I173" s="105"/>
    </row>
    <row r="174" spans="1:9" ht="18.75" x14ac:dyDescent="0.3">
      <c r="A174" s="58"/>
      <c r="B174" s="197"/>
      <c r="C174" s="201"/>
      <c r="D174" s="201"/>
      <c r="E174" s="199"/>
      <c r="F174" s="199"/>
      <c r="G174" s="200"/>
      <c r="H174" s="105"/>
      <c r="I174" s="105"/>
    </row>
    <row r="175" spans="1:9" ht="19.5" customHeight="1" x14ac:dyDescent="0.3">
      <c r="A175" s="143"/>
      <c r="B175" s="143"/>
      <c r="C175" s="144"/>
      <c r="D175" s="144"/>
      <c r="E175" s="144"/>
      <c r="F175" s="144"/>
      <c r="G175" s="144"/>
      <c r="H175" s="144"/>
    </row>
    <row r="176" spans="1:9" ht="18.75" x14ac:dyDescent="0.3">
      <c r="B176" s="239" t="s">
        <v>24</v>
      </c>
      <c r="C176" s="239"/>
      <c r="E176" s="131" t="s">
        <v>25</v>
      </c>
      <c r="F176" s="159"/>
      <c r="G176" s="239" t="s">
        <v>26</v>
      </c>
      <c r="H176" s="239"/>
    </row>
    <row r="177" spans="1:9" ht="83.1" customHeight="1" x14ac:dyDescent="0.3">
      <c r="A177" s="160" t="s">
        <v>27</v>
      </c>
      <c r="B177" s="195" t="s">
        <v>117</v>
      </c>
      <c r="C177" s="195"/>
      <c r="E177" s="155"/>
      <c r="F177" s="105"/>
      <c r="G177" s="157"/>
      <c r="H177" s="157"/>
    </row>
    <row r="178" spans="1:9" ht="83.1" customHeight="1" x14ac:dyDescent="0.3">
      <c r="A178" s="160" t="s">
        <v>28</v>
      </c>
      <c r="B178" s="196"/>
      <c r="C178" s="196"/>
      <c r="E178" s="156"/>
      <c r="F178" s="105"/>
      <c r="G178" s="158"/>
      <c r="H178" s="158"/>
    </row>
    <row r="179" spans="1:9" ht="18.75" x14ac:dyDescent="0.3">
      <c r="A179" s="102"/>
      <c r="B179" s="102"/>
      <c r="C179" s="103"/>
      <c r="D179" s="103"/>
      <c r="E179" s="103"/>
      <c r="F179" s="104"/>
      <c r="G179" s="103"/>
      <c r="H179" s="103"/>
      <c r="I179" s="105"/>
    </row>
    <row r="180" spans="1:9" ht="18.75" x14ac:dyDescent="0.3">
      <c r="A180" s="102"/>
      <c r="B180" s="102"/>
      <c r="C180" s="103"/>
      <c r="D180" s="103"/>
      <c r="E180" s="103"/>
      <c r="F180" s="104"/>
      <c r="G180" s="103"/>
      <c r="H180" s="103"/>
      <c r="I180" s="105"/>
    </row>
    <row r="181" spans="1:9" ht="18.75" x14ac:dyDescent="0.3">
      <c r="A181" s="102"/>
      <c r="B181" s="102"/>
      <c r="C181" s="103"/>
      <c r="D181" s="103"/>
      <c r="E181" s="103"/>
      <c r="F181" s="104"/>
      <c r="G181" s="103"/>
      <c r="H181" s="103"/>
      <c r="I181" s="105"/>
    </row>
    <row r="182" spans="1:9" ht="18.75" x14ac:dyDescent="0.3">
      <c r="A182" s="102"/>
      <c r="B182" s="102"/>
      <c r="C182" s="103"/>
      <c r="D182" s="103"/>
      <c r="E182" s="103"/>
      <c r="F182" s="104"/>
      <c r="G182" s="103"/>
      <c r="H182" s="103"/>
      <c r="I182" s="105"/>
    </row>
    <row r="183" spans="1:9" ht="18.75" x14ac:dyDescent="0.3">
      <c r="A183" s="102"/>
      <c r="B183" s="102"/>
      <c r="C183" s="103"/>
      <c r="D183" s="103"/>
      <c r="E183" s="103"/>
      <c r="F183" s="104"/>
      <c r="G183" s="103"/>
      <c r="H183" s="103"/>
      <c r="I183" s="105"/>
    </row>
    <row r="184" spans="1:9" ht="18.75" x14ac:dyDescent="0.3">
      <c r="A184" s="102"/>
      <c r="B184" s="102"/>
      <c r="C184" s="103"/>
      <c r="D184" s="103"/>
      <c r="E184" s="103"/>
      <c r="F184" s="104"/>
      <c r="G184" s="103"/>
      <c r="H184" s="103"/>
      <c r="I184" s="105"/>
    </row>
    <row r="185" spans="1:9" ht="18.75" x14ac:dyDescent="0.3">
      <c r="A185" s="102"/>
      <c r="B185" s="102"/>
      <c r="C185" s="103"/>
      <c r="D185" s="103"/>
      <c r="E185" s="103"/>
      <c r="F185" s="104"/>
      <c r="G185" s="103"/>
      <c r="H185" s="103"/>
      <c r="I185" s="105"/>
    </row>
    <row r="186" spans="1:9" ht="18.75" x14ac:dyDescent="0.3">
      <c r="A186" s="102"/>
      <c r="B186" s="102"/>
      <c r="C186" s="103"/>
      <c r="D186" s="103"/>
      <c r="E186" s="103"/>
      <c r="F186" s="104"/>
      <c r="G186" s="103"/>
      <c r="H186" s="103"/>
      <c r="I186" s="105"/>
    </row>
    <row r="187" spans="1:9" ht="18.75" x14ac:dyDescent="0.3">
      <c r="A187" s="102"/>
      <c r="B187" s="102"/>
      <c r="C187" s="103"/>
      <c r="D187" s="103"/>
      <c r="E187" s="103"/>
      <c r="F187" s="104"/>
      <c r="G187" s="103"/>
      <c r="H187" s="103"/>
      <c r="I187" s="105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C122:D122"/>
    <mergeCell ref="C156:D156"/>
    <mergeCell ref="C139:D139"/>
    <mergeCell ref="C173:D173"/>
    <mergeCell ref="F91:G91"/>
    <mergeCell ref="B176:C176"/>
    <mergeCell ref="A136:B137"/>
    <mergeCell ref="A170:B171"/>
    <mergeCell ref="A153:B154"/>
    <mergeCell ref="G176:H176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 </vt:lpstr>
      <vt:lpstr>Uniformity</vt:lpstr>
      <vt:lpstr>Cefuroxime</vt:lpstr>
      <vt:lpstr>Cefuroxime!Print_Area</vt:lpstr>
      <vt:lpstr>'SST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2018-07-26T06:17:41Z</cp:lastPrinted>
  <dcterms:created xsi:type="dcterms:W3CDTF">2005-07-05T10:19:27Z</dcterms:created>
  <dcterms:modified xsi:type="dcterms:W3CDTF">2018-07-26T06:19:22Z</dcterms:modified>
</cp:coreProperties>
</file>