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6" yWindow="528" windowWidth="21840" windowHeight="11448" activeTab="2"/>
  </bookViews>
  <sheets>
    <sheet name="SST" sheetId="1" r:id="rId1"/>
    <sheet name="Uniformity" sheetId="2" r:id="rId2"/>
    <sheet name="Cefuroxime " sheetId="4" r:id="rId3"/>
  </sheets>
  <definedNames>
    <definedName name="_xlnm.Print_Area" localSheetId="2">'Cefuroxime '!$A$1:$H$178</definedName>
    <definedName name="_xlnm.Print_Area" localSheetId="0">SST!$A$15:$H$61</definedName>
    <definedName name="_xlnm.Print_Area" localSheetId="1">Uniformity!$A$12:$H$54</definedName>
  </definedNames>
  <calcPr calcId="145621"/>
</workbook>
</file>

<file path=xl/calcChain.xml><?xml version="1.0" encoding="utf-8"?>
<calcChain xmlns="http://schemas.openxmlformats.org/spreadsheetml/2006/main">
  <c r="F70" i="4" l="1"/>
  <c r="F69" i="4"/>
  <c r="F65" i="4"/>
  <c r="F64" i="4"/>
  <c r="B21" i="1"/>
  <c r="F51" i="1" l="1"/>
  <c r="F30" i="1"/>
  <c r="B42" i="1"/>
  <c r="B51" i="1"/>
  <c r="F66" i="4" l="1"/>
  <c r="F62" i="4"/>
  <c r="F61" i="4"/>
  <c r="F60" i="4"/>
  <c r="F40" i="4"/>
  <c r="F39" i="4"/>
  <c r="F38" i="4"/>
  <c r="C173" i="4"/>
  <c r="B169" i="4"/>
  <c r="C156" i="4"/>
  <c r="B152" i="4"/>
  <c r="C139" i="4"/>
  <c r="B135" i="4"/>
  <c r="C122" i="4"/>
  <c r="B118" i="4"/>
  <c r="D102" i="4" s="1"/>
  <c r="B100" i="4"/>
  <c r="F97" i="4"/>
  <c r="D97" i="4"/>
  <c r="G96" i="4"/>
  <c r="E96" i="4"/>
  <c r="B89" i="4"/>
  <c r="F99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D42" i="4"/>
  <c r="G41" i="4"/>
  <c r="E41" i="4"/>
  <c r="B34" i="4"/>
  <c r="F44" i="4" s="1"/>
  <c r="B30" i="4"/>
  <c r="C46" i="2"/>
  <c r="C49" i="2" s="1"/>
  <c r="C45" i="2"/>
  <c r="C19" i="2"/>
  <c r="B53" i="1"/>
  <c r="E51" i="1"/>
  <c r="D51" i="1"/>
  <c r="C51" i="1"/>
  <c r="B52" i="1"/>
  <c r="B32" i="1"/>
  <c r="E30" i="1"/>
  <c r="D30" i="1"/>
  <c r="C30" i="1"/>
  <c r="B30" i="1"/>
  <c r="B31" i="1" s="1"/>
  <c r="D27" i="2" l="1"/>
  <c r="D33" i="2"/>
  <c r="D40" i="2"/>
  <c r="B84" i="4"/>
  <c r="F100" i="4" s="1"/>
  <c r="F101" i="4" s="1"/>
  <c r="D24" i="2"/>
  <c r="D29" i="2"/>
  <c r="D36" i="2"/>
  <c r="D43" i="2"/>
  <c r="C50" i="2"/>
  <c r="D25" i="2"/>
  <c r="D32" i="2"/>
  <c r="D37" i="2"/>
  <c r="B57" i="4"/>
  <c r="B69" i="4" s="1"/>
  <c r="F42" i="4"/>
  <c r="D28" i="2"/>
  <c r="D35" i="2"/>
  <c r="D41" i="2"/>
  <c r="D49" i="2"/>
  <c r="D99" i="4"/>
  <c r="D103" i="4"/>
  <c r="F45" i="4"/>
  <c r="F46" i="4" s="1"/>
  <c r="D44" i="4"/>
  <c r="D45" i="4" s="1"/>
  <c r="D46" i="4" s="1"/>
  <c r="D49" i="4"/>
  <c r="D26" i="2"/>
  <c r="D34" i="2"/>
  <c r="D42" i="2"/>
  <c r="D50" i="2"/>
  <c r="D30" i="2"/>
  <c r="D38" i="2"/>
  <c r="B49" i="2"/>
  <c r="D31" i="2"/>
  <c r="D39" i="2"/>
  <c r="D100" i="4" l="1"/>
  <c r="D101" i="4" s="1"/>
  <c r="G39" i="4"/>
  <c r="G38" i="4"/>
  <c r="G40" i="4"/>
  <c r="G94" i="4"/>
  <c r="G95" i="4"/>
  <c r="G93" i="4"/>
  <c r="D104" i="4"/>
  <c r="E94" i="4"/>
  <c r="E39" i="4"/>
  <c r="E40" i="4"/>
  <c r="E38" i="4"/>
  <c r="E93" i="4" l="1"/>
  <c r="E95" i="4"/>
  <c r="G42" i="4"/>
  <c r="G97" i="4"/>
  <c r="D50" i="4"/>
  <c r="G70" i="4" s="1"/>
  <c r="H70" i="4" s="1"/>
  <c r="E42" i="4"/>
  <c r="D52" i="4"/>
  <c r="E164" i="4"/>
  <c r="F164" i="4" s="1"/>
  <c r="E144" i="4"/>
  <c r="F144" i="4" s="1"/>
  <c r="E165" i="4"/>
  <c r="F165" i="4" s="1"/>
  <c r="E148" i="4"/>
  <c r="F148" i="4" s="1"/>
  <c r="E163" i="4"/>
  <c r="F163" i="4" s="1"/>
  <c r="E147" i="4"/>
  <c r="F147" i="4" s="1"/>
  <c r="E97" i="4" l="1"/>
  <c r="D105" i="4"/>
  <c r="E161" i="4" s="1"/>
  <c r="F161" i="4" s="1"/>
  <c r="D107" i="4"/>
  <c r="E130" i="4"/>
  <c r="F130" i="4" s="1"/>
  <c r="E131" i="4"/>
  <c r="F131" i="4" s="1"/>
  <c r="E128" i="4"/>
  <c r="F128" i="4" s="1"/>
  <c r="E110" i="4"/>
  <c r="F110" i="4" s="1"/>
  <c r="E129" i="4"/>
  <c r="F129" i="4" s="1"/>
  <c r="E111" i="4"/>
  <c r="F111" i="4" s="1"/>
  <c r="E113" i="4"/>
  <c r="F113" i="4" s="1"/>
  <c r="E145" i="4"/>
  <c r="F145" i="4" s="1"/>
  <c r="E162" i="4"/>
  <c r="F162" i="4" s="1"/>
  <c r="E146" i="4"/>
  <c r="F146" i="4" s="1"/>
  <c r="E149" i="4"/>
  <c r="F149" i="4" s="1"/>
  <c r="E166" i="4"/>
  <c r="F166" i="4" s="1"/>
  <c r="D51" i="4"/>
  <c r="G68" i="4"/>
  <c r="H68" i="4" s="1"/>
  <c r="G61" i="4"/>
  <c r="H61" i="4" s="1"/>
  <c r="G65" i="4"/>
  <c r="H65" i="4" s="1"/>
  <c r="G62" i="4"/>
  <c r="H62" i="4" s="1"/>
  <c r="G60" i="4"/>
  <c r="H60" i="4" s="1"/>
  <c r="G66" i="4"/>
  <c r="H66" i="4" s="1"/>
  <c r="G64" i="4"/>
  <c r="H64" i="4" s="1"/>
  <c r="G69" i="4"/>
  <c r="H69" i="4" s="1"/>
  <c r="E115" i="4" l="1"/>
  <c r="F115" i="4" s="1"/>
  <c r="E112" i="4"/>
  <c r="F112" i="4" s="1"/>
  <c r="F117" i="4" s="1"/>
  <c r="F118" i="4" s="1"/>
  <c r="E114" i="4"/>
  <c r="F114" i="4" s="1"/>
  <c r="D106" i="4"/>
  <c r="E127" i="4"/>
  <c r="F127" i="4" s="1"/>
  <c r="E132" i="4"/>
  <c r="F132" i="4" s="1"/>
  <c r="F134" i="4"/>
  <c r="G139" i="4" s="1"/>
  <c r="F136" i="4"/>
  <c r="F151" i="4"/>
  <c r="G156" i="4" s="1"/>
  <c r="F170" i="4"/>
  <c r="F153" i="4"/>
  <c r="F168" i="4"/>
  <c r="G173" i="4" s="1"/>
  <c r="H74" i="4"/>
  <c r="H72" i="4"/>
  <c r="H73" i="4" s="1"/>
  <c r="F119" i="4" l="1"/>
  <c r="F135" i="4"/>
  <c r="F152" i="4"/>
  <c r="F169" i="4"/>
  <c r="G122" i="4"/>
  <c r="G76" i="4"/>
</calcChain>
</file>

<file path=xl/sharedStrings.xml><?xml version="1.0" encoding="utf-8"?>
<sst xmlns="http://schemas.openxmlformats.org/spreadsheetml/2006/main" count="307" uniqueCount="125">
  <si>
    <t>HPLC System Suitability Report</t>
  </si>
  <si>
    <t>Analysis Data</t>
  </si>
  <si>
    <t>Sample(s)</t>
  </si>
  <si>
    <t>Reference Substance:</t>
  </si>
  <si>
    <t>CEUROX-500 TABALETS</t>
  </si>
  <si>
    <t>% age Purity:</t>
  </si>
  <si>
    <t>NDQA201807019</t>
  </si>
  <si>
    <t>Weight (mg):</t>
  </si>
  <si>
    <t xml:space="preserve">Cefuroxime Axetil </t>
  </si>
  <si>
    <t>Standard Conc (mg/mL):</t>
  </si>
  <si>
    <t>Each film coated tablet contain: Cefuroxime 500 mg (as Cefuroxime Axetil USP)</t>
  </si>
  <si>
    <t>2018-07-09 08:40:51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</si>
  <si>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</si>
  <si>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</si>
  <si>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</si>
  <si>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</si>
  <si>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</si>
  <si>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</si>
  <si>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</si>
  <si>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</si>
  <si>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</si>
  <si>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</si>
  <si>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</si>
  <si>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</si>
  <si>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</si>
  <si>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</si>
  <si>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</si>
  <si>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</si>
  <si>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</si>
  <si>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</si>
  <si>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</si>
  <si>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</si>
  <si>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</si>
  <si>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</si>
  <si>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</si>
  <si>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</si>
  <si>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</si>
  <si>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</si>
  <si>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</si>
  <si>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</si>
  <si>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</si>
  <si>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</si>
  <si>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</si>
  <si>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</si>
  <si>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</si>
  <si>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</si>
  <si>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</si>
  <si>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</si>
  <si>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</si>
  <si>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</si>
  <si>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</si>
  <si>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</si>
  <si>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</si>
  <si>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</si>
  <si>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</si>
  <si>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</si>
  <si>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</si>
  <si>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</si>
  <si>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</si>
  <si>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</si>
  <si>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</si>
  <si>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</si>
  <si>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</si>
  <si>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</si>
  <si>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</si>
  <si>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</si>
  <si>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</si>
  <si>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</si>
  <si>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</si>
  <si>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</si>
  <si>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</si>
  <si>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</si>
  <si>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</si>
  <si>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</si>
  <si>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</si>
  <si>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</si>
  <si>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</si>
  <si>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</si>
  <si>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</si>
  <si>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</si>
  <si>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</si>
  <si>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</si>
  <si>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</si>
  <si>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</si>
  <si>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</si>
  <si>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</si>
  <si>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</si>
  <si>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</si>
  <si>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</si>
  <si>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</si>
  <si>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</si>
  <si>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</si>
  <si>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</si>
  <si>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</si>
  <si>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</si>
  <si>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</si>
  <si>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</si>
  <si>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</si>
  <si>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</si>
  <si>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</si>
  <si>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</si>
  <si>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</si>
  <si>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</si>
  <si>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</si>
  <si>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</si>
  <si>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</si>
  <si>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</si>
  <si>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</si>
  <si>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</si>
  <si>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</si>
  <si>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</si>
  <si>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</si>
  <si>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</si>
  <si>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</si>
  <si>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Cefuroxime Axetil</t>
  </si>
  <si>
    <t>C3-7</t>
  </si>
  <si>
    <t>15Mins</t>
  </si>
  <si>
    <t>45mins</t>
  </si>
  <si>
    <t>RUTTO  KENNEDY</t>
  </si>
  <si>
    <t>Assay(Cefuroxime Axetil Isomer B)</t>
  </si>
  <si>
    <t>Assay(Cefuroxime Axetil Isomer A)</t>
  </si>
  <si>
    <t>Resolution</t>
  </si>
  <si>
    <r>
      <t xml:space="preserve">The Resolution between Cefuroxime Axetil Diastereoisomers  A &amp; B should be </t>
    </r>
    <r>
      <rPr>
        <b/>
        <sz val="12"/>
        <color rgb="FF000000"/>
        <rFont val="Book Antiqua"/>
        <family val="1"/>
      </rPr>
      <t>NLT 1.5</t>
    </r>
  </si>
  <si>
    <t>RUTTO KENNEDY</t>
  </si>
  <si>
    <t>Cefuroxime( as Axetil)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</si>
</sst>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3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center"/>
      <protection locked="0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2" fillId="6" borderId="49" xfId="0" applyNumberFormat="1" applyFont="1" applyFill="1" applyBorder="1" applyAlignment="1">
      <alignment horizontal="center"/>
    </xf>
    <xf numFmtId="170" fontId="12" fillId="6" borderId="48" xfId="0" applyNumberFormat="1" applyFont="1" applyFill="1" applyBorder="1" applyAlignment="1">
      <alignment horizontal="center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 applyProtection="1">
      <alignment horizontal="center"/>
    </xf>
    <xf numFmtId="2" fontId="13" fillId="3" borderId="5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J61"/>
  <sheetViews>
    <sheetView topLeftCell="A31" workbookViewId="0">
      <selection activeCell="B51" sqref="B51:F5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5.6640625" style="212" customWidth="1"/>
    <col min="7" max="7" width="23.109375" style="4" customWidth="1"/>
    <col min="8" max="8" width="28.44140625" style="4" customWidth="1"/>
    <col min="9" max="9" width="21.5546875" style="4" customWidth="1"/>
    <col min="10" max="10" width="9.109375" style="4" customWidth="1"/>
  </cols>
  <sheetData>
    <row r="12" spans="1:7" x14ac:dyDescent="0.3">
      <c r="C12" s="212"/>
    </row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5">
      <c r="A15" s="284" t="s">
        <v>0</v>
      </c>
      <c r="B15" s="284"/>
      <c r="C15" s="284"/>
      <c r="D15" s="284"/>
      <c r="E15" s="284"/>
      <c r="F15" s="278"/>
    </row>
    <row r="16" spans="1:7" ht="16.5" customHeight="1" x14ac:dyDescent="0.3">
      <c r="A16" s="5" t="s">
        <v>1</v>
      </c>
      <c r="B16" s="56" t="s">
        <v>120</v>
      </c>
    </row>
    <row r="17" spans="1:7" ht="16.5" customHeight="1" x14ac:dyDescent="0.3">
      <c r="A17" s="6" t="s">
        <v>2</v>
      </c>
      <c r="B17" s="7" t="s">
        <v>4</v>
      </c>
      <c r="D17" s="8"/>
      <c r="E17" s="9"/>
      <c r="F17" s="69"/>
    </row>
    <row r="18" spans="1:7" ht="16.5" customHeight="1" x14ac:dyDescent="0.3">
      <c r="A18" s="10" t="s">
        <v>3</v>
      </c>
      <c r="B18" s="11" t="s">
        <v>8</v>
      </c>
      <c r="C18" s="9"/>
      <c r="D18" s="9"/>
      <c r="E18" s="9"/>
      <c r="F18" s="69"/>
    </row>
    <row r="19" spans="1:7" ht="16.5" customHeight="1" x14ac:dyDescent="0.3">
      <c r="A19" s="10" t="s">
        <v>5</v>
      </c>
      <c r="B19" s="11">
        <v>82.3</v>
      </c>
      <c r="C19" s="9"/>
      <c r="D19" s="9"/>
      <c r="E19" s="9"/>
      <c r="F19" s="69"/>
    </row>
    <row r="20" spans="1:7" ht="16.5" customHeight="1" x14ac:dyDescent="0.3">
      <c r="A20" s="6" t="s">
        <v>7</v>
      </c>
      <c r="B20" s="11">
        <v>17.87</v>
      </c>
      <c r="C20" s="9"/>
      <c r="D20" s="9"/>
      <c r="E20" s="9"/>
      <c r="F20" s="69"/>
    </row>
    <row r="21" spans="1:7" ht="16.5" customHeight="1" x14ac:dyDescent="0.3">
      <c r="A21" s="6" t="s">
        <v>9</v>
      </c>
      <c r="B21" s="12">
        <f>B20/50</f>
        <v>0.3574</v>
      </c>
      <c r="C21" s="9"/>
      <c r="D21" s="9"/>
      <c r="E21" s="9"/>
      <c r="F21" s="69"/>
    </row>
    <row r="22" spans="1:7" ht="15.75" customHeight="1" x14ac:dyDescent="0.3">
      <c r="A22" s="9"/>
      <c r="B22" s="9"/>
      <c r="C22" s="9"/>
      <c r="D22" s="9"/>
      <c r="E22" s="9"/>
      <c r="F22" s="69"/>
    </row>
    <row r="23" spans="1:7" ht="16.5" customHeight="1" x14ac:dyDescent="0.3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  <c r="F23" s="15" t="s">
        <v>121</v>
      </c>
    </row>
    <row r="24" spans="1:7" ht="16.5" customHeight="1" x14ac:dyDescent="0.3">
      <c r="A24" s="16">
        <v>1</v>
      </c>
      <c r="B24" s="17">
        <v>61768972</v>
      </c>
      <c r="C24" s="17">
        <v>9988.27</v>
      </c>
      <c r="D24" s="18">
        <v>1.03</v>
      </c>
      <c r="E24" s="19">
        <v>16.07</v>
      </c>
      <c r="F24" s="280">
        <v>0</v>
      </c>
    </row>
    <row r="25" spans="1:7" ht="16.5" customHeight="1" x14ac:dyDescent="0.3">
      <c r="A25" s="16">
        <v>2</v>
      </c>
      <c r="B25" s="17">
        <v>61673857</v>
      </c>
      <c r="C25" s="17">
        <v>9956.3799999999992</v>
      </c>
      <c r="D25" s="18">
        <v>1.04</v>
      </c>
      <c r="E25" s="18">
        <v>16.07</v>
      </c>
      <c r="F25" s="280">
        <v>0</v>
      </c>
    </row>
    <row r="26" spans="1:7" ht="16.5" customHeight="1" x14ac:dyDescent="0.3">
      <c r="A26" s="16">
        <v>3</v>
      </c>
      <c r="B26" s="17">
        <v>61850261</v>
      </c>
      <c r="C26" s="17">
        <v>9978.74</v>
      </c>
      <c r="D26" s="18">
        <v>1.04</v>
      </c>
      <c r="E26" s="18">
        <v>16.079999999999998</v>
      </c>
      <c r="F26" s="280">
        <v>0</v>
      </c>
    </row>
    <row r="27" spans="1:7" ht="16.5" customHeight="1" x14ac:dyDescent="0.3">
      <c r="A27" s="16">
        <v>4</v>
      </c>
      <c r="B27" s="17">
        <v>61946250</v>
      </c>
      <c r="C27" s="17">
        <v>9946.9599999999991</v>
      </c>
      <c r="D27" s="18">
        <v>1.05</v>
      </c>
      <c r="E27" s="18">
        <v>16.09</v>
      </c>
      <c r="F27" s="280">
        <v>0</v>
      </c>
    </row>
    <row r="28" spans="1:7" ht="16.5" customHeight="1" x14ac:dyDescent="0.3">
      <c r="A28" s="16">
        <v>5</v>
      </c>
      <c r="B28" s="17">
        <v>61776097</v>
      </c>
      <c r="C28" s="17">
        <v>9921.32</v>
      </c>
      <c r="D28" s="18">
        <v>1.05</v>
      </c>
      <c r="E28" s="18">
        <v>16.09</v>
      </c>
      <c r="F28" s="280">
        <v>0</v>
      </c>
    </row>
    <row r="29" spans="1:7" ht="16.5" customHeight="1" x14ac:dyDescent="0.3">
      <c r="A29" s="16">
        <v>6</v>
      </c>
      <c r="B29" s="20">
        <v>61640376</v>
      </c>
      <c r="C29" s="20">
        <v>9916.94</v>
      </c>
      <c r="D29" s="21">
        <v>1.05</v>
      </c>
      <c r="E29" s="21">
        <v>16.09</v>
      </c>
      <c r="F29" s="280">
        <v>0</v>
      </c>
    </row>
    <row r="30" spans="1:7" ht="16.5" customHeight="1" x14ac:dyDescent="0.3">
      <c r="A30" s="22" t="s">
        <v>17</v>
      </c>
      <c r="B30" s="23">
        <f>AVERAGE(B24:B29)</f>
        <v>61775968.833333336</v>
      </c>
      <c r="C30" s="24">
        <f>AVERAGE(C24:C29)</f>
        <v>9951.4349999999995</v>
      </c>
      <c r="D30" s="24">
        <f>AVERAGE(D24:D29)</f>
        <v>1.0433333333333332</v>
      </c>
      <c r="E30" s="24">
        <f>AVERAGE(E24:E29)</f>
        <v>16.081666666666667</v>
      </c>
      <c r="F30" s="24">
        <f>AVERAGE(F24:F29)</f>
        <v>0</v>
      </c>
    </row>
    <row r="31" spans="1:7" ht="16.5" customHeight="1" x14ac:dyDescent="0.3">
      <c r="A31" s="25" t="s">
        <v>18</v>
      </c>
      <c r="B31" s="26">
        <f>(STDEV(B24:B29)/B30)</f>
        <v>1.8224624465196055E-3</v>
      </c>
      <c r="C31" s="27"/>
      <c r="D31" s="27"/>
      <c r="E31" s="28"/>
      <c r="F31" s="281"/>
      <c r="G31" s="2"/>
    </row>
    <row r="32" spans="1:7" s="2" customFormat="1" ht="16.5" customHeight="1" x14ac:dyDescent="0.3">
      <c r="A32" s="29" t="s">
        <v>19</v>
      </c>
      <c r="B32" s="30">
        <f>COUNT(B24:B29)</f>
        <v>6</v>
      </c>
      <c r="C32" s="31"/>
      <c r="D32" s="32"/>
      <c r="E32" s="33"/>
      <c r="F32" s="33"/>
    </row>
    <row r="33" spans="1:7" s="2" customFormat="1" ht="15.75" customHeight="1" x14ac:dyDescent="0.3">
      <c r="A33" s="9"/>
      <c r="B33" s="9"/>
      <c r="C33" s="9"/>
      <c r="D33" s="9"/>
      <c r="E33" s="34"/>
      <c r="F33" s="69"/>
    </row>
    <row r="34" spans="1:7" s="2" customFormat="1" ht="16.5" customHeight="1" x14ac:dyDescent="0.3">
      <c r="A34" s="10" t="s">
        <v>20</v>
      </c>
      <c r="B34" s="35" t="s">
        <v>21</v>
      </c>
      <c r="C34" s="36"/>
      <c r="D34" s="36"/>
      <c r="E34" s="37"/>
      <c r="F34" s="37"/>
    </row>
    <row r="35" spans="1:7" ht="16.5" customHeight="1" x14ac:dyDescent="0.3">
      <c r="A35" s="10"/>
      <c r="B35" s="35" t="s">
        <v>22</v>
      </c>
      <c r="C35" s="36"/>
      <c r="D35" s="36"/>
      <c r="E35" s="37"/>
      <c r="F35" s="37"/>
      <c r="G35" s="2"/>
    </row>
    <row r="36" spans="1:7" ht="16.5" customHeight="1" x14ac:dyDescent="0.3">
      <c r="A36" s="10"/>
      <c r="B36" s="38" t="s">
        <v>23</v>
      </c>
      <c r="C36" s="36"/>
      <c r="D36" s="36"/>
      <c r="E36" s="36"/>
      <c r="F36" s="37"/>
    </row>
    <row r="37" spans="1:7" ht="15.75" customHeight="1" thickBot="1" x14ac:dyDescent="0.35">
      <c r="A37" s="9"/>
      <c r="B37" s="60" t="s">
        <v>122</v>
      </c>
      <c r="C37" s="9"/>
      <c r="D37" s="9"/>
      <c r="E37" s="9"/>
      <c r="F37" s="69"/>
    </row>
    <row r="38" spans="1:7" ht="16.5" customHeight="1" x14ac:dyDescent="0.3">
      <c r="A38" s="5" t="s">
        <v>1</v>
      </c>
      <c r="B38" s="56" t="s">
        <v>119</v>
      </c>
    </row>
    <row r="39" spans="1:7" ht="16.5" customHeight="1" x14ac:dyDescent="0.3">
      <c r="A39" s="10" t="s">
        <v>3</v>
      </c>
      <c r="B39" s="11" t="s">
        <v>8</v>
      </c>
      <c r="C39" s="9"/>
      <c r="D39" s="9"/>
      <c r="E39" s="9"/>
      <c r="F39" s="69"/>
    </row>
    <row r="40" spans="1:7" ht="16.5" customHeight="1" x14ac:dyDescent="0.3">
      <c r="A40" s="10" t="s">
        <v>5</v>
      </c>
      <c r="B40" s="11">
        <v>82.3</v>
      </c>
      <c r="C40" s="9"/>
      <c r="D40" s="9"/>
      <c r="E40" s="9"/>
      <c r="F40" s="69"/>
    </row>
    <row r="41" spans="1:7" ht="16.5" customHeight="1" x14ac:dyDescent="0.3">
      <c r="A41" s="6" t="s">
        <v>7</v>
      </c>
      <c r="B41" s="11">
        <v>17.87</v>
      </c>
      <c r="C41" s="9"/>
      <c r="D41" s="9"/>
      <c r="E41" s="9"/>
      <c r="F41" s="69"/>
    </row>
    <row r="42" spans="1:7" ht="16.5" customHeight="1" x14ac:dyDescent="0.3">
      <c r="A42" s="6" t="s">
        <v>9</v>
      </c>
      <c r="B42" s="12">
        <f>B41/50</f>
        <v>0.3574</v>
      </c>
      <c r="C42" s="9"/>
      <c r="D42" s="9"/>
      <c r="E42" s="9"/>
      <c r="F42" s="69"/>
    </row>
    <row r="43" spans="1:7" ht="15.75" customHeight="1" x14ac:dyDescent="0.3">
      <c r="A43" s="9"/>
      <c r="B43" s="9"/>
      <c r="C43" s="9"/>
      <c r="D43" s="9"/>
      <c r="E43" s="9"/>
      <c r="F43" s="69"/>
    </row>
    <row r="44" spans="1:7" ht="16.5" customHeight="1" x14ac:dyDescent="0.3">
      <c r="A44" s="13" t="s">
        <v>12</v>
      </c>
      <c r="B44" s="14" t="s">
        <v>13</v>
      </c>
      <c r="C44" s="13" t="s">
        <v>14</v>
      </c>
      <c r="D44" s="13" t="s">
        <v>15</v>
      </c>
      <c r="E44" s="15" t="s">
        <v>16</v>
      </c>
      <c r="F44" s="15" t="s">
        <v>121</v>
      </c>
    </row>
    <row r="45" spans="1:7" ht="16.5" customHeight="1" x14ac:dyDescent="0.3">
      <c r="A45" s="16">
        <v>1</v>
      </c>
      <c r="B45" s="17">
        <v>64446648</v>
      </c>
      <c r="C45" s="17">
        <v>9526.31</v>
      </c>
      <c r="D45" s="18">
        <v>1.03</v>
      </c>
      <c r="E45" s="19">
        <v>18.28</v>
      </c>
      <c r="F45" s="280">
        <v>3.18</v>
      </c>
    </row>
    <row r="46" spans="1:7" ht="16.5" customHeight="1" x14ac:dyDescent="0.3">
      <c r="A46" s="16">
        <v>2</v>
      </c>
      <c r="B46" s="17">
        <v>64388350</v>
      </c>
      <c r="C46" s="17">
        <v>9509.9699999999993</v>
      </c>
      <c r="D46" s="18">
        <v>1.03</v>
      </c>
      <c r="E46" s="18">
        <v>18.29</v>
      </c>
      <c r="F46" s="280">
        <v>3.18</v>
      </c>
    </row>
    <row r="47" spans="1:7" ht="16.5" customHeight="1" x14ac:dyDescent="0.3">
      <c r="A47" s="16">
        <v>3</v>
      </c>
      <c r="B47" s="17">
        <v>64584414</v>
      </c>
      <c r="C47" s="17">
        <v>9484.23</v>
      </c>
      <c r="D47" s="18">
        <v>1.03</v>
      </c>
      <c r="E47" s="18">
        <v>18.3</v>
      </c>
      <c r="F47" s="280">
        <v>3.18</v>
      </c>
    </row>
    <row r="48" spans="1:7" ht="16.5" customHeight="1" x14ac:dyDescent="0.3">
      <c r="A48" s="16">
        <v>4</v>
      </c>
      <c r="B48" s="17">
        <v>64668879</v>
      </c>
      <c r="C48" s="17">
        <v>9499.7999999999993</v>
      </c>
      <c r="D48" s="18">
        <v>1.04</v>
      </c>
      <c r="E48" s="18">
        <v>18.309999999999999</v>
      </c>
      <c r="F48" s="280">
        <v>3.18</v>
      </c>
    </row>
    <row r="49" spans="1:8" ht="16.5" customHeight="1" x14ac:dyDescent="0.3">
      <c r="A49" s="16">
        <v>5</v>
      </c>
      <c r="B49" s="17">
        <v>64480771</v>
      </c>
      <c r="C49" s="17">
        <v>9468.5499999999993</v>
      </c>
      <c r="D49" s="18">
        <v>1.03</v>
      </c>
      <c r="E49" s="18">
        <v>18.309999999999999</v>
      </c>
      <c r="F49" s="280">
        <v>3.18</v>
      </c>
    </row>
    <row r="50" spans="1:8" ht="16.5" customHeight="1" x14ac:dyDescent="0.3">
      <c r="A50" s="16">
        <v>6</v>
      </c>
      <c r="B50" s="20">
        <v>64347591</v>
      </c>
      <c r="C50" s="20">
        <v>9456.59</v>
      </c>
      <c r="D50" s="21">
        <v>1.04</v>
      </c>
      <c r="E50" s="21">
        <v>18.32</v>
      </c>
      <c r="F50" s="280">
        <v>3.18</v>
      </c>
    </row>
    <row r="51" spans="1:8" ht="16.5" customHeight="1" x14ac:dyDescent="0.3">
      <c r="A51" s="22" t="s">
        <v>17</v>
      </c>
      <c r="B51" s="330">
        <f>AVERAGE(B45:B50)</f>
        <v>64486108.833333336</v>
      </c>
      <c r="C51" s="24">
        <f>AVERAGE(C45:C50)</f>
        <v>9490.9083333333328</v>
      </c>
      <c r="D51" s="24">
        <f>AVERAGE(D45:D50)</f>
        <v>1.0333333333333334</v>
      </c>
      <c r="E51" s="24">
        <f>AVERAGE(E45:E50)</f>
        <v>18.301666666666666</v>
      </c>
      <c r="F51" s="24">
        <f>AVERAGE(F45:F50)</f>
        <v>3.18</v>
      </c>
    </row>
    <row r="52" spans="1:8" ht="16.5" customHeight="1" x14ac:dyDescent="0.3">
      <c r="A52" s="25" t="s">
        <v>18</v>
      </c>
      <c r="B52" s="26">
        <f>(STDEV(B45:B50)/B51)</f>
        <v>1.878850941747854E-3</v>
      </c>
      <c r="C52" s="27"/>
      <c r="D52" s="27"/>
      <c r="E52" s="28"/>
      <c r="F52" s="281"/>
      <c r="G52" s="2"/>
    </row>
    <row r="53" spans="1:8" s="2" customFormat="1" ht="16.5" customHeight="1" x14ac:dyDescent="0.3">
      <c r="A53" s="29" t="s">
        <v>19</v>
      </c>
      <c r="B53" s="30">
        <f>COUNT(B45:B50)</f>
        <v>6</v>
      </c>
      <c r="C53" s="31"/>
      <c r="D53" s="32"/>
      <c r="E53" s="33"/>
      <c r="F53" s="33"/>
    </row>
    <row r="54" spans="1:8" s="2" customFormat="1" ht="15.75" customHeight="1" x14ac:dyDescent="0.3">
      <c r="A54" s="9"/>
      <c r="B54" s="9"/>
      <c r="C54" s="9"/>
      <c r="D54" s="9"/>
      <c r="E54" s="34"/>
      <c r="F54" s="69"/>
    </row>
    <row r="55" spans="1:8" s="2" customFormat="1" ht="16.5" customHeight="1" x14ac:dyDescent="0.3">
      <c r="A55" s="10" t="s">
        <v>20</v>
      </c>
      <c r="B55" s="35" t="s">
        <v>21</v>
      </c>
      <c r="C55" s="36"/>
      <c r="D55" s="36"/>
      <c r="E55" s="37"/>
      <c r="F55" s="37"/>
    </row>
    <row r="56" spans="1:8" ht="16.5" customHeight="1" x14ac:dyDescent="0.3">
      <c r="A56" s="10"/>
      <c r="B56" s="35" t="s">
        <v>22</v>
      </c>
      <c r="C56" s="36"/>
      <c r="D56" s="36"/>
      <c r="E56" s="37"/>
      <c r="F56" s="37"/>
      <c r="G56" s="2"/>
    </row>
    <row r="57" spans="1:8" ht="16.5" customHeight="1" x14ac:dyDescent="0.3">
      <c r="A57" s="10"/>
      <c r="B57" s="38" t="s">
        <v>23</v>
      </c>
      <c r="C57" s="36"/>
      <c r="D57" s="37"/>
      <c r="E57" s="36"/>
      <c r="F57" s="37"/>
    </row>
    <row r="58" spans="1:8" ht="14.25" customHeight="1" thickBot="1" x14ac:dyDescent="0.35">
      <c r="A58" s="39"/>
      <c r="B58" s="60" t="s">
        <v>122</v>
      </c>
      <c r="D58" s="40"/>
      <c r="G58" s="41"/>
      <c r="H58" s="41"/>
    </row>
    <row r="59" spans="1:8" ht="15" customHeight="1" x14ac:dyDescent="0.3">
      <c r="B59" s="285" t="s">
        <v>24</v>
      </c>
      <c r="C59" s="285"/>
      <c r="E59" s="42" t="s">
        <v>25</v>
      </c>
      <c r="F59" s="279"/>
      <c r="G59" s="43"/>
      <c r="H59" s="42" t="s">
        <v>26</v>
      </c>
    </row>
    <row r="60" spans="1:8" ht="15" customHeight="1" x14ac:dyDescent="0.3">
      <c r="A60" s="44" t="s">
        <v>27</v>
      </c>
      <c r="B60" s="45" t="s">
        <v>123</v>
      </c>
      <c r="C60" s="45"/>
      <c r="E60" s="45"/>
      <c r="F60" s="282"/>
      <c r="G60" s="2"/>
      <c r="H60" s="46"/>
    </row>
    <row r="61" spans="1:8" ht="15" customHeight="1" x14ac:dyDescent="0.3">
      <c r="A61" s="44" t="s">
        <v>28</v>
      </c>
      <c r="B61" s="47"/>
      <c r="C61" s="47"/>
      <c r="E61" s="47"/>
      <c r="F61" s="283"/>
      <c r="G61" s="2"/>
      <c r="H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24" sqref="C2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9" t="s">
        <v>29</v>
      </c>
      <c r="B11" s="290"/>
      <c r="C11" s="290"/>
      <c r="D11" s="290"/>
      <c r="E11" s="290"/>
      <c r="F11" s="291"/>
      <c r="G11" s="88"/>
    </row>
    <row r="12" spans="1:7" ht="16.5" customHeight="1" x14ac:dyDescent="0.3">
      <c r="A12" s="288" t="s">
        <v>30</v>
      </c>
      <c r="B12" s="288"/>
      <c r="C12" s="288"/>
      <c r="D12" s="288"/>
      <c r="E12" s="288"/>
      <c r="F12" s="288"/>
      <c r="G12" s="87"/>
    </row>
    <row r="14" spans="1:7" ht="16.5" customHeight="1" x14ac:dyDescent="0.3">
      <c r="A14" s="293" t="s">
        <v>31</v>
      </c>
      <c r="B14" s="293"/>
      <c r="C14" s="57" t="s">
        <v>4</v>
      </c>
    </row>
    <row r="15" spans="1:7" ht="16.5" customHeight="1" x14ac:dyDescent="0.3">
      <c r="A15" s="293" t="s">
        <v>32</v>
      </c>
      <c r="B15" s="293"/>
      <c r="C15" s="57" t="s">
        <v>6</v>
      </c>
    </row>
    <row r="16" spans="1:7" ht="16.5" customHeight="1" x14ac:dyDescent="0.3">
      <c r="A16" s="293" t="s">
        <v>33</v>
      </c>
      <c r="B16" s="293"/>
      <c r="C16" s="57" t="s">
        <v>8</v>
      </c>
    </row>
    <row r="17" spans="1:5" ht="16.5" customHeight="1" x14ac:dyDescent="0.3">
      <c r="A17" s="293" t="s">
        <v>34</v>
      </c>
      <c r="B17" s="293"/>
      <c r="C17" s="57" t="s">
        <v>10</v>
      </c>
    </row>
    <row r="18" spans="1:5" ht="16.5" customHeight="1" x14ac:dyDescent="0.3">
      <c r="A18" s="293" t="s">
        <v>35</v>
      </c>
      <c r="B18" s="293"/>
      <c r="C18" s="94" t="s">
        <v>11</v>
      </c>
    </row>
    <row r="19" spans="1:5" ht="16.5" customHeight="1" x14ac:dyDescent="0.3">
      <c r="A19" s="293" t="s">
        <v>36</v>
      </c>
      <c r="B19" s="293"/>
      <c r="C19" s="94" t="e">
        <f>#REF!</f>
        <v>#REF!</v>
      </c>
    </row>
    <row r="20" spans="1:5" ht="16.5" customHeight="1" x14ac:dyDescent="0.3">
      <c r="A20" s="59"/>
      <c r="B20" s="59"/>
      <c r="C20" s="74"/>
    </row>
    <row r="21" spans="1:5" ht="16.5" customHeight="1" x14ac:dyDescent="0.3">
      <c r="A21" s="288" t="s">
        <v>1</v>
      </c>
      <c r="B21" s="288"/>
      <c r="C21" s="56" t="s">
        <v>37</v>
      </c>
      <c r="D21" s="63"/>
    </row>
    <row r="22" spans="1:5" ht="15.75" customHeight="1" x14ac:dyDescent="0.3">
      <c r="A22" s="292"/>
      <c r="B22" s="292"/>
      <c r="C22" s="54"/>
      <c r="D22" s="292"/>
      <c r="E22" s="292"/>
    </row>
    <row r="23" spans="1:5" ht="33.75" customHeight="1" x14ac:dyDescent="0.3">
      <c r="C23" s="83" t="s">
        <v>38</v>
      </c>
      <c r="D23" s="82" t="s">
        <v>39</v>
      </c>
      <c r="E23" s="49"/>
    </row>
    <row r="24" spans="1:5" ht="15.75" customHeight="1" x14ac:dyDescent="0.3">
      <c r="C24" s="92">
        <v>960.67</v>
      </c>
      <c r="D24" s="84">
        <f t="shared" ref="D24:D43" si="0">(C24-$C$46)/$C$46</f>
        <v>-8.7305018619775101E-3</v>
      </c>
      <c r="E24" s="50"/>
    </row>
    <row r="25" spans="1:5" ht="15.75" customHeight="1" x14ac:dyDescent="0.3">
      <c r="C25" s="92">
        <v>959.7</v>
      </c>
      <c r="D25" s="85">
        <f t="shared" si="0"/>
        <v>-9.7313985415800747E-3</v>
      </c>
      <c r="E25" s="50"/>
    </row>
    <row r="26" spans="1:5" ht="15.75" customHeight="1" x14ac:dyDescent="0.3">
      <c r="C26" s="92">
        <v>978.78</v>
      </c>
      <c r="D26" s="85">
        <f t="shared" si="0"/>
        <v>9.9563423314287611E-3</v>
      </c>
      <c r="E26" s="50"/>
    </row>
    <row r="27" spans="1:5" ht="15.75" customHeight="1" x14ac:dyDescent="0.3">
      <c r="C27" s="92">
        <v>961.86</v>
      </c>
      <c r="D27" s="85">
        <f t="shared" si="0"/>
        <v>-7.5025976880319289E-3</v>
      </c>
      <c r="E27" s="50"/>
    </row>
    <row r="28" spans="1:5" ht="15.75" customHeight="1" x14ac:dyDescent="0.3">
      <c r="C28" s="92">
        <v>968.7</v>
      </c>
      <c r="D28" s="85">
        <f t="shared" si="0"/>
        <v>-4.4472831846266393E-4</v>
      </c>
      <c r="E28" s="50"/>
    </row>
    <row r="29" spans="1:5" ht="15.75" customHeight="1" x14ac:dyDescent="0.3">
      <c r="C29" s="92">
        <v>973.06</v>
      </c>
      <c r="D29" s="85">
        <f t="shared" si="0"/>
        <v>4.0541474785141113E-3</v>
      </c>
      <c r="E29" s="50"/>
    </row>
    <row r="30" spans="1:5" ht="15.75" customHeight="1" x14ac:dyDescent="0.3">
      <c r="C30" s="92">
        <v>958.95</v>
      </c>
      <c r="D30" s="85">
        <f t="shared" si="0"/>
        <v>-1.0505287726839859E-2</v>
      </c>
      <c r="E30" s="50"/>
    </row>
    <row r="31" spans="1:5" ht="15.75" customHeight="1" x14ac:dyDescent="0.3">
      <c r="C31" s="92">
        <v>962.21</v>
      </c>
      <c r="D31" s="85">
        <f t="shared" si="0"/>
        <v>-7.1414494015773393E-3</v>
      </c>
      <c r="E31" s="50"/>
    </row>
    <row r="32" spans="1:5" ht="15.75" customHeight="1" x14ac:dyDescent="0.3">
      <c r="C32" s="92">
        <v>982.01</v>
      </c>
      <c r="D32" s="85">
        <f t="shared" si="0"/>
        <v>1.3289225089280918E-2</v>
      </c>
      <c r="E32" s="50"/>
    </row>
    <row r="33" spans="1:7" ht="15.75" customHeight="1" x14ac:dyDescent="0.3">
      <c r="C33" s="92">
        <v>984.65</v>
      </c>
      <c r="D33" s="85">
        <f t="shared" si="0"/>
        <v>1.6013315021395344E-2</v>
      </c>
      <c r="E33" s="50"/>
    </row>
    <row r="34" spans="1:7" ht="15.75" customHeight="1" x14ac:dyDescent="0.3">
      <c r="C34" s="92">
        <v>942.37</v>
      </c>
      <c r="D34" s="85">
        <f t="shared" si="0"/>
        <v>-2.7613397982316198E-2</v>
      </c>
      <c r="E34" s="50"/>
    </row>
    <row r="35" spans="1:7" ht="15.75" customHeight="1" x14ac:dyDescent="0.3">
      <c r="C35" s="92">
        <v>983.8</v>
      </c>
      <c r="D35" s="85">
        <f t="shared" si="0"/>
        <v>1.5136240611434232E-2</v>
      </c>
      <c r="E35" s="50"/>
    </row>
    <row r="36" spans="1:7" ht="15.75" customHeight="1" x14ac:dyDescent="0.3">
      <c r="C36" s="92">
        <v>972.76</v>
      </c>
      <c r="D36" s="85">
        <f t="shared" si="0"/>
        <v>3.7445918044102448E-3</v>
      </c>
      <c r="E36" s="50"/>
    </row>
    <row r="37" spans="1:7" ht="15.75" customHeight="1" x14ac:dyDescent="0.3">
      <c r="C37" s="92">
        <v>960.5</v>
      </c>
      <c r="D37" s="85">
        <f t="shared" si="0"/>
        <v>-8.9059167439696843E-3</v>
      </c>
      <c r="E37" s="50"/>
    </row>
    <row r="38" spans="1:7" ht="15.75" customHeight="1" x14ac:dyDescent="0.3">
      <c r="C38" s="92">
        <v>983.13</v>
      </c>
      <c r="D38" s="85">
        <f t="shared" si="0"/>
        <v>1.4444899605935533E-2</v>
      </c>
      <c r="E38" s="50"/>
    </row>
    <row r="39" spans="1:7" ht="15.75" customHeight="1" x14ac:dyDescent="0.3">
      <c r="C39" s="92">
        <v>950.09</v>
      </c>
      <c r="D39" s="85">
        <f t="shared" si="0"/>
        <v>-1.9647498635375456E-2</v>
      </c>
      <c r="E39" s="50"/>
    </row>
    <row r="40" spans="1:7" ht="15.75" customHeight="1" x14ac:dyDescent="0.3">
      <c r="C40" s="92">
        <v>978.23</v>
      </c>
      <c r="D40" s="85">
        <f t="shared" si="0"/>
        <v>9.3888235955716329E-3</v>
      </c>
      <c r="E40" s="50"/>
    </row>
    <row r="41" spans="1:7" ht="15.75" customHeight="1" x14ac:dyDescent="0.3">
      <c r="C41" s="92">
        <v>967.24</v>
      </c>
      <c r="D41" s="85">
        <f t="shared" si="0"/>
        <v>-1.951232599101748E-3</v>
      </c>
      <c r="E41" s="50"/>
    </row>
    <row r="42" spans="1:7" ht="15.75" customHeight="1" x14ac:dyDescent="0.3">
      <c r="C42" s="92">
        <v>986.38</v>
      </c>
      <c r="D42" s="85">
        <f t="shared" si="0"/>
        <v>1.7798419408727929E-2</v>
      </c>
      <c r="E42" s="50"/>
    </row>
    <row r="43" spans="1:7" ht="16.5" customHeight="1" x14ac:dyDescent="0.3">
      <c r="C43" s="93">
        <v>967.53</v>
      </c>
      <c r="D43" s="86">
        <f t="shared" si="0"/>
        <v>-1.6519954474680024E-3</v>
      </c>
      <c r="E43" s="50"/>
    </row>
    <row r="44" spans="1:7" ht="16.5" customHeight="1" x14ac:dyDescent="0.3">
      <c r="C44" s="51"/>
      <c r="D44" s="50"/>
      <c r="E44" s="52"/>
    </row>
    <row r="45" spans="1:7" ht="16.5" customHeight="1" x14ac:dyDescent="0.3">
      <c r="B45" s="79" t="s">
        <v>40</v>
      </c>
      <c r="C45" s="80">
        <f>SUM(C24:C44)</f>
        <v>19382.620000000003</v>
      </c>
      <c r="D45" s="75"/>
      <c r="E45" s="51"/>
    </row>
    <row r="46" spans="1:7" ht="17.25" customHeight="1" x14ac:dyDescent="0.3">
      <c r="B46" s="79" t="s">
        <v>41</v>
      </c>
      <c r="C46" s="81">
        <f>AVERAGE(C24:C44)</f>
        <v>969.13100000000009</v>
      </c>
      <c r="E46" s="53"/>
    </row>
    <row r="47" spans="1:7" ht="17.25" customHeight="1" x14ac:dyDescent="0.3">
      <c r="A47" s="57"/>
      <c r="B47" s="76"/>
      <c r="D47" s="55"/>
      <c r="E47" s="53"/>
    </row>
    <row r="48" spans="1:7" ht="33.75" customHeight="1" x14ac:dyDescent="0.3">
      <c r="B48" s="89" t="s">
        <v>41</v>
      </c>
      <c r="C48" s="82" t="s">
        <v>42</v>
      </c>
      <c r="D48" s="77"/>
      <c r="G48" s="55"/>
    </row>
    <row r="49" spans="1:6" ht="17.25" customHeight="1" x14ac:dyDescent="0.3">
      <c r="B49" s="286">
        <f>C46</f>
        <v>969.13100000000009</v>
      </c>
      <c r="C49" s="90">
        <f>-IF(C46&lt;=80,10%,IF(C46&lt;250,7.5%,5%))</f>
        <v>-0.05</v>
      </c>
      <c r="D49" s="78">
        <f>IF(C46&lt;=80,C46*0.9,IF(C46&lt;250,C46*0.925,C46*0.95))</f>
        <v>920.67445000000009</v>
      </c>
    </row>
    <row r="50" spans="1:6" ht="17.25" customHeight="1" x14ac:dyDescent="0.3">
      <c r="B50" s="287"/>
      <c r="C50" s="91">
        <f>IF(C46&lt;=80, 10%, IF(C46&lt;250, 7.5%, 5%))</f>
        <v>0.05</v>
      </c>
      <c r="D50" s="78">
        <f>IF(C46&lt;=80, C46*1.1, IF(C46&lt;250, C46*1.075, C46*1.05))</f>
        <v>1017.5875500000001</v>
      </c>
    </row>
    <row r="51" spans="1:6" ht="16.5" customHeight="1" x14ac:dyDescent="0.3">
      <c r="A51" s="60"/>
      <c r="B51" s="61"/>
      <c r="C51" s="57"/>
      <c r="D51" s="62"/>
      <c r="E51" s="57"/>
      <c r="F51" s="63"/>
    </row>
    <row r="52" spans="1:6" ht="16.5" customHeight="1" x14ac:dyDescent="0.3">
      <c r="A52" s="57"/>
      <c r="B52" s="64" t="s">
        <v>24</v>
      </c>
      <c r="C52" s="64"/>
      <c r="D52" s="65" t="s">
        <v>25</v>
      </c>
      <c r="E52" s="66"/>
      <c r="F52" s="65" t="s">
        <v>26</v>
      </c>
    </row>
    <row r="53" spans="1:6" ht="34.5" customHeight="1" x14ac:dyDescent="0.3">
      <c r="A53" s="67" t="s">
        <v>27</v>
      </c>
      <c r="B53" s="68"/>
      <c r="C53" s="69"/>
      <c r="D53" s="68"/>
      <c r="E53" s="58"/>
      <c r="F53" s="70"/>
    </row>
    <row r="54" spans="1:6" ht="34.5" customHeight="1" x14ac:dyDescent="0.3">
      <c r="A54" s="67" t="s">
        <v>28</v>
      </c>
      <c r="B54" s="71"/>
      <c r="C54" s="72"/>
      <c r="D54" s="71"/>
      <c r="E54" s="58"/>
      <c r="F54" s="73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in="11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80" zoomScaleNormal="75" zoomScaleSheetLayoutView="80" workbookViewId="0">
      <selection activeCell="E73" sqref="E7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99" t="s">
        <v>43</v>
      </c>
      <c r="B1" s="299"/>
      <c r="C1" s="299"/>
      <c r="D1" s="299"/>
      <c r="E1" s="299"/>
      <c r="F1" s="299"/>
      <c r="G1" s="299"/>
      <c r="H1" s="299"/>
    </row>
    <row r="2" spans="1:8" x14ac:dyDescent="0.3">
      <c r="A2" s="299"/>
      <c r="B2" s="299"/>
      <c r="C2" s="299"/>
      <c r="D2" s="299"/>
      <c r="E2" s="299"/>
      <c r="F2" s="299"/>
      <c r="G2" s="299"/>
      <c r="H2" s="299"/>
    </row>
    <row r="3" spans="1:8" x14ac:dyDescent="0.3">
      <c r="A3" s="299"/>
      <c r="B3" s="299"/>
      <c r="C3" s="299"/>
      <c r="D3" s="299"/>
      <c r="E3" s="299"/>
      <c r="F3" s="299"/>
      <c r="G3" s="299"/>
      <c r="H3" s="299"/>
    </row>
    <row r="4" spans="1:8" x14ac:dyDescent="0.3">
      <c r="A4" s="299"/>
      <c r="B4" s="299"/>
      <c r="C4" s="299"/>
      <c r="D4" s="299"/>
      <c r="E4" s="299"/>
      <c r="F4" s="299"/>
      <c r="G4" s="299"/>
      <c r="H4" s="299"/>
    </row>
    <row r="5" spans="1:8" x14ac:dyDescent="0.3">
      <c r="A5" s="299"/>
      <c r="B5" s="299"/>
      <c r="C5" s="299"/>
      <c r="D5" s="299"/>
      <c r="E5" s="299"/>
      <c r="F5" s="299"/>
      <c r="G5" s="299"/>
      <c r="H5" s="299"/>
    </row>
    <row r="6" spans="1:8" x14ac:dyDescent="0.3">
      <c r="A6" s="299"/>
      <c r="B6" s="299"/>
      <c r="C6" s="299"/>
      <c r="D6" s="299"/>
      <c r="E6" s="299"/>
      <c r="F6" s="299"/>
      <c r="G6" s="299"/>
      <c r="H6" s="299"/>
    </row>
    <row r="7" spans="1:8" x14ac:dyDescent="0.3">
      <c r="A7" s="299"/>
      <c r="B7" s="299"/>
      <c r="C7" s="299"/>
      <c r="D7" s="299"/>
      <c r="E7" s="299"/>
      <c r="F7" s="299"/>
      <c r="G7" s="299"/>
      <c r="H7" s="299"/>
    </row>
    <row r="8" spans="1:8" x14ac:dyDescent="0.3">
      <c r="A8" s="300" t="s">
        <v>44</v>
      </c>
      <c r="B8" s="300"/>
      <c r="C8" s="300"/>
      <c r="D8" s="300"/>
      <c r="E8" s="300"/>
      <c r="F8" s="300"/>
      <c r="G8" s="300"/>
      <c r="H8" s="300"/>
    </row>
    <row r="9" spans="1:8" x14ac:dyDescent="0.3">
      <c r="A9" s="300"/>
      <c r="B9" s="300"/>
      <c r="C9" s="300"/>
      <c r="D9" s="300"/>
      <c r="E9" s="300"/>
      <c r="F9" s="300"/>
      <c r="G9" s="300"/>
      <c r="H9" s="300"/>
    </row>
    <row r="10" spans="1:8" x14ac:dyDescent="0.3">
      <c r="A10" s="300"/>
      <c r="B10" s="300"/>
      <c r="C10" s="300"/>
      <c r="D10" s="300"/>
      <c r="E10" s="300"/>
      <c r="F10" s="300"/>
      <c r="G10" s="300"/>
      <c r="H10" s="300"/>
    </row>
    <row r="11" spans="1:8" x14ac:dyDescent="0.3">
      <c r="A11" s="300"/>
      <c r="B11" s="300"/>
      <c r="C11" s="300"/>
      <c r="D11" s="300"/>
      <c r="E11" s="300"/>
      <c r="F11" s="300"/>
      <c r="G11" s="300"/>
      <c r="H11" s="300"/>
    </row>
    <row r="12" spans="1:8" x14ac:dyDescent="0.3">
      <c r="A12" s="300"/>
      <c r="B12" s="300"/>
      <c r="C12" s="300"/>
      <c r="D12" s="300"/>
      <c r="E12" s="300"/>
      <c r="F12" s="300"/>
      <c r="G12" s="300"/>
      <c r="H12" s="300"/>
    </row>
    <row r="13" spans="1:8" x14ac:dyDescent="0.3">
      <c r="A13" s="300"/>
      <c r="B13" s="300"/>
      <c r="C13" s="300"/>
      <c r="D13" s="300"/>
      <c r="E13" s="300"/>
      <c r="F13" s="300"/>
      <c r="G13" s="300"/>
      <c r="H13" s="300"/>
    </row>
    <row r="14" spans="1:8" x14ac:dyDescent="0.3">
      <c r="A14" s="300"/>
      <c r="B14" s="300"/>
      <c r="C14" s="300"/>
      <c r="D14" s="300"/>
      <c r="E14" s="300"/>
      <c r="F14" s="300"/>
      <c r="G14" s="300"/>
      <c r="H14" s="300"/>
    </row>
    <row r="15" spans="1:8" ht="19.5" customHeight="1" x14ac:dyDescent="0.3"/>
    <row r="16" spans="1:8" ht="19.5" customHeight="1" x14ac:dyDescent="0.3">
      <c r="A16" s="301" t="s">
        <v>29</v>
      </c>
      <c r="B16" s="302"/>
      <c r="C16" s="302"/>
      <c r="D16" s="302"/>
      <c r="E16" s="302"/>
      <c r="F16" s="302"/>
      <c r="G16" s="302"/>
      <c r="H16" s="303"/>
    </row>
    <row r="17" spans="1:14" ht="18" x14ac:dyDescent="0.35">
      <c r="A17" s="98" t="s">
        <v>45</v>
      </c>
      <c r="B17" s="98"/>
    </row>
    <row r="18" spans="1:14" ht="26.25" customHeight="1" x14ac:dyDescent="0.45">
      <c r="A18" s="100" t="s">
        <v>31</v>
      </c>
      <c r="B18" s="315" t="s">
        <v>4</v>
      </c>
      <c r="C18" s="315"/>
      <c r="D18" s="192"/>
      <c r="E18" s="192"/>
    </row>
    <row r="19" spans="1:14" ht="25.8" x14ac:dyDescent="0.5">
      <c r="A19" s="100" t="s">
        <v>32</v>
      </c>
      <c r="B19" s="97" t="s">
        <v>6</v>
      </c>
      <c r="C19" s="99">
        <v>24</v>
      </c>
    </row>
    <row r="20" spans="1:14" ht="25.8" customHeight="1" x14ac:dyDescent="0.45">
      <c r="A20" s="100" t="s">
        <v>33</v>
      </c>
      <c r="B20" s="329" t="s">
        <v>124</v>
      </c>
    </row>
    <row r="21" spans="1:14" ht="26.25" customHeight="1" x14ac:dyDescent="0.5">
      <c r="A21" s="100" t="s">
        <v>34</v>
      </c>
      <c r="B21" s="317" t="s">
        <v>10</v>
      </c>
      <c r="C21" s="317"/>
      <c r="D21" s="317"/>
      <c r="E21" s="317"/>
      <c r="F21" s="317"/>
      <c r="G21" s="317"/>
      <c r="H21" s="317"/>
      <c r="I21" s="216"/>
    </row>
    <row r="22" spans="1:14" ht="25.8" x14ac:dyDescent="0.5">
      <c r="A22" s="100" t="s">
        <v>35</v>
      </c>
      <c r="B22" s="95">
        <v>43301</v>
      </c>
    </row>
    <row r="23" spans="1:14" ht="25.8" x14ac:dyDescent="0.5">
      <c r="A23" s="100" t="s">
        <v>36</v>
      </c>
      <c r="B23" s="95">
        <v>43304</v>
      </c>
    </row>
    <row r="24" spans="1:14" ht="18" x14ac:dyDescent="0.35">
      <c r="A24" s="100"/>
      <c r="B24" s="103"/>
    </row>
    <row r="25" spans="1:14" ht="18" x14ac:dyDescent="0.35">
      <c r="A25" s="104" t="s">
        <v>1</v>
      </c>
      <c r="B25" s="103"/>
    </row>
    <row r="26" spans="1:14" ht="26.25" customHeight="1" x14ac:dyDescent="0.45">
      <c r="A26" s="105" t="s">
        <v>3</v>
      </c>
      <c r="B26" s="273" t="s">
        <v>114</v>
      </c>
      <c r="C26" s="272"/>
    </row>
    <row r="27" spans="1:14" ht="26.25" customHeight="1" x14ac:dyDescent="0.45">
      <c r="A27" s="107" t="s">
        <v>46</v>
      </c>
      <c r="B27" s="248" t="s">
        <v>115</v>
      </c>
    </row>
    <row r="28" spans="1:14" ht="27" customHeight="1" x14ac:dyDescent="0.45">
      <c r="A28" s="107" t="s">
        <v>5</v>
      </c>
      <c r="B28" s="249">
        <v>82.3</v>
      </c>
    </row>
    <row r="29" spans="1:14" s="10" customFormat="1" ht="27" customHeight="1" x14ac:dyDescent="0.45">
      <c r="A29" s="107" t="s">
        <v>47</v>
      </c>
      <c r="B29" s="248">
        <v>1.5</v>
      </c>
      <c r="C29" s="318" t="s">
        <v>48</v>
      </c>
      <c r="D29" s="319"/>
      <c r="E29" s="319"/>
      <c r="F29" s="319"/>
      <c r="G29" s="320"/>
      <c r="I29" s="109"/>
      <c r="J29" s="109"/>
      <c r="K29" s="109"/>
      <c r="L29" s="109"/>
    </row>
    <row r="30" spans="1:14" s="10" customFormat="1" ht="19.5" customHeight="1" x14ac:dyDescent="0.35">
      <c r="A30" s="107" t="s">
        <v>49</v>
      </c>
      <c r="B30" s="106">
        <f>B28-B29</f>
        <v>80.8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0" customFormat="1" ht="27" customHeight="1" x14ac:dyDescent="0.45">
      <c r="A31" s="107" t="s">
        <v>50</v>
      </c>
      <c r="B31" s="250">
        <v>1</v>
      </c>
      <c r="C31" s="312" t="s">
        <v>51</v>
      </c>
      <c r="D31" s="313"/>
      <c r="E31" s="313"/>
      <c r="F31" s="313"/>
      <c r="G31" s="313"/>
      <c r="H31" s="314"/>
      <c r="I31" s="109"/>
      <c r="J31" s="109"/>
      <c r="K31" s="109"/>
      <c r="L31" s="109"/>
    </row>
    <row r="32" spans="1:14" s="10" customFormat="1" ht="27" customHeight="1" x14ac:dyDescent="0.45">
      <c r="A32" s="107" t="s">
        <v>52</v>
      </c>
      <c r="B32" s="250">
        <v>1</v>
      </c>
      <c r="C32" s="312" t="s">
        <v>53</v>
      </c>
      <c r="D32" s="313"/>
      <c r="E32" s="313"/>
      <c r="F32" s="313"/>
      <c r="G32" s="313"/>
      <c r="H32" s="314"/>
      <c r="I32" s="109"/>
      <c r="J32" s="109"/>
      <c r="K32" s="109"/>
      <c r="L32" s="113"/>
      <c r="M32" s="113"/>
      <c r="N32" s="114"/>
    </row>
    <row r="33" spans="1:14" s="10" customFormat="1" ht="17.25" customHeight="1" x14ac:dyDescent="0.35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0" customFormat="1" ht="18" x14ac:dyDescent="0.35">
      <c r="A34" s="107" t="s">
        <v>54</v>
      </c>
      <c r="B34" s="116">
        <f>B31/B32</f>
        <v>1</v>
      </c>
      <c r="C34" s="99" t="s">
        <v>55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0" customFormat="1" ht="19.5" customHeight="1" x14ac:dyDescent="0.35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0" customFormat="1" ht="27" customHeight="1" x14ac:dyDescent="0.45">
      <c r="A36" s="117" t="s">
        <v>105</v>
      </c>
      <c r="B36" s="251">
        <v>50</v>
      </c>
      <c r="C36" s="99"/>
      <c r="D36" s="308" t="s">
        <v>56</v>
      </c>
      <c r="E36" s="316"/>
      <c r="F36" s="308" t="s">
        <v>57</v>
      </c>
      <c r="G36" s="309"/>
      <c r="J36" s="109"/>
      <c r="K36" s="109"/>
      <c r="L36" s="113"/>
      <c r="M36" s="113"/>
      <c r="N36" s="114"/>
    </row>
    <row r="37" spans="1:14" s="10" customFormat="1" ht="15.75" customHeight="1" x14ac:dyDescent="0.45">
      <c r="A37" s="118" t="s">
        <v>58</v>
      </c>
      <c r="B37" s="252">
        <v>1</v>
      </c>
      <c r="C37" s="120" t="s">
        <v>106</v>
      </c>
      <c r="D37" s="121" t="s">
        <v>60</v>
      </c>
      <c r="E37" s="179" t="s">
        <v>61</v>
      </c>
      <c r="F37" s="121" t="s">
        <v>60</v>
      </c>
      <c r="G37" s="122" t="s">
        <v>61</v>
      </c>
      <c r="J37" s="109"/>
      <c r="K37" s="109"/>
      <c r="L37" s="113"/>
      <c r="M37" s="113"/>
      <c r="N37" s="114"/>
    </row>
    <row r="38" spans="1:14" s="10" customFormat="1" ht="26.25" customHeight="1" x14ac:dyDescent="0.45">
      <c r="A38" s="118" t="s">
        <v>62</v>
      </c>
      <c r="B38" s="252">
        <v>1</v>
      </c>
      <c r="C38" s="123">
        <v>1</v>
      </c>
      <c r="D38" s="253">
        <v>126057557</v>
      </c>
      <c r="E38" s="193">
        <f>IF(ISBLANK(D38),"-",$D$48/$D$45*D38)</f>
        <v>109129706.19075058</v>
      </c>
      <c r="F38" s="253">
        <f>64931289+67643160</f>
        <v>132574449</v>
      </c>
      <c r="G38" s="196">
        <f>IF(ISBLANK(F38),"-",$D$48/$F$45*F38)</f>
        <v>110863032.6799572</v>
      </c>
      <c r="J38" s="109"/>
      <c r="K38" s="109"/>
      <c r="L38" s="113"/>
      <c r="M38" s="113"/>
      <c r="N38" s="114"/>
    </row>
    <row r="39" spans="1:14" s="10" customFormat="1" ht="26.25" customHeight="1" x14ac:dyDescent="0.45">
      <c r="A39" s="118" t="s">
        <v>63</v>
      </c>
      <c r="B39" s="252">
        <v>1</v>
      </c>
      <c r="C39" s="119">
        <v>2</v>
      </c>
      <c r="D39" s="254">
        <v>126005229</v>
      </c>
      <c r="E39" s="194">
        <f>IF(ISBLANK(D39),"-",$D$48/$D$45*D39)</f>
        <v>109084405.14413781</v>
      </c>
      <c r="F39" s="254">
        <f>64997063+67705369</f>
        <v>132702432</v>
      </c>
      <c r="G39" s="197">
        <f>IF(ISBLANK(F39),"-",$D$48/$F$45*F39)</f>
        <v>110970056.19480868</v>
      </c>
      <c r="J39" s="109"/>
      <c r="K39" s="109"/>
      <c r="L39" s="113"/>
      <c r="M39" s="113"/>
      <c r="N39" s="114"/>
    </row>
    <row r="40" spans="1:14" ht="26.25" customHeight="1" x14ac:dyDescent="0.45">
      <c r="A40" s="118" t="s">
        <v>64</v>
      </c>
      <c r="B40" s="252">
        <v>1</v>
      </c>
      <c r="C40" s="119">
        <v>3</v>
      </c>
      <c r="D40" s="254">
        <v>125780121</v>
      </c>
      <c r="E40" s="194">
        <f>IF(ISBLANK(D40),"-",$D$48/$D$45*D40)</f>
        <v>108889526.15008284</v>
      </c>
      <c r="F40" s="254">
        <f>65025925+67707423</f>
        <v>132733348</v>
      </c>
      <c r="G40" s="197">
        <f>IF(ISBLANK(F40),"-",$D$48/$F$45*F40)</f>
        <v>110995909.15172599</v>
      </c>
      <c r="L40" s="113"/>
      <c r="M40" s="113"/>
      <c r="N40" s="125"/>
    </row>
    <row r="41" spans="1:14" ht="26.25" customHeight="1" x14ac:dyDescent="0.45">
      <c r="A41" s="118" t="s">
        <v>65</v>
      </c>
      <c r="B41" s="252">
        <v>1</v>
      </c>
      <c r="C41" s="126">
        <v>4</v>
      </c>
      <c r="D41" s="255"/>
      <c r="E41" s="195" t="str">
        <f>IF(ISBLANK(D41),"-",$D$48/$D$45*D41)</f>
        <v>-</v>
      </c>
      <c r="F41" s="255"/>
      <c r="G41" s="198" t="str">
        <f>IF(ISBLANK(F41),"-",$D$48/$F$45*F41)</f>
        <v>-</v>
      </c>
      <c r="L41" s="113"/>
      <c r="M41" s="113"/>
      <c r="N41" s="125"/>
    </row>
    <row r="42" spans="1:14" ht="27" customHeight="1" x14ac:dyDescent="0.45">
      <c r="A42" s="118" t="s">
        <v>66</v>
      </c>
      <c r="B42" s="252">
        <v>1</v>
      </c>
      <c r="C42" s="128" t="s">
        <v>67</v>
      </c>
      <c r="D42" s="227">
        <f>AVERAGE(D38:D41)</f>
        <v>125947635.66666667</v>
      </c>
      <c r="E42" s="153">
        <f>AVERAGE(E38:E41)</f>
        <v>109034545.82832374</v>
      </c>
      <c r="F42" s="129">
        <f>AVERAGE(F38:F41)</f>
        <v>132670076.33333333</v>
      </c>
      <c r="G42" s="130">
        <f>AVERAGE(G38:G41)</f>
        <v>110942999.34216397</v>
      </c>
      <c r="H42" s="213"/>
    </row>
    <row r="43" spans="1:14" ht="26.25" customHeight="1" x14ac:dyDescent="0.45">
      <c r="A43" s="118" t="s">
        <v>68</v>
      </c>
      <c r="B43" s="249">
        <v>1</v>
      </c>
      <c r="C43" s="228" t="s">
        <v>97</v>
      </c>
      <c r="D43" s="256">
        <v>17.87</v>
      </c>
      <c r="E43" s="125"/>
      <c r="F43" s="257">
        <v>18.5</v>
      </c>
      <c r="H43" s="213"/>
    </row>
    <row r="44" spans="1:14" ht="26.25" customHeight="1" x14ac:dyDescent="0.45">
      <c r="A44" s="118" t="s">
        <v>69</v>
      </c>
      <c r="B44" s="249">
        <v>1</v>
      </c>
      <c r="C44" s="229" t="s">
        <v>98</v>
      </c>
      <c r="D44" s="230">
        <f>D43*$B$34</f>
        <v>17.87</v>
      </c>
      <c r="E44" s="132"/>
      <c r="F44" s="131">
        <f>F43*$B$34</f>
        <v>18.5</v>
      </c>
      <c r="H44" s="213"/>
    </row>
    <row r="45" spans="1:14" ht="19.5" customHeight="1" x14ac:dyDescent="0.35">
      <c r="A45" s="118" t="s">
        <v>70</v>
      </c>
      <c r="B45" s="226">
        <f>(B44/B43)*(B42/B41)*(B40/B39)*(B38/B37)*B36</f>
        <v>50</v>
      </c>
      <c r="C45" s="229" t="s">
        <v>71</v>
      </c>
      <c r="D45" s="231">
        <f>D44*$B$30/100</f>
        <v>14.43896</v>
      </c>
      <c r="E45" s="134"/>
      <c r="F45" s="133">
        <f>F44*$B$30/100</f>
        <v>14.948</v>
      </c>
      <c r="H45" s="213"/>
    </row>
    <row r="46" spans="1:14" ht="19.5" customHeight="1" x14ac:dyDescent="0.35">
      <c r="A46" s="304" t="s">
        <v>72</v>
      </c>
      <c r="B46" s="310"/>
      <c r="C46" s="229" t="s">
        <v>73</v>
      </c>
      <c r="D46" s="230">
        <f>D45/$B$45</f>
        <v>0.28877920000000001</v>
      </c>
      <c r="E46" s="134"/>
      <c r="F46" s="135">
        <f>F45/$B$45</f>
        <v>0.29896</v>
      </c>
      <c r="H46" s="213"/>
    </row>
    <row r="47" spans="1:14" ht="27" customHeight="1" x14ac:dyDescent="0.45">
      <c r="A47" s="306"/>
      <c r="B47" s="311"/>
      <c r="C47" s="229" t="s">
        <v>107</v>
      </c>
      <c r="D47" s="258">
        <v>0.25</v>
      </c>
      <c r="F47" s="137"/>
      <c r="H47" s="213"/>
    </row>
    <row r="48" spans="1:14" ht="18" x14ac:dyDescent="0.35">
      <c r="C48" s="229" t="s">
        <v>74</v>
      </c>
      <c r="D48" s="230">
        <f>D47*$B$45</f>
        <v>12.5</v>
      </c>
      <c r="F48" s="137"/>
      <c r="H48" s="213"/>
    </row>
    <row r="49" spans="1:12" ht="19.5" customHeight="1" x14ac:dyDescent="0.35">
      <c r="C49" s="232" t="s">
        <v>75</v>
      </c>
      <c r="D49" s="233">
        <f>D48/B34</f>
        <v>12.5</v>
      </c>
      <c r="F49" s="140"/>
      <c r="H49" s="213"/>
    </row>
    <row r="50" spans="1:12" ht="18" x14ac:dyDescent="0.35">
      <c r="C50" s="234" t="s">
        <v>76</v>
      </c>
      <c r="D50" s="235">
        <f>AVERAGE(E38:E41,G38:G41)</f>
        <v>109988772.58524387</v>
      </c>
      <c r="F50" s="140"/>
      <c r="H50" s="213"/>
    </row>
    <row r="51" spans="1:12" ht="18" x14ac:dyDescent="0.35">
      <c r="C51" s="136" t="s">
        <v>77</v>
      </c>
      <c r="D51" s="141">
        <f>STDEV(E38:E41,G38:G41)/D50</f>
        <v>9.5406175265573389E-3</v>
      </c>
      <c r="F51" s="140"/>
    </row>
    <row r="52" spans="1:12" ht="19.5" customHeight="1" x14ac:dyDescent="0.35">
      <c r="C52" s="138" t="s">
        <v>19</v>
      </c>
      <c r="D52" s="142">
        <f>COUNT(E38:E41,G38:G41)</f>
        <v>6</v>
      </c>
      <c r="F52" s="140"/>
    </row>
    <row r="54" spans="1:12" ht="18" x14ac:dyDescent="0.35">
      <c r="A54" s="98" t="s">
        <v>1</v>
      </c>
      <c r="B54" s="143" t="s">
        <v>78</v>
      </c>
    </row>
    <row r="55" spans="1:12" ht="18" x14ac:dyDescent="0.35">
      <c r="A55" s="99" t="s">
        <v>79</v>
      </c>
      <c r="B55" s="102" t="str">
        <f>B21</f>
        <v>Each film coated tablet contain: Cefuroxime 500 mg (as Cefuroxime Axetil USP)</v>
      </c>
    </row>
    <row r="56" spans="1:12" ht="26.25" customHeight="1" x14ac:dyDescent="0.45">
      <c r="A56" s="101" t="s">
        <v>80</v>
      </c>
      <c r="B56" s="248">
        <v>500</v>
      </c>
      <c r="C56" s="99" t="str">
        <f>B20</f>
        <v>Cefuroxime( as Axetil)</v>
      </c>
      <c r="H56" s="108"/>
    </row>
    <row r="57" spans="1:12" ht="18" x14ac:dyDescent="0.35">
      <c r="A57" s="102" t="s">
        <v>81</v>
      </c>
      <c r="B57" s="247">
        <f>Uniformity!C46</f>
        <v>969.13100000000009</v>
      </c>
      <c r="H57" s="108"/>
    </row>
    <row r="58" spans="1:12" ht="19.5" customHeight="1" x14ac:dyDescent="0.35">
      <c r="H58" s="108"/>
    </row>
    <row r="59" spans="1:12" s="10" customFormat="1" ht="27" customHeight="1" x14ac:dyDescent="0.45">
      <c r="A59" s="117" t="s">
        <v>108</v>
      </c>
      <c r="B59" s="251">
        <v>100</v>
      </c>
      <c r="C59" s="99"/>
      <c r="D59" s="145" t="s">
        <v>82</v>
      </c>
      <c r="E59" s="144" t="s">
        <v>59</v>
      </c>
      <c r="F59" s="144" t="s">
        <v>60</v>
      </c>
      <c r="G59" s="144" t="s">
        <v>83</v>
      </c>
      <c r="H59" s="120" t="s">
        <v>84</v>
      </c>
      <c r="L59" s="109"/>
    </row>
    <row r="60" spans="1:12" s="10" customFormat="1" ht="22.5" customHeight="1" x14ac:dyDescent="0.45">
      <c r="A60" s="118" t="s">
        <v>102</v>
      </c>
      <c r="B60" s="252">
        <v>5</v>
      </c>
      <c r="C60" s="322" t="s">
        <v>85</v>
      </c>
      <c r="D60" s="326">
        <v>959.16</v>
      </c>
      <c r="E60" s="146">
        <v>1</v>
      </c>
      <c r="F60" s="259">
        <f>56589361+61368542</f>
        <v>117957903</v>
      </c>
      <c r="G60" s="183">
        <f>IF(ISBLANK(F60),"-",(F60/$D$50*$D$47*$B$68)*($B$57/$D$60))</f>
        <v>541.80139482102027</v>
      </c>
      <c r="H60" s="185">
        <f t="shared" ref="H60:H71" si="0">IF(ISBLANK(F60),"-",G60/$B$56)</f>
        <v>1.0836027896420406</v>
      </c>
      <c r="L60" s="109"/>
    </row>
    <row r="61" spans="1:12" s="10" customFormat="1" ht="26.25" customHeight="1" x14ac:dyDescent="0.45">
      <c r="A61" s="118" t="s">
        <v>86</v>
      </c>
      <c r="B61" s="252">
        <v>100</v>
      </c>
      <c r="C61" s="323"/>
      <c r="D61" s="327"/>
      <c r="E61" s="147">
        <v>2</v>
      </c>
      <c r="F61" s="254">
        <f>56513152+61402323</f>
        <v>117915475</v>
      </c>
      <c r="G61" s="184">
        <f>IF(ISBLANK(F61),"-",(F61/$D$50*$D$47*$B$68)*($B$57/$D$60))</f>
        <v>541.60651555481741</v>
      </c>
      <c r="H61" s="186">
        <f t="shared" si="0"/>
        <v>1.0832130311096348</v>
      </c>
      <c r="L61" s="109"/>
    </row>
    <row r="62" spans="1:12" s="10" customFormat="1" ht="26.25" customHeight="1" x14ac:dyDescent="0.45">
      <c r="A62" s="118" t="s">
        <v>87</v>
      </c>
      <c r="B62" s="252">
        <v>1</v>
      </c>
      <c r="C62" s="323"/>
      <c r="D62" s="327"/>
      <c r="E62" s="147">
        <v>3</v>
      </c>
      <c r="F62" s="96">
        <f>56549762+61438683</f>
        <v>117988445</v>
      </c>
      <c r="G62" s="184">
        <f>IF(ISBLANK(F62),"-",(F62/$D$50*$D$47*$B$68)*($B$57/$D$60))</f>
        <v>541.94167959872289</v>
      </c>
      <c r="H62" s="186">
        <f t="shared" si="0"/>
        <v>1.0838833591974457</v>
      </c>
      <c r="L62" s="109"/>
    </row>
    <row r="63" spans="1:12" ht="21" customHeight="1" x14ac:dyDescent="0.45">
      <c r="A63" s="118" t="s">
        <v>88</v>
      </c>
      <c r="B63" s="252">
        <v>1</v>
      </c>
      <c r="C63" s="324"/>
      <c r="D63" s="328"/>
      <c r="E63" s="148">
        <v>4</v>
      </c>
      <c r="F63" s="260"/>
      <c r="G63" s="18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18" t="s">
        <v>89</v>
      </c>
      <c r="B64" s="252">
        <v>1</v>
      </c>
      <c r="C64" s="322" t="s">
        <v>90</v>
      </c>
      <c r="D64" s="326">
        <v>974.81</v>
      </c>
      <c r="E64" s="146">
        <v>1</v>
      </c>
      <c r="F64" s="259">
        <f>58421883+63551456</f>
        <v>121973339</v>
      </c>
      <c r="G64" s="209">
        <f>IF(ISBLANK(F64),"-",(F64/$D$50*$D$47*$B$68)*($B$57/$D$64))</f>
        <v>551.25059535484104</v>
      </c>
      <c r="H64" s="206">
        <f t="shared" si="0"/>
        <v>1.102501190709682</v>
      </c>
    </row>
    <row r="65" spans="1:8" ht="26.25" customHeight="1" x14ac:dyDescent="0.45">
      <c r="A65" s="118" t="s">
        <v>91</v>
      </c>
      <c r="B65" s="252">
        <v>1</v>
      </c>
      <c r="C65" s="323"/>
      <c r="D65" s="327"/>
      <c r="E65" s="147">
        <v>2</v>
      </c>
      <c r="F65" s="254">
        <f>58372622+63484466</f>
        <v>121857088</v>
      </c>
      <c r="G65" s="210">
        <f>IF(ISBLANK(F65),"-",(F65/$D$50*$D$47*$B$68)*($B$57/$D$64))</f>
        <v>550.72520649948967</v>
      </c>
      <c r="H65" s="207">
        <f t="shared" si="0"/>
        <v>1.1014504129989793</v>
      </c>
    </row>
    <row r="66" spans="1:8" ht="26.25" customHeight="1" x14ac:dyDescent="0.45">
      <c r="A66" s="118" t="s">
        <v>92</v>
      </c>
      <c r="B66" s="252">
        <v>1</v>
      </c>
      <c r="C66" s="323"/>
      <c r="D66" s="327"/>
      <c r="E66" s="147">
        <v>3</v>
      </c>
      <c r="F66" s="254">
        <f>58294524+63388051</f>
        <v>121682575</v>
      </c>
      <c r="G66" s="210">
        <f>IF(ISBLANK(F66),"-",(F66/$D$50*$D$47*$B$68)*($B$57/$D$64))</f>
        <v>549.93650631356491</v>
      </c>
      <c r="H66" s="207">
        <f t="shared" si="0"/>
        <v>1.0998730126271299</v>
      </c>
    </row>
    <row r="67" spans="1:8" ht="21" customHeight="1" x14ac:dyDescent="0.45">
      <c r="A67" s="118" t="s">
        <v>93</v>
      </c>
      <c r="B67" s="252">
        <v>1</v>
      </c>
      <c r="C67" s="324"/>
      <c r="D67" s="328"/>
      <c r="E67" s="148">
        <v>4</v>
      </c>
      <c r="F67" s="260"/>
      <c r="G67" s="211" t="str">
        <f>IF(ISBLANK(F67),"-",(F67/$D$50*$D$47*$B$68)*($B$57/$D$64))</f>
        <v>-</v>
      </c>
      <c r="H67" s="208" t="str">
        <f t="shared" si="0"/>
        <v>-</v>
      </c>
    </row>
    <row r="68" spans="1:8" ht="21.75" customHeight="1" x14ac:dyDescent="0.45">
      <c r="A68" s="118" t="s">
        <v>94</v>
      </c>
      <c r="B68" s="218">
        <f>(B67/B66)*(B65/B64)*(B63/B62)*(B61/B60)*B59</f>
        <v>2000</v>
      </c>
      <c r="C68" s="322" t="s">
        <v>95</v>
      </c>
      <c r="D68" s="326">
        <v>967.07</v>
      </c>
      <c r="E68" s="146">
        <v>1</v>
      </c>
      <c r="F68" s="259"/>
      <c r="G68" s="209" t="str">
        <f>IF(ISBLANK(F68),"-",(F68/$D$50*$D$47*$B$68)*($B$57/$D$68))</f>
        <v>-</v>
      </c>
      <c r="H68" s="186" t="str">
        <f t="shared" si="0"/>
        <v>-</v>
      </c>
    </row>
    <row r="69" spans="1:8" ht="21.75" customHeight="1" thickBot="1" x14ac:dyDescent="0.5">
      <c r="A69" s="236" t="s">
        <v>96</v>
      </c>
      <c r="B69" s="237">
        <f>D47*B68/B56*B57</f>
        <v>969.13100000000009</v>
      </c>
      <c r="C69" s="323"/>
      <c r="D69" s="327"/>
      <c r="E69" s="124">
        <v>2</v>
      </c>
      <c r="F69" s="254">
        <f>58674826+63826139</f>
        <v>122500965</v>
      </c>
      <c r="G69" s="331">
        <f>IF(ISBLANK(F69),"-",(F69/$D$50*$D$47*$B$68)*($B$57/$D$68))</f>
        <v>558.06621753467857</v>
      </c>
      <c r="H69" s="186">
        <f t="shared" si="0"/>
        <v>1.1161324350693571</v>
      </c>
    </row>
    <row r="70" spans="1:8" ht="22.5" customHeight="1" x14ac:dyDescent="0.45">
      <c r="A70" s="294" t="s">
        <v>72</v>
      </c>
      <c r="B70" s="295"/>
      <c r="C70" s="323"/>
      <c r="D70" s="327"/>
      <c r="E70" s="147">
        <v>3</v>
      </c>
      <c r="F70" s="254">
        <f>58774362+63910368</f>
        <v>122684730</v>
      </c>
      <c r="G70" s="210">
        <f>IF(ISBLANK(F70),"-",(F70/$D$50*$D$47*$B$68)*($B$57/$D$68))</f>
        <v>558.9033786008406</v>
      </c>
      <c r="H70" s="186">
        <f t="shared" si="0"/>
        <v>1.1178067572016812</v>
      </c>
    </row>
    <row r="71" spans="1:8" ht="21.75" customHeight="1" x14ac:dyDescent="0.45">
      <c r="A71" s="296"/>
      <c r="B71" s="297"/>
      <c r="C71" s="325"/>
      <c r="D71" s="328"/>
      <c r="E71" s="148">
        <v>4</v>
      </c>
      <c r="F71" s="260"/>
      <c r="G71" s="211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5">
      <c r="A72" s="149"/>
      <c r="B72" s="149"/>
      <c r="C72" s="149"/>
      <c r="D72" s="149"/>
      <c r="E72" s="149"/>
      <c r="F72" s="150"/>
      <c r="G72" s="139" t="s">
        <v>67</v>
      </c>
      <c r="H72" s="261">
        <f>AVERAGE(H60:H71)</f>
        <v>1.0985578735694936</v>
      </c>
    </row>
    <row r="73" spans="1:8" ht="26.25" customHeight="1" x14ac:dyDescent="0.45">
      <c r="C73" s="149"/>
      <c r="D73" s="149"/>
      <c r="E73" s="149"/>
      <c r="F73" s="150"/>
      <c r="G73" s="136" t="s">
        <v>77</v>
      </c>
      <c r="H73" s="262">
        <f>STDEV(H60:H71)/H72</f>
        <v>1.2778723336237212E-2</v>
      </c>
    </row>
    <row r="74" spans="1:8" ht="27" customHeight="1" x14ac:dyDescent="0.45">
      <c r="A74" s="149"/>
      <c r="B74" s="149"/>
      <c r="C74" s="150"/>
      <c r="D74" s="150"/>
      <c r="E74" s="151"/>
      <c r="F74" s="150"/>
      <c r="G74" s="138" t="s">
        <v>19</v>
      </c>
      <c r="H74" s="263">
        <f>COUNT(H60:H71)</f>
        <v>8</v>
      </c>
    </row>
    <row r="75" spans="1:8" ht="18" x14ac:dyDescent="0.35">
      <c r="A75" s="149"/>
      <c r="B75" s="149"/>
      <c r="C75" s="150"/>
      <c r="D75" s="150"/>
      <c r="E75" s="151"/>
      <c r="F75" s="150"/>
      <c r="G75" s="172"/>
      <c r="H75" s="225"/>
    </row>
    <row r="76" spans="1:8" ht="18" x14ac:dyDescent="0.35">
      <c r="A76" s="105" t="s">
        <v>109</v>
      </c>
      <c r="B76" s="242" t="s">
        <v>103</v>
      </c>
      <c r="C76" s="298" t="str">
        <f>B20</f>
        <v>Cefuroxime( as Axetil)</v>
      </c>
      <c r="D76" s="298"/>
      <c r="E76" s="244" t="s">
        <v>110</v>
      </c>
      <c r="F76" s="244"/>
      <c r="G76" s="245">
        <f>H72</f>
        <v>1.0985578735694936</v>
      </c>
      <c r="H76" s="225"/>
    </row>
    <row r="77" spans="1:8" ht="18" x14ac:dyDescent="0.35">
      <c r="A77" s="149"/>
      <c r="B77" s="149"/>
      <c r="C77" s="150"/>
      <c r="D77" s="150"/>
      <c r="E77" s="151"/>
      <c r="F77" s="150"/>
      <c r="G77" s="172"/>
      <c r="H77" s="225"/>
    </row>
    <row r="78" spans="1:8" ht="26.25" customHeight="1" x14ac:dyDescent="0.45">
      <c r="A78" s="104" t="s">
        <v>111</v>
      </c>
      <c r="B78" s="104" t="s">
        <v>112</v>
      </c>
      <c r="D78" s="264" t="s">
        <v>116</v>
      </c>
    </row>
    <row r="79" spans="1:8" ht="18" x14ac:dyDescent="0.35">
      <c r="A79" s="104"/>
      <c r="B79" s="104"/>
    </row>
    <row r="80" spans="1:8" ht="26.25" customHeight="1" x14ac:dyDescent="0.45">
      <c r="A80" s="105" t="s">
        <v>3</v>
      </c>
      <c r="B80" s="248" t="str">
        <f>B26</f>
        <v>Cefuroxime Axetil</v>
      </c>
      <c r="C80" s="272"/>
    </row>
    <row r="81" spans="1:12" ht="26.25" customHeight="1" x14ac:dyDescent="0.45">
      <c r="A81" s="107" t="s">
        <v>46</v>
      </c>
      <c r="B81" s="248" t="str">
        <f>B27</f>
        <v>C3-7</v>
      </c>
    </row>
    <row r="82" spans="1:12" ht="27" customHeight="1" x14ac:dyDescent="0.45">
      <c r="A82" s="107" t="s">
        <v>5</v>
      </c>
      <c r="B82" s="248">
        <f>B28</f>
        <v>82.3</v>
      </c>
    </row>
    <row r="83" spans="1:12" s="10" customFormat="1" ht="27" customHeight="1" x14ac:dyDescent="0.45">
      <c r="A83" s="107" t="s">
        <v>47</v>
      </c>
      <c r="B83" s="248">
        <f>B29</f>
        <v>1.5</v>
      </c>
      <c r="C83" s="318" t="s">
        <v>48</v>
      </c>
      <c r="D83" s="319"/>
      <c r="E83" s="319"/>
      <c r="F83" s="319"/>
      <c r="G83" s="320"/>
      <c r="I83" s="109"/>
      <c r="J83" s="109"/>
      <c r="K83" s="109"/>
      <c r="L83" s="109"/>
    </row>
    <row r="84" spans="1:12" s="10" customFormat="1" ht="18" x14ac:dyDescent="0.35">
      <c r="A84" s="107" t="s">
        <v>49</v>
      </c>
      <c r="B84" s="106">
        <f>B82-B83</f>
        <v>80.8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0" customFormat="1" ht="19.5" customHeight="1" x14ac:dyDescent="0.35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0" customFormat="1" ht="27" customHeight="1" x14ac:dyDescent="0.45">
      <c r="A86" s="107" t="s">
        <v>50</v>
      </c>
      <c r="B86" s="250">
        <v>1</v>
      </c>
      <c r="C86" s="312" t="s">
        <v>51</v>
      </c>
      <c r="D86" s="313"/>
      <c r="E86" s="313"/>
      <c r="F86" s="313"/>
      <c r="G86" s="313"/>
      <c r="H86" s="314"/>
      <c r="I86" s="109"/>
      <c r="J86" s="109"/>
      <c r="K86" s="109"/>
      <c r="L86" s="109"/>
    </row>
    <row r="87" spans="1:12" s="10" customFormat="1" ht="27" customHeight="1" x14ac:dyDescent="0.45">
      <c r="A87" s="107" t="s">
        <v>52</v>
      </c>
      <c r="B87" s="250">
        <v>1</v>
      </c>
      <c r="C87" s="312" t="s">
        <v>53</v>
      </c>
      <c r="D87" s="313"/>
      <c r="E87" s="313"/>
      <c r="F87" s="313"/>
      <c r="G87" s="313"/>
      <c r="H87" s="314"/>
      <c r="I87" s="109"/>
      <c r="J87" s="109"/>
      <c r="K87" s="109"/>
      <c r="L87" s="109"/>
    </row>
    <row r="88" spans="1:12" s="10" customFormat="1" ht="18" x14ac:dyDescent="0.35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" x14ac:dyDescent="0.35">
      <c r="A89" s="107" t="s">
        <v>54</v>
      </c>
      <c r="B89" s="116">
        <f>B86/B87</f>
        <v>1</v>
      </c>
      <c r="C89" s="99" t="s">
        <v>55</v>
      </c>
    </row>
    <row r="90" spans="1:12" ht="19.5" customHeight="1" x14ac:dyDescent="0.35">
      <c r="A90" s="107"/>
      <c r="B90" s="116"/>
    </row>
    <row r="91" spans="1:12" ht="27" customHeight="1" x14ac:dyDescent="0.45">
      <c r="A91" s="117" t="s">
        <v>105</v>
      </c>
      <c r="B91" s="251">
        <v>25</v>
      </c>
      <c r="D91" s="181" t="s">
        <v>56</v>
      </c>
      <c r="E91" s="182"/>
      <c r="F91" s="308" t="s">
        <v>57</v>
      </c>
      <c r="G91" s="309"/>
    </row>
    <row r="92" spans="1:12" ht="26.25" customHeight="1" x14ac:dyDescent="0.45">
      <c r="A92" s="118" t="s">
        <v>58</v>
      </c>
      <c r="B92" s="252">
        <v>2</v>
      </c>
      <c r="C92" s="178" t="s">
        <v>106</v>
      </c>
      <c r="D92" s="121" t="s">
        <v>60</v>
      </c>
      <c r="E92" s="179" t="s">
        <v>61</v>
      </c>
      <c r="F92" s="121" t="s">
        <v>60</v>
      </c>
      <c r="G92" s="122" t="s">
        <v>61</v>
      </c>
    </row>
    <row r="93" spans="1:12" ht="26.25" customHeight="1" x14ac:dyDescent="0.45">
      <c r="A93" s="118" t="s">
        <v>62</v>
      </c>
      <c r="B93" s="252">
        <v>100</v>
      </c>
      <c r="C93" s="177">
        <v>1</v>
      </c>
      <c r="D93" s="253">
        <v>0.42499999999999999</v>
      </c>
      <c r="E93" s="193">
        <f>IF(ISBLANK(D93),"-",$D$103/$D$100*D93)</f>
        <v>0.48061960801343295</v>
      </c>
      <c r="F93" s="253">
        <v>0.42099999999999999</v>
      </c>
      <c r="G93" s="196">
        <f>IF(ISBLANK(F93),"-",$D$103/$F$100*F93)</f>
        <v>0.4953224617465169</v>
      </c>
    </row>
    <row r="94" spans="1:12" ht="26.25" customHeight="1" x14ac:dyDescent="0.45">
      <c r="A94" s="118" t="s">
        <v>63</v>
      </c>
      <c r="B94" s="252">
        <v>1</v>
      </c>
      <c r="C94" s="150">
        <v>2</v>
      </c>
      <c r="D94" s="254">
        <v>0.42399999999999999</v>
      </c>
      <c r="E94" s="194">
        <f>IF(ISBLANK(D94),"-",$D$103/$D$100*D94)</f>
        <v>0.47948873834751898</v>
      </c>
      <c r="F94" s="254">
        <v>0.42199999999999999</v>
      </c>
      <c r="G94" s="197">
        <f>IF(ISBLANK(F94),"-",$D$103/$F$100*F94)</f>
        <v>0.49649899966040412</v>
      </c>
    </row>
    <row r="95" spans="1:12" ht="26.25" customHeight="1" x14ac:dyDescent="0.45">
      <c r="A95" s="118" t="s">
        <v>64</v>
      </c>
      <c r="B95" s="252">
        <v>1</v>
      </c>
      <c r="C95" s="150">
        <v>3</v>
      </c>
      <c r="D95" s="254">
        <v>0.42499999999999999</v>
      </c>
      <c r="E95" s="194">
        <f>IF(ISBLANK(D95),"-",$D$103/$D$100*D95)</f>
        <v>0.48061960801343295</v>
      </c>
      <c r="F95" s="254">
        <v>0.42099999999999999</v>
      </c>
      <c r="G95" s="197">
        <f>IF(ISBLANK(F95),"-",$D$103/$F$100*F95)</f>
        <v>0.4953224617465169</v>
      </c>
    </row>
    <row r="96" spans="1:12" ht="26.25" customHeight="1" x14ac:dyDescent="0.45">
      <c r="A96" s="118" t="s">
        <v>65</v>
      </c>
      <c r="B96" s="252">
        <v>1</v>
      </c>
      <c r="C96" s="180">
        <v>4</v>
      </c>
      <c r="D96" s="255"/>
      <c r="E96" s="195" t="str">
        <f>IF(ISBLANK(D96),"-",$D$103/$D$100*D96)</f>
        <v>-</v>
      </c>
      <c r="F96" s="265"/>
      <c r="G96" s="198" t="str">
        <f>IF(ISBLANK(F96),"-",$D$103/$F$100*F96)</f>
        <v>-</v>
      </c>
    </row>
    <row r="97" spans="1:10" ht="27" customHeight="1" x14ac:dyDescent="0.45">
      <c r="A97" s="118" t="s">
        <v>66</v>
      </c>
      <c r="B97" s="252">
        <v>1</v>
      </c>
      <c r="C97" s="172" t="s">
        <v>67</v>
      </c>
      <c r="D97" s="275">
        <f>AVERAGE(D93:D96)</f>
        <v>0.42466666666666669</v>
      </c>
      <c r="E97" s="153">
        <f>AVERAGE(E93:E96)</f>
        <v>0.48024265145812822</v>
      </c>
      <c r="F97" s="274">
        <f>AVERAGE(F93:F96)</f>
        <v>0.42133333333333334</v>
      </c>
      <c r="G97" s="199">
        <f>AVERAGE(G93:G96)</f>
        <v>0.49571464105114593</v>
      </c>
    </row>
    <row r="98" spans="1:10" ht="26.25" customHeight="1" x14ac:dyDescent="0.45">
      <c r="A98" s="118" t="s">
        <v>68</v>
      </c>
      <c r="B98" s="249">
        <v>1</v>
      </c>
      <c r="C98" s="228" t="s">
        <v>97</v>
      </c>
      <c r="D98" s="332">
        <v>15.2</v>
      </c>
      <c r="E98" s="125"/>
      <c r="F98" s="257">
        <v>14.61</v>
      </c>
    </row>
    <row r="99" spans="1:10" ht="26.25" customHeight="1" x14ac:dyDescent="0.45">
      <c r="A99" s="118" t="s">
        <v>69</v>
      </c>
      <c r="B99" s="249">
        <v>1</v>
      </c>
      <c r="C99" s="229" t="s">
        <v>98</v>
      </c>
      <c r="D99" s="230">
        <f>D98*$B$89</f>
        <v>15.2</v>
      </c>
      <c r="E99" s="132"/>
      <c r="F99" s="131">
        <f>F98*$B$89</f>
        <v>14.61</v>
      </c>
    </row>
    <row r="100" spans="1:10" ht="19.5" customHeight="1" x14ac:dyDescent="0.35">
      <c r="A100" s="118" t="s">
        <v>70</v>
      </c>
      <c r="B100" s="226">
        <f>(B99/B98)*(B97/B96)*(B95/B94)*(B93/B92)*B91</f>
        <v>1250</v>
      </c>
      <c r="C100" s="229" t="s">
        <v>71</v>
      </c>
      <c r="D100" s="231">
        <f>D99*$B$84/100</f>
        <v>12.281599999999999</v>
      </c>
      <c r="E100" s="134"/>
      <c r="F100" s="133">
        <f>F99*$B$84/100</f>
        <v>11.804879999999999</v>
      </c>
    </row>
    <row r="101" spans="1:10" ht="19.5" customHeight="1" x14ac:dyDescent="0.35">
      <c r="A101" s="304" t="s">
        <v>72</v>
      </c>
      <c r="B101" s="310"/>
      <c r="C101" s="229" t="s">
        <v>73</v>
      </c>
      <c r="D101" s="230">
        <f>D100/$B$100</f>
        <v>9.8252799999999987E-3</v>
      </c>
      <c r="E101" s="134"/>
      <c r="F101" s="135">
        <f>F100/$B$100</f>
        <v>9.4439039999999995E-3</v>
      </c>
      <c r="G101" s="212"/>
      <c r="H101" s="213"/>
    </row>
    <row r="102" spans="1:10" ht="19.5" customHeight="1" x14ac:dyDescent="0.35">
      <c r="A102" s="306"/>
      <c r="B102" s="311"/>
      <c r="C102" s="229" t="s">
        <v>107</v>
      </c>
      <c r="D102" s="238">
        <f>$B$56/$B$118</f>
        <v>1.1111111111111112E-2</v>
      </c>
      <c r="F102" s="137"/>
      <c r="G102" s="214"/>
      <c r="H102" s="213"/>
    </row>
    <row r="103" spans="1:10" ht="18" x14ac:dyDescent="0.35">
      <c r="C103" s="229" t="s">
        <v>74</v>
      </c>
      <c r="D103" s="230">
        <f>D102*$B$100</f>
        <v>13.888888888888889</v>
      </c>
      <c r="F103" s="137"/>
      <c r="G103" s="212"/>
      <c r="H103" s="213"/>
    </row>
    <row r="104" spans="1:10" ht="19.5" customHeight="1" x14ac:dyDescent="0.35">
      <c r="C104" s="232" t="s">
        <v>75</v>
      </c>
      <c r="D104" s="239">
        <f>D103/B34</f>
        <v>13.888888888888889</v>
      </c>
      <c r="F104" s="140"/>
      <c r="G104" s="212"/>
      <c r="H104" s="213"/>
      <c r="J104" s="154"/>
    </row>
    <row r="105" spans="1:10" ht="18" x14ac:dyDescent="0.35">
      <c r="C105" s="234" t="s">
        <v>76</v>
      </c>
      <c r="D105" s="235">
        <f>AVERAGE(E93:E96,G93:G96)</f>
        <v>0.48797864625463711</v>
      </c>
      <c r="F105" s="140"/>
      <c r="G105" s="215"/>
      <c r="H105" s="213"/>
      <c r="J105" s="156"/>
    </row>
    <row r="106" spans="1:10" ht="18" x14ac:dyDescent="0.35">
      <c r="C106" s="136" t="s">
        <v>77</v>
      </c>
      <c r="D106" s="155">
        <f>STDEV(E93:E96,G93:G96)/D105</f>
        <v>1.7409126941325275E-2</v>
      </c>
      <c r="F106" s="140"/>
      <c r="G106" s="212"/>
      <c r="H106" s="213"/>
      <c r="J106" s="156"/>
    </row>
    <row r="107" spans="1:10" ht="19.5" customHeight="1" x14ac:dyDescent="0.35">
      <c r="C107" s="138" t="s">
        <v>19</v>
      </c>
      <c r="D107" s="157">
        <f>COUNT(E93:E96,G93:G96)</f>
        <v>6</v>
      </c>
      <c r="F107" s="140"/>
      <c r="G107" s="212"/>
      <c r="H107" s="213"/>
      <c r="J107" s="156"/>
    </row>
    <row r="108" spans="1:10" ht="19.5" customHeight="1" x14ac:dyDescent="0.35">
      <c r="A108" s="98"/>
      <c r="B108" s="98"/>
      <c r="C108" s="98"/>
      <c r="D108" s="98"/>
      <c r="E108" s="98"/>
    </row>
    <row r="109" spans="1:10" ht="26.25" customHeight="1" x14ac:dyDescent="0.45">
      <c r="A109" s="117" t="s">
        <v>99</v>
      </c>
      <c r="B109" s="251">
        <v>900</v>
      </c>
      <c r="C109" s="158" t="s">
        <v>113</v>
      </c>
      <c r="D109" s="159" t="s">
        <v>60</v>
      </c>
      <c r="E109" s="160" t="s">
        <v>100</v>
      </c>
      <c r="F109" s="161" t="s">
        <v>101</v>
      </c>
    </row>
    <row r="110" spans="1:10" ht="26.25" customHeight="1" x14ac:dyDescent="0.45">
      <c r="A110" s="118" t="s">
        <v>102</v>
      </c>
      <c r="B110" s="252">
        <v>2</v>
      </c>
      <c r="C110" s="124">
        <v>1</v>
      </c>
      <c r="D110" s="276">
        <v>0.46200000000000002</v>
      </c>
      <c r="E110" s="162">
        <f t="shared" ref="E110:E115" si="1">IF(ISBLANK(D110),"-",D110/$D$105*$D$102*$B$118)</f>
        <v>473.38136980579998</v>
      </c>
      <c r="F110" s="163">
        <f t="shared" ref="F110:F115" si="2">IF(ISBLANK(D110), "-", E110/$B$56)</f>
        <v>0.94676273961159996</v>
      </c>
    </row>
    <row r="111" spans="1:10" ht="26.25" customHeight="1" x14ac:dyDescent="0.45">
      <c r="A111" s="118" t="s">
        <v>86</v>
      </c>
      <c r="B111" s="252">
        <v>100</v>
      </c>
      <c r="C111" s="124">
        <v>2</v>
      </c>
      <c r="D111" s="276">
        <v>0.45400000000000001</v>
      </c>
      <c r="E111" s="164">
        <f t="shared" si="1"/>
        <v>465.18428980916275</v>
      </c>
      <c r="F111" s="188">
        <f t="shared" si="2"/>
        <v>0.93036857961832553</v>
      </c>
    </row>
    <row r="112" spans="1:10" ht="26.25" customHeight="1" x14ac:dyDescent="0.45">
      <c r="A112" s="118" t="s">
        <v>87</v>
      </c>
      <c r="B112" s="252">
        <v>1</v>
      </c>
      <c r="C112" s="124">
        <v>3</v>
      </c>
      <c r="D112" s="276">
        <v>0.45800000000000002</v>
      </c>
      <c r="E112" s="164">
        <f t="shared" si="1"/>
        <v>469.28282980748139</v>
      </c>
      <c r="F112" s="188">
        <f t="shared" si="2"/>
        <v>0.93856565961496274</v>
      </c>
    </row>
    <row r="113" spans="1:10" ht="26.25" customHeight="1" x14ac:dyDescent="0.45">
      <c r="A113" s="118" t="s">
        <v>88</v>
      </c>
      <c r="B113" s="252">
        <v>1</v>
      </c>
      <c r="C113" s="124">
        <v>4</v>
      </c>
      <c r="D113" s="276">
        <v>0.46100000000000002</v>
      </c>
      <c r="E113" s="164">
        <f t="shared" si="1"/>
        <v>472.35673480622035</v>
      </c>
      <c r="F113" s="188">
        <f t="shared" si="2"/>
        <v>0.94471346961244074</v>
      </c>
    </row>
    <row r="114" spans="1:10" ht="26.25" customHeight="1" x14ac:dyDescent="0.45">
      <c r="A114" s="118" t="s">
        <v>89</v>
      </c>
      <c r="B114" s="252">
        <v>1</v>
      </c>
      <c r="C114" s="124">
        <v>5</v>
      </c>
      <c r="D114" s="276">
        <v>0.46300000000000002</v>
      </c>
      <c r="E114" s="164">
        <f t="shared" si="1"/>
        <v>474.40600480537967</v>
      </c>
      <c r="F114" s="188">
        <f t="shared" si="2"/>
        <v>0.94881200961075929</v>
      </c>
    </row>
    <row r="115" spans="1:10" ht="26.25" customHeight="1" x14ac:dyDescent="0.45">
      <c r="A115" s="118" t="s">
        <v>91</v>
      </c>
      <c r="B115" s="252">
        <v>1</v>
      </c>
      <c r="C115" s="127">
        <v>6</v>
      </c>
      <c r="D115" s="277">
        <v>0.45800000000000002</v>
      </c>
      <c r="E115" s="165">
        <f t="shared" si="1"/>
        <v>469.28282980748139</v>
      </c>
      <c r="F115" s="189">
        <f t="shared" si="2"/>
        <v>0.93856565961496274</v>
      </c>
    </row>
    <row r="116" spans="1:10" ht="26.25" customHeight="1" x14ac:dyDescent="0.45">
      <c r="A116" s="118" t="s">
        <v>92</v>
      </c>
      <c r="B116" s="252">
        <v>1</v>
      </c>
      <c r="C116" s="124"/>
      <c r="D116" s="150"/>
      <c r="E116" s="152"/>
      <c r="F116" s="166"/>
    </row>
    <row r="117" spans="1:10" ht="26.25" customHeight="1" x14ac:dyDescent="0.45">
      <c r="A117" s="118" t="s">
        <v>93</v>
      </c>
      <c r="B117" s="252">
        <v>1</v>
      </c>
      <c r="C117" s="124"/>
      <c r="D117" s="167"/>
      <c r="E117" s="168" t="s">
        <v>67</v>
      </c>
      <c r="F117" s="169">
        <f>AVERAGE(F110:F115)</f>
        <v>0.94129801961384185</v>
      </c>
    </row>
    <row r="118" spans="1:10" ht="19.5" customHeight="1" x14ac:dyDescent="0.35">
      <c r="A118" s="118" t="s">
        <v>94</v>
      </c>
      <c r="B118" s="217">
        <f>(B117/B116)*(B115/B114)*(B113/B112)*(B111/B110)*B109</f>
        <v>45000</v>
      </c>
      <c r="C118" s="170"/>
      <c r="D118" s="171"/>
      <c r="E118" s="172" t="s">
        <v>77</v>
      </c>
      <c r="F118" s="173">
        <f>STDEV(F110:F115)/F117</f>
        <v>7.2423657183597386E-3</v>
      </c>
      <c r="I118" s="152"/>
    </row>
    <row r="119" spans="1:10" ht="19.5" customHeight="1" x14ac:dyDescent="0.35">
      <c r="A119" s="304" t="s">
        <v>72</v>
      </c>
      <c r="B119" s="305"/>
      <c r="C119" s="174"/>
      <c r="D119" s="175"/>
      <c r="E119" s="176" t="s">
        <v>19</v>
      </c>
      <c r="F119" s="157">
        <f>COUNT(F110:F115)</f>
        <v>6</v>
      </c>
      <c r="I119" s="152"/>
      <c r="J119" s="156"/>
    </row>
    <row r="120" spans="1:10" ht="19.5" customHeight="1" x14ac:dyDescent="0.35">
      <c r="A120" s="306"/>
      <c r="B120" s="307"/>
      <c r="C120" s="152"/>
      <c r="D120" s="152"/>
      <c r="E120" s="152"/>
      <c r="F120" s="150"/>
      <c r="G120" s="152"/>
      <c r="H120" s="152"/>
      <c r="I120" s="152"/>
    </row>
    <row r="121" spans="1:10" ht="18" x14ac:dyDescent="0.35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" x14ac:dyDescent="0.35">
      <c r="A122" s="105" t="s">
        <v>109</v>
      </c>
      <c r="B122" s="242" t="s">
        <v>103</v>
      </c>
      <c r="C122" s="298" t="str">
        <f>B20</f>
        <v>Cefuroxime( as Axetil)</v>
      </c>
      <c r="D122" s="298"/>
      <c r="E122" s="244" t="s">
        <v>104</v>
      </c>
      <c r="F122" s="244"/>
      <c r="G122" s="245">
        <f>F117</f>
        <v>0.94129801961384185</v>
      </c>
      <c r="H122" s="152"/>
      <c r="I122" s="152"/>
    </row>
    <row r="123" spans="1:10" ht="18" x14ac:dyDescent="0.35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5">
      <c r="A124" s="104" t="s">
        <v>111</v>
      </c>
      <c r="B124" s="104" t="s">
        <v>112</v>
      </c>
      <c r="D124" s="264" t="s">
        <v>117</v>
      </c>
    </row>
    <row r="125" spans="1:10" ht="19.5" customHeight="1" x14ac:dyDescent="0.35">
      <c r="A125" s="98"/>
      <c r="B125" s="98"/>
      <c r="C125" s="98"/>
      <c r="D125" s="98"/>
      <c r="E125" s="98"/>
    </row>
    <row r="126" spans="1:10" ht="26.25" customHeight="1" x14ac:dyDescent="0.45">
      <c r="A126" s="117" t="s">
        <v>99</v>
      </c>
      <c r="B126" s="251">
        <v>900</v>
      </c>
      <c r="C126" s="158" t="s">
        <v>113</v>
      </c>
      <c r="D126" s="159" t="s">
        <v>60</v>
      </c>
      <c r="E126" s="160" t="s">
        <v>100</v>
      </c>
      <c r="F126" s="161" t="s">
        <v>101</v>
      </c>
    </row>
    <row r="127" spans="1:10" ht="26.25" customHeight="1" x14ac:dyDescent="0.45">
      <c r="A127" s="118" t="s">
        <v>102</v>
      </c>
      <c r="B127" s="252">
        <v>2</v>
      </c>
      <c r="C127" s="124">
        <v>1</v>
      </c>
      <c r="D127" s="276">
        <v>0.51300000000000001</v>
      </c>
      <c r="E127" s="222">
        <f t="shared" ref="E127:E132" si="3">IF(ISBLANK(D127),"-",D127/$D$105*$D$102*$B$135)</f>
        <v>525.6377547843623</v>
      </c>
      <c r="F127" s="219">
        <f t="shared" ref="F127:F132" si="4">IF(ISBLANK(D127), "-", E127/$B$56)</f>
        <v>1.0512755095687245</v>
      </c>
    </row>
    <row r="128" spans="1:10" ht="26.25" customHeight="1" x14ac:dyDescent="0.45">
      <c r="A128" s="118" t="s">
        <v>86</v>
      </c>
      <c r="B128" s="252">
        <v>100</v>
      </c>
      <c r="C128" s="124">
        <v>2</v>
      </c>
      <c r="D128" s="276">
        <v>0.51400000000000001</v>
      </c>
      <c r="E128" s="223">
        <f t="shared" si="3"/>
        <v>526.66238978394199</v>
      </c>
      <c r="F128" s="220">
        <f t="shared" si="4"/>
        <v>1.053324779567884</v>
      </c>
    </row>
    <row r="129" spans="1:10" ht="26.25" customHeight="1" x14ac:dyDescent="0.45">
      <c r="A129" s="118" t="s">
        <v>87</v>
      </c>
      <c r="B129" s="252">
        <v>1</v>
      </c>
      <c r="C129" s="124">
        <v>3</v>
      </c>
      <c r="D129" s="276">
        <v>0.51300000000000001</v>
      </c>
      <c r="E129" s="223">
        <f t="shared" si="3"/>
        <v>525.6377547843623</v>
      </c>
      <c r="F129" s="220">
        <f t="shared" si="4"/>
        <v>1.0512755095687245</v>
      </c>
    </row>
    <row r="130" spans="1:10" ht="26.25" customHeight="1" x14ac:dyDescent="0.45">
      <c r="A130" s="118" t="s">
        <v>88</v>
      </c>
      <c r="B130" s="252">
        <v>1</v>
      </c>
      <c r="C130" s="124">
        <v>4</v>
      </c>
      <c r="D130" s="276">
        <v>0.51400000000000001</v>
      </c>
      <c r="E130" s="223">
        <f t="shared" si="3"/>
        <v>526.66238978394199</v>
      </c>
      <c r="F130" s="220">
        <f t="shared" si="4"/>
        <v>1.053324779567884</v>
      </c>
    </row>
    <row r="131" spans="1:10" ht="26.25" customHeight="1" x14ac:dyDescent="0.45">
      <c r="A131" s="118" t="s">
        <v>89</v>
      </c>
      <c r="B131" s="252">
        <v>1</v>
      </c>
      <c r="C131" s="124">
        <v>5</v>
      </c>
      <c r="D131" s="276">
        <v>0.51600000000000001</v>
      </c>
      <c r="E131" s="223">
        <f t="shared" si="3"/>
        <v>528.71165978310125</v>
      </c>
      <c r="F131" s="220">
        <f t="shared" si="4"/>
        <v>1.0574233195662026</v>
      </c>
    </row>
    <row r="132" spans="1:10" ht="26.25" customHeight="1" x14ac:dyDescent="0.45">
      <c r="A132" s="118" t="s">
        <v>91</v>
      </c>
      <c r="B132" s="252">
        <v>1</v>
      </c>
      <c r="C132" s="127">
        <v>6</v>
      </c>
      <c r="D132" s="277">
        <v>0.51500000000000001</v>
      </c>
      <c r="E132" s="224">
        <f t="shared" si="3"/>
        <v>527.68702478352168</v>
      </c>
      <c r="F132" s="221">
        <f t="shared" si="4"/>
        <v>1.0553740495670434</v>
      </c>
    </row>
    <row r="133" spans="1:10" ht="26.25" customHeight="1" x14ac:dyDescent="0.45">
      <c r="A133" s="118" t="s">
        <v>92</v>
      </c>
      <c r="B133" s="252">
        <v>1</v>
      </c>
      <c r="C133" s="124"/>
      <c r="D133" s="150"/>
      <c r="E133" s="152"/>
      <c r="F133" s="166"/>
    </row>
    <row r="134" spans="1:10" ht="26.25" customHeight="1" x14ac:dyDescent="0.45">
      <c r="A134" s="118" t="s">
        <v>93</v>
      </c>
      <c r="B134" s="252">
        <v>1</v>
      </c>
      <c r="C134" s="124"/>
      <c r="D134" s="167"/>
      <c r="E134" s="168" t="s">
        <v>67</v>
      </c>
      <c r="F134" s="268">
        <f>AVERAGE(F127:F132)</f>
        <v>1.0536663245677438</v>
      </c>
    </row>
    <row r="135" spans="1:10" ht="27" customHeight="1" x14ac:dyDescent="0.45">
      <c r="A135" s="118" t="s">
        <v>94</v>
      </c>
      <c r="B135" s="252">
        <f>(B134/B133)*(B132/B131)*(B130/B129)*(B128/B127)*B126</f>
        <v>45000</v>
      </c>
      <c r="C135" s="170"/>
      <c r="D135" s="171"/>
      <c r="E135" s="172" t="s">
        <v>77</v>
      </c>
      <c r="F135" s="269">
        <f>STDEV(F127:F132)/F134</f>
        <v>2.2736697460941104E-3</v>
      </c>
      <c r="I135" s="152"/>
    </row>
    <row r="136" spans="1:10" ht="27" customHeight="1" x14ac:dyDescent="0.45">
      <c r="A136" s="304" t="s">
        <v>72</v>
      </c>
      <c r="B136" s="305"/>
      <c r="C136" s="174"/>
      <c r="D136" s="175"/>
      <c r="E136" s="176" t="s">
        <v>19</v>
      </c>
      <c r="F136" s="270">
        <f>COUNT(F127:F132)</f>
        <v>6</v>
      </c>
      <c r="I136" s="152"/>
      <c r="J136" s="156"/>
    </row>
    <row r="137" spans="1:10" ht="19.5" customHeight="1" x14ac:dyDescent="0.35">
      <c r="A137" s="306"/>
      <c r="B137" s="307"/>
      <c r="C137" s="152"/>
      <c r="D137" s="152"/>
      <c r="E137" s="152"/>
      <c r="F137" s="150"/>
      <c r="G137" s="152"/>
      <c r="H137" s="152"/>
      <c r="I137" s="152"/>
    </row>
    <row r="138" spans="1:10" ht="18" x14ac:dyDescent="0.35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5">
      <c r="A139" s="105" t="s">
        <v>109</v>
      </c>
      <c r="B139" s="242" t="s">
        <v>103</v>
      </c>
      <c r="C139" s="298" t="str">
        <f>B20</f>
        <v>Cefuroxime( as Axetil)</v>
      </c>
      <c r="D139" s="298"/>
      <c r="E139" s="244" t="s">
        <v>104</v>
      </c>
      <c r="F139" s="244"/>
      <c r="G139" s="271">
        <f>F134</f>
        <v>1.0536663245677438</v>
      </c>
      <c r="H139" s="152"/>
      <c r="I139" s="152"/>
    </row>
    <row r="140" spans="1:10" ht="18" x14ac:dyDescent="0.35">
      <c r="A140" s="105"/>
      <c r="B140" s="242"/>
      <c r="C140" s="243"/>
      <c r="D140" s="243"/>
      <c r="E140" s="244"/>
      <c r="F140" s="244"/>
      <c r="G140" s="245"/>
      <c r="H140" s="152"/>
      <c r="I140" s="152"/>
    </row>
    <row r="141" spans="1:10" ht="26.25" hidden="1" customHeight="1" x14ac:dyDescent="0.45">
      <c r="A141" s="104" t="s">
        <v>111</v>
      </c>
      <c r="B141" s="104" t="s">
        <v>112</v>
      </c>
      <c r="D141" s="264"/>
      <c r="H141" s="152"/>
      <c r="I141" s="152"/>
    </row>
    <row r="142" spans="1:10" ht="19.5" hidden="1" customHeight="1" thickBot="1" x14ac:dyDescent="0.4">
      <c r="A142" s="98"/>
      <c r="B142" s="98"/>
      <c r="C142" s="98"/>
      <c r="D142" s="98"/>
      <c r="E142" s="98"/>
      <c r="H142" s="152"/>
      <c r="I142" s="152"/>
    </row>
    <row r="143" spans="1:10" ht="26.25" hidden="1" customHeight="1" x14ac:dyDescent="0.45">
      <c r="A143" s="117" t="s">
        <v>99</v>
      </c>
      <c r="B143" s="251">
        <v>900</v>
      </c>
      <c r="C143" s="158" t="s">
        <v>113</v>
      </c>
      <c r="D143" s="159" t="s">
        <v>60</v>
      </c>
      <c r="E143" s="160" t="s">
        <v>100</v>
      </c>
      <c r="F143" s="161" t="s">
        <v>101</v>
      </c>
      <c r="H143" s="152"/>
      <c r="I143" s="152"/>
    </row>
    <row r="144" spans="1:10" ht="26.25" hidden="1" customHeight="1" x14ac:dyDescent="0.45">
      <c r="A144" s="118" t="s">
        <v>102</v>
      </c>
      <c r="B144" s="252">
        <v>1</v>
      </c>
      <c r="C144" s="124">
        <v>1</v>
      </c>
      <c r="D144" s="266"/>
      <c r="E144" s="222" t="str">
        <f t="shared" ref="E144:E149" si="5">IF(ISBLANK(D144),"-",D144/$D$105*$D$102*$B$152)</f>
        <v>-</v>
      </c>
      <c r="F144" s="219" t="str">
        <f t="shared" ref="F144:F149" si="6">IF(ISBLANK(D144), "-", E144/$B$56)</f>
        <v>-</v>
      </c>
      <c r="H144" s="152"/>
      <c r="I144" s="152"/>
    </row>
    <row r="145" spans="1:9" ht="26.25" hidden="1" customHeight="1" x14ac:dyDescent="0.45">
      <c r="A145" s="118" t="s">
        <v>86</v>
      </c>
      <c r="B145" s="252">
        <v>1</v>
      </c>
      <c r="C145" s="124">
        <v>2</v>
      </c>
      <c r="D145" s="266"/>
      <c r="E145" s="223" t="str">
        <f t="shared" si="5"/>
        <v>-</v>
      </c>
      <c r="F145" s="220" t="str">
        <f t="shared" si="6"/>
        <v>-</v>
      </c>
      <c r="H145" s="152"/>
      <c r="I145" s="152"/>
    </row>
    <row r="146" spans="1:9" ht="26.25" hidden="1" customHeight="1" x14ac:dyDescent="0.45">
      <c r="A146" s="118" t="s">
        <v>87</v>
      </c>
      <c r="B146" s="252">
        <v>1</v>
      </c>
      <c r="C146" s="124">
        <v>3</v>
      </c>
      <c r="D146" s="266"/>
      <c r="E146" s="223" t="str">
        <f t="shared" si="5"/>
        <v>-</v>
      </c>
      <c r="F146" s="220" t="str">
        <f t="shared" si="6"/>
        <v>-</v>
      </c>
      <c r="H146" s="152"/>
      <c r="I146" s="152"/>
    </row>
    <row r="147" spans="1:9" ht="26.25" hidden="1" customHeight="1" x14ac:dyDescent="0.45">
      <c r="A147" s="118" t="s">
        <v>88</v>
      </c>
      <c r="B147" s="252">
        <v>1</v>
      </c>
      <c r="C147" s="124">
        <v>4</v>
      </c>
      <c r="D147" s="266"/>
      <c r="E147" s="223" t="str">
        <f t="shared" si="5"/>
        <v>-</v>
      </c>
      <c r="F147" s="220" t="str">
        <f t="shared" si="6"/>
        <v>-</v>
      </c>
      <c r="H147" s="152"/>
      <c r="I147" s="152"/>
    </row>
    <row r="148" spans="1:9" ht="26.25" hidden="1" customHeight="1" x14ac:dyDescent="0.45">
      <c r="A148" s="118" t="s">
        <v>89</v>
      </c>
      <c r="B148" s="252">
        <v>1</v>
      </c>
      <c r="C148" s="124">
        <v>5</v>
      </c>
      <c r="D148" s="266"/>
      <c r="E148" s="223" t="str">
        <f t="shared" si="5"/>
        <v>-</v>
      </c>
      <c r="F148" s="220" t="str">
        <f t="shared" si="6"/>
        <v>-</v>
      </c>
      <c r="H148" s="152"/>
      <c r="I148" s="152"/>
    </row>
    <row r="149" spans="1:9" ht="26.25" hidden="1" customHeight="1" x14ac:dyDescent="0.45">
      <c r="A149" s="118" t="s">
        <v>91</v>
      </c>
      <c r="B149" s="252">
        <v>1</v>
      </c>
      <c r="C149" s="127">
        <v>6</v>
      </c>
      <c r="D149" s="267"/>
      <c r="E149" s="224" t="str">
        <f t="shared" si="5"/>
        <v>-</v>
      </c>
      <c r="F149" s="221" t="str">
        <f t="shared" si="6"/>
        <v>-</v>
      </c>
      <c r="H149" s="152"/>
      <c r="I149" s="152"/>
    </row>
    <row r="150" spans="1:9" ht="26.25" hidden="1" customHeight="1" x14ac:dyDescent="0.45">
      <c r="A150" s="118" t="s">
        <v>92</v>
      </c>
      <c r="B150" s="252">
        <v>1</v>
      </c>
      <c r="C150" s="124"/>
      <c r="D150" s="150"/>
      <c r="E150" s="152"/>
      <c r="F150" s="166"/>
      <c r="H150" s="152"/>
      <c r="I150" s="152"/>
    </row>
    <row r="151" spans="1:9" ht="26.25" hidden="1" customHeight="1" x14ac:dyDescent="0.45">
      <c r="A151" s="118" t="s">
        <v>93</v>
      </c>
      <c r="B151" s="252">
        <v>1</v>
      </c>
      <c r="C151" s="124"/>
      <c r="D151" s="167"/>
      <c r="E151" s="168" t="s">
        <v>67</v>
      </c>
      <c r="F151" s="268" t="e">
        <f>AVERAGE(F144:F149)</f>
        <v>#DIV/0!</v>
      </c>
      <c r="H151" s="152"/>
      <c r="I151" s="152"/>
    </row>
    <row r="152" spans="1:9" ht="27" hidden="1" customHeight="1" thickBot="1" x14ac:dyDescent="0.5">
      <c r="A152" s="118" t="s">
        <v>94</v>
      </c>
      <c r="B152" s="252">
        <f>(B151/B150)*(B149/B148)*(B147/B146)*(B145/B144)*B143</f>
        <v>900</v>
      </c>
      <c r="C152" s="170"/>
      <c r="D152" s="171"/>
      <c r="E152" s="172" t="s">
        <v>77</v>
      </c>
      <c r="F152" s="269" t="e">
        <f>STDEV(F144:F149)/F151</f>
        <v>#DIV/0!</v>
      </c>
      <c r="H152" s="152"/>
      <c r="I152" s="152"/>
    </row>
    <row r="153" spans="1:9" ht="27" hidden="1" customHeight="1" thickBot="1" x14ac:dyDescent="0.5">
      <c r="A153" s="304" t="s">
        <v>72</v>
      </c>
      <c r="B153" s="305"/>
      <c r="C153" s="174"/>
      <c r="D153" s="175"/>
      <c r="E153" s="176" t="s">
        <v>19</v>
      </c>
      <c r="F153" s="270">
        <f>COUNT(F144:F149)</f>
        <v>0</v>
      </c>
      <c r="H153" s="152"/>
      <c r="I153" s="152"/>
    </row>
    <row r="154" spans="1:9" ht="19.5" hidden="1" customHeight="1" thickBot="1" x14ac:dyDescent="0.4">
      <c r="A154" s="306"/>
      <c r="B154" s="307"/>
      <c r="C154" s="152"/>
      <c r="D154" s="152"/>
      <c r="E154" s="152"/>
      <c r="F154" s="150"/>
      <c r="G154" s="152"/>
      <c r="H154" s="152"/>
      <c r="I154" s="152"/>
    </row>
    <row r="155" spans="1:9" ht="18" hidden="1" x14ac:dyDescent="0.35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hidden="1" customHeight="1" x14ac:dyDescent="0.45">
      <c r="A156" s="105" t="s">
        <v>109</v>
      </c>
      <c r="B156" s="242" t="s">
        <v>103</v>
      </c>
      <c r="C156" s="298" t="str">
        <f>B20</f>
        <v>Cefuroxime( as Axetil)</v>
      </c>
      <c r="D156" s="298"/>
      <c r="E156" s="244" t="s">
        <v>104</v>
      </c>
      <c r="F156" s="244"/>
      <c r="G156" s="271" t="e">
        <f>F151</f>
        <v>#DIV/0!</v>
      </c>
      <c r="H156" s="152"/>
      <c r="I156" s="152"/>
    </row>
    <row r="157" spans="1:9" ht="18" hidden="1" x14ac:dyDescent="0.35">
      <c r="A157" s="105"/>
      <c r="B157" s="242"/>
      <c r="C157" s="246"/>
      <c r="D157" s="246"/>
      <c r="E157" s="244"/>
      <c r="F157" s="244"/>
      <c r="G157" s="245"/>
      <c r="H157" s="152"/>
      <c r="I157" s="152"/>
    </row>
    <row r="158" spans="1:9" ht="26.25" hidden="1" customHeight="1" x14ac:dyDescent="0.45">
      <c r="A158" s="104" t="s">
        <v>111</v>
      </c>
      <c r="B158" s="104" t="s">
        <v>112</v>
      </c>
      <c r="D158" s="264"/>
      <c r="H158" s="152"/>
      <c r="I158" s="152"/>
    </row>
    <row r="159" spans="1:9" ht="19.5" hidden="1" customHeight="1" thickBot="1" x14ac:dyDescent="0.4">
      <c r="A159" s="98"/>
      <c r="B159" s="98"/>
      <c r="C159" s="98"/>
      <c r="D159" s="98"/>
      <c r="E159" s="98"/>
      <c r="H159" s="152"/>
      <c r="I159" s="152"/>
    </row>
    <row r="160" spans="1:9" ht="26.25" hidden="1" customHeight="1" x14ac:dyDescent="0.45">
      <c r="A160" s="117" t="s">
        <v>99</v>
      </c>
      <c r="B160" s="251">
        <v>900</v>
      </c>
      <c r="C160" s="158" t="s">
        <v>113</v>
      </c>
      <c r="D160" s="159" t="s">
        <v>60</v>
      </c>
      <c r="E160" s="160" t="s">
        <v>100</v>
      </c>
      <c r="F160" s="161" t="s">
        <v>101</v>
      </c>
      <c r="H160" s="152"/>
      <c r="I160" s="152"/>
    </row>
    <row r="161" spans="1:9" ht="26.25" hidden="1" customHeight="1" x14ac:dyDescent="0.45">
      <c r="A161" s="118" t="s">
        <v>102</v>
      </c>
      <c r="B161" s="252">
        <v>1</v>
      </c>
      <c r="C161" s="124">
        <v>1</v>
      </c>
      <c r="D161" s="266"/>
      <c r="E161" s="222" t="str">
        <f t="shared" ref="E161:E166" si="7">IF(ISBLANK(D161),"-",D161/$D$105*$D$102*$B$169)</f>
        <v>-</v>
      </c>
      <c r="F161" s="219" t="str">
        <f t="shared" ref="F161:F166" si="8">IF(ISBLANK(D161), "-", E161/$B$56)</f>
        <v>-</v>
      </c>
      <c r="H161" s="152"/>
      <c r="I161" s="152"/>
    </row>
    <row r="162" spans="1:9" ht="26.25" hidden="1" customHeight="1" x14ac:dyDescent="0.45">
      <c r="A162" s="118" t="s">
        <v>86</v>
      </c>
      <c r="B162" s="252">
        <v>1</v>
      </c>
      <c r="C162" s="124">
        <v>2</v>
      </c>
      <c r="D162" s="266"/>
      <c r="E162" s="223" t="str">
        <f t="shared" si="7"/>
        <v>-</v>
      </c>
      <c r="F162" s="220" t="str">
        <f t="shared" si="8"/>
        <v>-</v>
      </c>
      <c r="H162" s="152"/>
      <c r="I162" s="152"/>
    </row>
    <row r="163" spans="1:9" ht="26.25" hidden="1" customHeight="1" x14ac:dyDescent="0.45">
      <c r="A163" s="118" t="s">
        <v>87</v>
      </c>
      <c r="B163" s="252">
        <v>1</v>
      </c>
      <c r="C163" s="124">
        <v>3</v>
      </c>
      <c r="D163" s="266"/>
      <c r="E163" s="223" t="str">
        <f t="shared" si="7"/>
        <v>-</v>
      </c>
      <c r="F163" s="220" t="str">
        <f t="shared" si="8"/>
        <v>-</v>
      </c>
      <c r="H163" s="152"/>
      <c r="I163" s="152"/>
    </row>
    <row r="164" spans="1:9" ht="26.25" hidden="1" customHeight="1" x14ac:dyDescent="0.45">
      <c r="A164" s="118" t="s">
        <v>88</v>
      </c>
      <c r="B164" s="252">
        <v>1</v>
      </c>
      <c r="C164" s="124">
        <v>4</v>
      </c>
      <c r="D164" s="266"/>
      <c r="E164" s="223" t="str">
        <f t="shared" si="7"/>
        <v>-</v>
      </c>
      <c r="F164" s="220" t="str">
        <f t="shared" si="8"/>
        <v>-</v>
      </c>
      <c r="H164" s="152"/>
      <c r="I164" s="152"/>
    </row>
    <row r="165" spans="1:9" ht="26.25" hidden="1" customHeight="1" x14ac:dyDescent="0.45">
      <c r="A165" s="118" t="s">
        <v>89</v>
      </c>
      <c r="B165" s="252">
        <v>1</v>
      </c>
      <c r="C165" s="124">
        <v>5</v>
      </c>
      <c r="D165" s="266"/>
      <c r="E165" s="223" t="str">
        <f t="shared" si="7"/>
        <v>-</v>
      </c>
      <c r="F165" s="220" t="str">
        <f t="shared" si="8"/>
        <v>-</v>
      </c>
      <c r="H165" s="152"/>
      <c r="I165" s="152"/>
    </row>
    <row r="166" spans="1:9" ht="26.25" hidden="1" customHeight="1" x14ac:dyDescent="0.45">
      <c r="A166" s="118" t="s">
        <v>91</v>
      </c>
      <c r="B166" s="252">
        <v>1</v>
      </c>
      <c r="C166" s="127">
        <v>6</v>
      </c>
      <c r="D166" s="267"/>
      <c r="E166" s="224" t="str">
        <f t="shared" si="7"/>
        <v>-</v>
      </c>
      <c r="F166" s="221" t="str">
        <f t="shared" si="8"/>
        <v>-</v>
      </c>
      <c r="H166" s="152"/>
      <c r="I166" s="152"/>
    </row>
    <row r="167" spans="1:9" ht="26.25" hidden="1" customHeight="1" x14ac:dyDescent="0.45">
      <c r="A167" s="118" t="s">
        <v>92</v>
      </c>
      <c r="B167" s="252">
        <v>1</v>
      </c>
      <c r="C167" s="124"/>
      <c r="D167" s="150"/>
      <c r="E167" s="152"/>
      <c r="F167" s="166"/>
      <c r="H167" s="152"/>
      <c r="I167" s="152"/>
    </row>
    <row r="168" spans="1:9" ht="26.25" hidden="1" customHeight="1" x14ac:dyDescent="0.45">
      <c r="A168" s="118" t="s">
        <v>93</v>
      </c>
      <c r="B168" s="252">
        <v>1</v>
      </c>
      <c r="C168" s="124"/>
      <c r="D168" s="167"/>
      <c r="E168" s="168" t="s">
        <v>67</v>
      </c>
      <c r="F168" s="268" t="e">
        <f>AVERAGE(F161:F166)</f>
        <v>#DIV/0!</v>
      </c>
      <c r="H168" s="152"/>
      <c r="I168" s="152"/>
    </row>
    <row r="169" spans="1:9" ht="27" hidden="1" customHeight="1" thickBot="1" x14ac:dyDescent="0.5">
      <c r="A169" s="118" t="s">
        <v>94</v>
      </c>
      <c r="B169" s="252">
        <f>(B168/B167)*(B166/B165)*(B164/B163)*(B162/B161)*B160</f>
        <v>900</v>
      </c>
      <c r="C169" s="170"/>
      <c r="D169" s="171"/>
      <c r="E169" s="172" t="s">
        <v>77</v>
      </c>
      <c r="F169" s="269" t="e">
        <f>STDEV(F161:F166)/F168</f>
        <v>#DIV/0!</v>
      </c>
      <c r="H169" s="152"/>
      <c r="I169" s="152"/>
    </row>
    <row r="170" spans="1:9" ht="27" hidden="1" customHeight="1" thickBot="1" x14ac:dyDescent="0.5">
      <c r="A170" s="304" t="s">
        <v>72</v>
      </c>
      <c r="B170" s="305"/>
      <c r="C170" s="174"/>
      <c r="D170" s="175"/>
      <c r="E170" s="176" t="s">
        <v>19</v>
      </c>
      <c r="F170" s="270">
        <f>COUNT(F161:F166)</f>
        <v>0</v>
      </c>
      <c r="H170" s="152"/>
      <c r="I170" s="152"/>
    </row>
    <row r="171" spans="1:9" ht="19.5" hidden="1" customHeight="1" thickBot="1" x14ac:dyDescent="0.4">
      <c r="A171" s="306"/>
      <c r="B171" s="307"/>
      <c r="C171" s="152"/>
      <c r="D171" s="152"/>
      <c r="E171" s="152"/>
      <c r="F171" s="150"/>
      <c r="G171" s="152"/>
      <c r="H171" s="152"/>
      <c r="I171" s="152"/>
    </row>
    <row r="172" spans="1:9" ht="18" hidden="1" x14ac:dyDescent="0.35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hidden="1" customHeight="1" x14ac:dyDescent="0.45">
      <c r="A173" s="105" t="s">
        <v>109</v>
      </c>
      <c r="B173" s="242" t="s">
        <v>103</v>
      </c>
      <c r="C173" s="298" t="str">
        <f>B20</f>
        <v>Cefuroxime( as Axetil)</v>
      </c>
      <c r="D173" s="298"/>
      <c r="E173" s="244" t="s">
        <v>104</v>
      </c>
      <c r="F173" s="244"/>
      <c r="G173" s="271" t="e">
        <f>F168</f>
        <v>#DIV/0!</v>
      </c>
      <c r="H173" s="152"/>
      <c r="I173" s="152"/>
    </row>
    <row r="174" spans="1:9" ht="18" x14ac:dyDescent="0.35">
      <c r="A174" s="105"/>
      <c r="B174" s="242"/>
      <c r="C174" s="246"/>
      <c r="D174" s="246"/>
      <c r="E174" s="244"/>
      <c r="F174" s="244"/>
      <c r="G174" s="245"/>
      <c r="H174" s="152"/>
      <c r="I174" s="152"/>
    </row>
    <row r="175" spans="1:9" ht="19.5" customHeight="1" x14ac:dyDescent="0.35">
      <c r="A175" s="190"/>
      <c r="B175" s="190"/>
      <c r="C175" s="191"/>
      <c r="D175" s="191"/>
      <c r="E175" s="191"/>
      <c r="F175" s="191"/>
      <c r="G175" s="191"/>
      <c r="H175" s="191"/>
    </row>
    <row r="176" spans="1:9" ht="18" x14ac:dyDescent="0.35">
      <c r="B176" s="321" t="s">
        <v>24</v>
      </c>
      <c r="C176" s="321"/>
      <c r="E176" s="178" t="s">
        <v>25</v>
      </c>
      <c r="F176" s="204"/>
      <c r="G176" s="321" t="s">
        <v>26</v>
      </c>
      <c r="H176" s="321"/>
    </row>
    <row r="177" spans="1:9" ht="83.1" customHeight="1" x14ac:dyDescent="0.35">
      <c r="A177" s="205" t="s">
        <v>27</v>
      </c>
      <c r="B177" s="240" t="s">
        <v>118</v>
      </c>
      <c r="C177" s="240"/>
      <c r="E177" s="200"/>
      <c r="F177" s="152"/>
      <c r="G177" s="202"/>
      <c r="H177" s="202"/>
    </row>
    <row r="178" spans="1:9" ht="83.1" customHeight="1" x14ac:dyDescent="0.35">
      <c r="A178" s="205" t="s">
        <v>28</v>
      </c>
      <c r="B178" s="241"/>
      <c r="C178" s="241"/>
      <c r="E178" s="201"/>
      <c r="F178" s="152"/>
      <c r="G178" s="203"/>
      <c r="H178" s="203"/>
    </row>
    <row r="179" spans="1:9" ht="18" x14ac:dyDescent="0.35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" x14ac:dyDescent="0.35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" x14ac:dyDescent="0.35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" x14ac:dyDescent="0.35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" x14ac:dyDescent="0.35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" x14ac:dyDescent="0.35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" x14ac:dyDescent="0.35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" x14ac:dyDescent="0.35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" x14ac:dyDescent="0.35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3">
      <c r="A250" s="2">
        <v>0</v>
      </c>
    </row>
  </sheetData>
  <sheetProtection password="F258" sheet="1" objects="1" scenarios="1" formatCells="0" formatColumns="0"/>
  <mergeCells count="34"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C122:D122"/>
    <mergeCell ref="C156:D156"/>
    <mergeCell ref="C139:D139"/>
    <mergeCell ref="C173:D173"/>
    <mergeCell ref="B176:C176"/>
    <mergeCell ref="C86:H86"/>
    <mergeCell ref="C87:H87"/>
    <mergeCell ref="B18:C18"/>
    <mergeCell ref="D36:E36"/>
    <mergeCell ref="B21:H21"/>
    <mergeCell ref="A46:B47"/>
    <mergeCell ref="C83:G83"/>
    <mergeCell ref="A136:B137"/>
    <mergeCell ref="A170:B171"/>
    <mergeCell ref="A153:B154"/>
    <mergeCell ref="F91:G91"/>
    <mergeCell ref="A101:B102"/>
    <mergeCell ref="A119:B120"/>
    <mergeCell ref="A70:B71"/>
    <mergeCell ref="C76:D76"/>
    <mergeCell ref="A1:H7"/>
    <mergeCell ref="A8:H14"/>
    <mergeCell ref="A16:H16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Cefuroxime </vt:lpstr>
      <vt:lpstr>'Cefuroxime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2018-08-24T08:12:32Z</cp:lastPrinted>
  <dcterms:created xsi:type="dcterms:W3CDTF">2005-07-05T10:19:27Z</dcterms:created>
  <dcterms:modified xsi:type="dcterms:W3CDTF">2018-08-24T08:15:35Z</dcterms:modified>
</cp:coreProperties>
</file>