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2"/>
  </bookViews>
  <sheets>
    <sheet name="SST" sheetId="1" r:id="rId1"/>
    <sheet name="Uniformity" sheetId="2" r:id="rId2"/>
    <sheet name="Cefuroxime " sheetId="4" r:id="rId3"/>
  </sheets>
  <definedNames>
    <definedName name="_xlnm.Print_Area" localSheetId="2">'Cefuroxime '!$A$1:$H$178</definedName>
    <definedName name="_xlnm.Print_Area" localSheetId="0">SST!$A$15:$H$61</definedName>
    <definedName name="_xlnm.Print_Area" localSheetId="1">Uniformity!$A$12:$I$54</definedName>
  </definedNames>
  <calcPr calcId="145621"/>
</workbook>
</file>

<file path=xl/calcChain.xml><?xml version="1.0" encoding="utf-8"?>
<calcChain xmlns="http://schemas.openxmlformats.org/spreadsheetml/2006/main">
  <c r="F51" i="1" l="1"/>
  <c r="F30" i="1"/>
  <c r="B42" i="1" l="1"/>
  <c r="B21" i="1"/>
  <c r="F40" i="4"/>
  <c r="F42" i="4" s="1"/>
  <c r="F39" i="4"/>
  <c r="F38" i="4"/>
  <c r="D40" i="4"/>
  <c r="D39" i="4"/>
  <c r="D38" i="4"/>
  <c r="F70" i="4"/>
  <c r="F69" i="4"/>
  <c r="F68" i="4"/>
  <c r="F66" i="4"/>
  <c r="F65" i="4"/>
  <c r="F64" i="4"/>
  <c r="F62" i="4"/>
  <c r="F61" i="4"/>
  <c r="F60" i="4"/>
  <c r="B57" i="4"/>
  <c r="C173" i="4"/>
  <c r="B169" i="4"/>
  <c r="F166" i="4"/>
  <c r="E166" i="4"/>
  <c r="F165" i="4"/>
  <c r="E165" i="4"/>
  <c r="F164" i="4"/>
  <c r="E164" i="4"/>
  <c r="F163" i="4"/>
  <c r="E163" i="4"/>
  <c r="F162" i="4"/>
  <c r="E162" i="4"/>
  <c r="F161" i="4"/>
  <c r="E161" i="4"/>
  <c r="C156" i="4"/>
  <c r="F149" i="4"/>
  <c r="E149" i="4"/>
  <c r="F148" i="4"/>
  <c r="E148" i="4"/>
  <c r="F147" i="4"/>
  <c r="E147" i="4"/>
  <c r="F146" i="4"/>
  <c r="E146" i="4"/>
  <c r="F145" i="4"/>
  <c r="F153" i="4" s="1"/>
  <c r="E145" i="4"/>
  <c r="F144" i="4"/>
  <c r="E144" i="4"/>
  <c r="C139" i="4"/>
  <c r="B135" i="4"/>
  <c r="C122" i="4"/>
  <c r="B118" i="4"/>
  <c r="D103" i="4"/>
  <c r="G94" i="4" s="1"/>
  <c r="D102" i="4"/>
  <c r="B100" i="4"/>
  <c r="F99" i="4"/>
  <c r="D99" i="4"/>
  <c r="D100" i="4" s="1"/>
  <c r="F97" i="4"/>
  <c r="D97" i="4"/>
  <c r="G96" i="4"/>
  <c r="E96" i="4"/>
  <c r="B89" i="4"/>
  <c r="B83" i="4"/>
  <c r="B82" i="4"/>
  <c r="B84" i="4" s="1"/>
  <c r="F100" i="4" s="1"/>
  <c r="F101" i="4" s="1"/>
  <c r="B81" i="4"/>
  <c r="B80" i="4"/>
  <c r="C76" i="4"/>
  <c r="H71" i="4"/>
  <c r="G71" i="4"/>
  <c r="B68" i="4"/>
  <c r="B69" i="4" s="1"/>
  <c r="H67" i="4"/>
  <c r="G67" i="4"/>
  <c r="H63" i="4"/>
  <c r="G63" i="4"/>
  <c r="C56" i="4"/>
  <c r="B55" i="4"/>
  <c r="B45" i="4"/>
  <c r="D48" i="4" s="1"/>
  <c r="F44" i="4"/>
  <c r="F45" i="4" s="1"/>
  <c r="F46" i="4" s="1"/>
  <c r="D42" i="4"/>
  <c r="G41" i="4"/>
  <c r="E41" i="4"/>
  <c r="B34" i="4"/>
  <c r="D44" i="4" s="1"/>
  <c r="B30" i="4"/>
  <c r="D45" i="4" l="1"/>
  <c r="D46" i="4" s="1"/>
  <c r="F168" i="4"/>
  <c r="G173" i="4" s="1"/>
  <c r="G40" i="4"/>
  <c r="E38" i="4"/>
  <c r="E40" i="4"/>
  <c r="G39" i="4"/>
  <c r="D49" i="4"/>
  <c r="E39" i="4"/>
  <c r="E95" i="4"/>
  <c r="E93" i="4"/>
  <c r="D101" i="4"/>
  <c r="G93" i="4"/>
  <c r="G95" i="4"/>
  <c r="D104" i="4"/>
  <c r="F151" i="4"/>
  <c r="E94" i="4"/>
  <c r="F170" i="4"/>
  <c r="G38" i="4"/>
  <c r="F169" i="4" l="1"/>
  <c r="D50" i="4"/>
  <c r="E42" i="4"/>
  <c r="D52" i="4"/>
  <c r="G42" i="4"/>
  <c r="G97" i="4"/>
  <c r="F152" i="4"/>
  <c r="G156" i="4"/>
  <c r="D107" i="4"/>
  <c r="D105" i="4"/>
  <c r="E97" i="4"/>
  <c r="G69" i="4" l="1"/>
  <c r="H69" i="4" s="1"/>
  <c r="G70" i="4"/>
  <c r="H70" i="4" s="1"/>
  <c r="G68" i="4"/>
  <c r="H68" i="4" s="1"/>
  <c r="E131" i="4"/>
  <c r="F131" i="4" s="1"/>
  <c r="E129" i="4"/>
  <c r="F129" i="4" s="1"/>
  <c r="E127" i="4"/>
  <c r="F127" i="4" s="1"/>
  <c r="E115" i="4"/>
  <c r="F115" i="4" s="1"/>
  <c r="E113" i="4"/>
  <c r="F113" i="4" s="1"/>
  <c r="E111" i="4"/>
  <c r="F111" i="4" s="1"/>
  <c r="D106" i="4"/>
  <c r="E132" i="4"/>
  <c r="F132" i="4" s="1"/>
  <c r="E130" i="4"/>
  <c r="F130" i="4" s="1"/>
  <c r="E128" i="4"/>
  <c r="F128" i="4" s="1"/>
  <c r="E114" i="4"/>
  <c r="F114" i="4" s="1"/>
  <c r="E112" i="4"/>
  <c r="F112" i="4" s="1"/>
  <c r="E110" i="4"/>
  <c r="F110" i="4" s="1"/>
  <c r="G66" i="4"/>
  <c r="H66" i="4" s="1"/>
  <c r="G62" i="4"/>
  <c r="H62" i="4" s="1"/>
  <c r="D51" i="4"/>
  <c r="G65" i="4"/>
  <c r="H65" i="4" s="1"/>
  <c r="G64" i="4"/>
  <c r="H64" i="4" s="1"/>
  <c r="G61" i="4"/>
  <c r="H61" i="4" s="1"/>
  <c r="G60" i="4"/>
  <c r="H60" i="4" s="1"/>
  <c r="F119" i="4" l="1"/>
  <c r="F117" i="4"/>
  <c r="H74" i="4"/>
  <c r="H72" i="4"/>
  <c r="F134" i="4"/>
  <c r="F136" i="4"/>
  <c r="G139" i="4" l="1"/>
  <c r="F135" i="4"/>
  <c r="H73" i="4"/>
  <c r="G76" i="4"/>
  <c r="F118" i="4"/>
  <c r="G122" i="4"/>
  <c r="C46" i="2" l="1"/>
  <c r="C4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30" i="2" l="1"/>
  <c r="D34" i="2"/>
  <c r="D38" i="2"/>
  <c r="D42" i="2"/>
  <c r="B49" i="2"/>
  <c r="D50" i="2"/>
  <c r="D27" i="2"/>
  <c r="D31" i="2"/>
  <c r="D35" i="2"/>
  <c r="D39" i="2"/>
  <c r="D43" i="2"/>
  <c r="C49" i="2"/>
  <c r="D25" i="2"/>
  <c r="D29" i="2"/>
  <c r="D33" i="2"/>
  <c r="D37" i="2"/>
  <c r="D41" i="2"/>
  <c r="C50" i="2"/>
  <c r="D26" i="2"/>
  <c r="D24" i="2"/>
  <c r="D28" i="2"/>
  <c r="D32" i="2"/>
  <c r="D36" i="2"/>
  <c r="D40" i="2"/>
  <c r="D49" i="2"/>
</calcChain>
</file>

<file path=xl/sharedStrings.xml><?xml version="1.0" encoding="utf-8"?>
<sst xmlns="http://schemas.openxmlformats.org/spreadsheetml/2006/main" count="308" uniqueCount="127">
  <si>
    <t>HPLC System Suitability Report</t>
  </si>
  <si>
    <t>Analysis Data</t>
  </si>
  <si>
    <t>Sample(s)</t>
  </si>
  <si>
    <t>Reference Substance:</t>
  </si>
  <si>
    <t xml:space="preserve">CEFAXIL-500 TABLETS </t>
  </si>
  <si>
    <t>% age Purity:</t>
  </si>
  <si>
    <t>NDQA201807020</t>
  </si>
  <si>
    <t>Weight (mg):</t>
  </si>
  <si>
    <t xml:space="preserve">Cefuroxime Axetil </t>
  </si>
  <si>
    <t>Standard Conc (mg/mL):</t>
  </si>
  <si>
    <t>Each film coated tablets contains Cefuroxime Axetil USP equivalent to Cefuroxime 500 mg</t>
  </si>
  <si>
    <t>2018-07-09 08:57:16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</si>
  <si>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</si>
  <si>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</si>
  <si>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</si>
  <si>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</si>
  <si>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</si>
  <si>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</si>
  <si>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</si>
  <si>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</si>
  <si>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</si>
  <si>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</si>
  <si>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</si>
  <si>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</si>
  <si>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</si>
  <si>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</si>
  <si>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</si>
  <si>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</si>
  <si>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</si>
  <si>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</si>
  <si>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</si>
  <si>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</si>
  <si>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</si>
  <si>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</si>
  <si>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</si>
  <si>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</si>
  <si>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</si>
  <si>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</si>
  <si>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</si>
  <si>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</si>
  <si>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</si>
  <si>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</si>
  <si>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</si>
  <si>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</si>
  <si>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</si>
  <si>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</si>
  <si>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</si>
  <si>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</si>
  <si>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</si>
  <si>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</si>
  <si>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</si>
  <si>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</si>
  <si>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</si>
  <si>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</si>
  <si>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</si>
  <si>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</si>
  <si>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</si>
  <si>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</si>
  <si>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t>Injection</t>
  </si>
  <si>
    <t>Response:</t>
  </si>
  <si>
    <t>Normalised Response:</t>
  </si>
  <si>
    <t>Average: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</si>
  <si>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</si>
  <si>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</si>
  <si>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</si>
  <si>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</si>
  <si>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</si>
  <si>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</si>
  <si>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</si>
  <si>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</si>
  <si>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</si>
  <si>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</si>
  <si>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</si>
  <si>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</si>
  <si>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Powder Weight (mg)</t>
  </si>
  <si>
    <t>Determined Amt (mg)</t>
  </si>
  <si>
    <t>% Assay</t>
  </si>
  <si>
    <t>Assay Smp A</t>
  </si>
  <si>
    <t>Assay Smp B</t>
  </si>
  <si>
    <t>Sample Dilution Factor</t>
  </si>
  <si>
    <t>Assay Smp C</t>
  </si>
  <si>
    <t>Desired Sample Weight (mg):</t>
  </si>
  <si>
    <t>Amt of RS (mg):</t>
  </si>
  <si>
    <t>Amt of RS as free base (mg):</t>
  </si>
  <si>
    <t>Medium Volume (mL):</t>
  </si>
  <si>
    <t>Amt Released (mg):</t>
  </si>
  <si>
    <t>%age Released:</t>
  </si>
  <si>
    <t xml:space="preserve">The amount  of </t>
  </si>
  <si>
    <t xml:space="preserve">dissolved as a percentage of the stated  label claim is </t>
  </si>
  <si>
    <t>Cefuroxime Axetil</t>
  </si>
  <si>
    <t>C3-7</t>
  </si>
  <si>
    <t>Initial    Standard dilution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</si>
  <si>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</si>
  <si>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</si>
  <si>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</si>
  <si>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</si>
  <si>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</si>
  <si>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</si>
  <si>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</si>
  <si>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</si>
  <si>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</si>
  <si>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Desired Concetration (mg/mL):</t>
  </si>
  <si>
    <t>Initial    Sample dilution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</si>
  <si>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</si>
  <si>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</si>
  <si>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</si>
  <si>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</si>
  <si>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</si>
  <si>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</si>
  <si>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</si>
  <si>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</si>
  <si>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Comment</t>
  </si>
  <si>
    <t xml:space="preserve">I the sample as a percentage of the stated  label claim is </t>
  </si>
  <si>
    <t>Analysis Data:</t>
  </si>
  <si>
    <t>Determination of Active Ingredient Dissolved after</t>
  </si>
  <si>
    <t>15Mins</t>
  </si>
  <si>
    <t>tablet No.</t>
  </si>
  <si>
    <t>45mins</t>
  </si>
  <si>
    <t>CEFUROXIME</t>
  </si>
  <si>
    <t xml:space="preserve">Each film coated tablet contains: Cefuroxime Axetil USP eqv to Cefuroxime 500 mg </t>
  </si>
  <si>
    <t>Assay( Cefuroxime Isomer A)</t>
  </si>
  <si>
    <t>Assay( Cefuroxime Isomer B)</t>
  </si>
  <si>
    <r>
      <t xml:space="preserve">The Resolution between Cefuroxime Axetil Diastereoisomers  A &amp; B should be </t>
    </r>
    <r>
      <rPr>
        <b/>
        <sz val="12"/>
        <color rgb="FF000000"/>
        <rFont val="Book Antiqua"/>
        <family val="1"/>
      </rPr>
      <t>NLT 1.5</t>
    </r>
  </si>
  <si>
    <t>RUTTO KENNEDY/CYNTHIA</t>
  </si>
  <si>
    <t>29TH AUG 2018</t>
  </si>
  <si>
    <t>Resolution(USP)</t>
  </si>
  <si>
    <t>RUTTO  KENNEDY/CYNTHIA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</si>
</sst>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70" formatCode="0.0000\ &quot;mg&quot;"/>
    <numFmt numFmtId="171" formatCode="0.000"/>
  </numFmts>
  <fonts count="3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sz val="10"/>
      <color rgb="FF000000"/>
      <name val="Arial"/>
    </font>
    <font>
      <b/>
      <sz val="72"/>
      <color rgb="FF000000"/>
      <name val="Book Antiqua"/>
      <family val="1"/>
    </font>
    <font>
      <sz val="10"/>
      <color rgb="FF000000"/>
      <name val="Book Antiqua"/>
      <family val="1"/>
    </font>
    <font>
      <b/>
      <sz val="52"/>
      <color rgb="FF000000"/>
      <name val="Book Antiqua"/>
      <family val="1"/>
    </font>
    <font>
      <b/>
      <i/>
      <sz val="12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12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vertAlign val="superscript"/>
      <sz val="14"/>
      <color rgb="FF000000"/>
      <name val="Book Antiqua"/>
      <family val="1"/>
    </font>
    <font>
      <b/>
      <u/>
      <sz val="20"/>
      <color rgb="FF000000"/>
      <name val="Book Antiqua"/>
      <family val="1"/>
    </font>
    <font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3" fillId="2" borderId="0"/>
  </cellStyleXfs>
  <cellXfs count="31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168" fontId="12" fillId="3" borderId="0" xfId="0" applyNumberFormat="1" applyFont="1" applyFill="1" applyAlignment="1" applyProtection="1">
      <alignment horizontal="center"/>
      <protection locked="0"/>
    </xf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left" wrapText="1"/>
      <protection locked="0"/>
    </xf>
    <xf numFmtId="2" fontId="11" fillId="3" borderId="13" xfId="0" applyNumberFormat="1" applyFont="1" applyFill="1" applyBorder="1" applyAlignment="1" applyProtection="1">
      <alignment horizontal="center" vertical="center"/>
      <protection locked="0"/>
    </xf>
    <xf numFmtId="2" fontId="11" fillId="3" borderId="14" xfId="0" applyNumberFormat="1" applyFont="1" applyFill="1" applyBorder="1" applyAlignment="1" applyProtection="1">
      <alignment horizontal="center" vertical="center"/>
      <protection locked="0"/>
    </xf>
    <xf numFmtId="2" fontId="11" fillId="3" borderId="15" xfId="0" applyNumberFormat="1" applyFont="1" applyFill="1" applyBorder="1" applyAlignment="1" applyProtection="1">
      <alignment horizontal="center" vertical="center"/>
      <protection locked="0"/>
    </xf>
    <xf numFmtId="0" fontId="14" fillId="2" borderId="0" xfId="1" applyFont="1" applyFill="1" applyAlignment="1">
      <alignment horizontal="center" vertical="center"/>
    </xf>
    <xf numFmtId="0" fontId="15" fillId="2" borderId="0" xfId="1" applyFont="1" applyFill="1"/>
    <xf numFmtId="0" fontId="16" fillId="2" borderId="0" xfId="1" applyFont="1" applyFill="1" applyAlignment="1">
      <alignment horizontal="center" vertical="center"/>
    </xf>
    <xf numFmtId="0" fontId="17" fillId="2" borderId="18" xfId="1" applyFont="1" applyFill="1" applyBorder="1" applyAlignment="1">
      <alignment horizontal="center"/>
    </xf>
    <xf numFmtId="0" fontId="17" fillId="2" borderId="19" xfId="1" applyFont="1" applyFill="1" applyBorder="1" applyAlignment="1">
      <alignment horizontal="center"/>
    </xf>
    <xf numFmtId="0" fontId="17" fillId="2" borderId="20" xfId="1" applyFont="1" applyFill="1" applyBorder="1" applyAlignment="1">
      <alignment horizontal="center"/>
    </xf>
    <xf numFmtId="0" fontId="18" fillId="2" borderId="0" xfId="1" applyFont="1" applyFill="1"/>
    <xf numFmtId="0" fontId="13" fillId="2" borderId="0" xfId="1" applyFill="1"/>
    <xf numFmtId="0" fontId="19" fillId="2" borderId="0" xfId="1" applyFont="1" applyFill="1"/>
    <xf numFmtId="0" fontId="19" fillId="3" borderId="0" xfId="1" applyFont="1" applyFill="1" applyAlignment="1" applyProtection="1">
      <alignment horizontal="left"/>
      <protection locked="0"/>
    </xf>
    <xf numFmtId="0" fontId="21" fillId="3" borderId="0" xfId="1" applyFont="1" applyFill="1" applyAlignment="1" applyProtection="1">
      <alignment horizontal="left"/>
      <protection locked="0"/>
    </xf>
    <xf numFmtId="0" fontId="22" fillId="2" borderId="0" xfId="1" applyFont="1" applyFill="1"/>
    <xf numFmtId="0" fontId="22" fillId="3" borderId="0" xfId="1" applyFont="1" applyFill="1" applyAlignment="1" applyProtection="1">
      <alignment horizontal="left"/>
      <protection locked="0"/>
    </xf>
    <xf numFmtId="0" fontId="21" fillId="3" borderId="0" xfId="1" applyFont="1" applyFill="1" applyAlignment="1" applyProtection="1">
      <alignment horizontal="left" wrapText="1"/>
      <protection locked="0"/>
    </xf>
    <xf numFmtId="0" fontId="22" fillId="3" borderId="0" xfId="1" applyFont="1" applyFill="1" applyProtection="1">
      <protection locked="0"/>
    </xf>
    <xf numFmtId="15" fontId="22" fillId="2" borderId="0" xfId="1" applyNumberFormat="1" applyFont="1" applyFill="1" applyAlignment="1">
      <alignment horizontal="left"/>
    </xf>
    <xf numFmtId="0" fontId="18" fillId="2" borderId="0" xfId="1" applyFont="1" applyFill="1" applyAlignment="1">
      <alignment horizontal="left"/>
    </xf>
    <xf numFmtId="0" fontId="19" fillId="2" borderId="0" xfId="1" applyFont="1" applyFill="1" applyAlignment="1">
      <alignment horizontal="right"/>
    </xf>
    <xf numFmtId="0" fontId="20" fillId="3" borderId="0" xfId="1" applyFont="1" applyFill="1" applyAlignment="1" applyProtection="1">
      <alignment horizontal="left"/>
      <protection locked="0"/>
    </xf>
    <xf numFmtId="0" fontId="22" fillId="3" borderId="0" xfId="1" applyFont="1" applyFill="1"/>
    <xf numFmtId="0" fontId="22" fillId="2" borderId="0" xfId="1" applyFont="1" applyFill="1" applyAlignment="1">
      <alignment horizontal="right"/>
    </xf>
    <xf numFmtId="0" fontId="20" fillId="3" borderId="0" xfId="1" applyFont="1" applyFill="1" applyAlignment="1" applyProtection="1">
      <alignment horizontal="center"/>
      <protection locked="0"/>
    </xf>
    <xf numFmtId="0" fontId="23" fillId="2" borderId="18" xfId="1" applyFont="1" applyFill="1" applyBorder="1" applyAlignment="1">
      <alignment horizontal="justify" vertical="center" wrapText="1"/>
    </xf>
    <xf numFmtId="0" fontId="23" fillId="2" borderId="19" xfId="1" applyFont="1" applyFill="1" applyBorder="1" applyAlignment="1">
      <alignment horizontal="justify" vertical="center" wrapText="1"/>
    </xf>
    <xf numFmtId="0" fontId="23" fillId="2" borderId="20" xfId="1" applyFont="1" applyFill="1" applyBorder="1" applyAlignment="1">
      <alignment horizontal="justify" vertical="center" wrapText="1"/>
    </xf>
    <xf numFmtId="0" fontId="24" fillId="2" borderId="0" xfId="1" applyFont="1" applyFill="1"/>
    <xf numFmtId="0" fontId="25" fillId="2" borderId="0" xfId="1" applyFont="1" applyFill="1" applyAlignment="1">
      <alignment vertical="center" wrapText="1"/>
    </xf>
    <xf numFmtId="0" fontId="19" fillId="2" borderId="0" xfId="1" applyFont="1" applyFill="1" applyAlignment="1">
      <alignment horizontal="center"/>
    </xf>
    <xf numFmtId="0" fontId="26" fillId="2" borderId="0" xfId="1" applyFont="1" applyFill="1"/>
    <xf numFmtId="0" fontId="27" fillId="2" borderId="0" xfId="1" applyFont="1" applyFill="1"/>
    <xf numFmtId="2" fontId="20" fillId="3" borderId="0" xfId="1" applyNumberFormat="1" applyFont="1" applyFill="1" applyAlignment="1" applyProtection="1">
      <alignment horizontal="center"/>
      <protection locked="0"/>
    </xf>
    <xf numFmtId="0" fontId="23" fillId="2" borderId="18" xfId="1" applyFont="1" applyFill="1" applyBorder="1" applyAlignment="1">
      <alignment horizontal="left" vertical="center" wrapText="1"/>
    </xf>
    <xf numFmtId="0" fontId="23" fillId="2" borderId="19" xfId="1" applyFont="1" applyFill="1" applyBorder="1" applyAlignment="1">
      <alignment horizontal="left" vertical="center" wrapText="1"/>
    </xf>
    <xf numFmtId="0" fontId="23" fillId="2" borderId="20" xfId="1" applyFont="1" applyFill="1" applyBorder="1" applyAlignment="1">
      <alignment horizontal="left" vertical="center" wrapText="1"/>
    </xf>
    <xf numFmtId="0" fontId="19" fillId="2" borderId="0" xfId="1" applyFont="1" applyFill="1" applyAlignment="1">
      <alignment vertical="center" wrapText="1"/>
    </xf>
    <xf numFmtId="0" fontId="28" fillId="2" borderId="0" xfId="1" applyFont="1" applyFill="1"/>
    <xf numFmtId="2" fontId="19" fillId="2" borderId="0" xfId="1" applyNumberFormat="1" applyFont="1" applyFill="1" applyAlignment="1">
      <alignment horizontal="center"/>
    </xf>
    <xf numFmtId="0" fontId="23" fillId="2" borderId="0" xfId="1" applyFont="1" applyFill="1" applyAlignment="1">
      <alignment horizontal="left" vertical="center" wrapText="1"/>
    </xf>
    <xf numFmtId="170" fontId="19" fillId="2" borderId="0" xfId="1" applyNumberFormat="1" applyFont="1" applyFill="1" applyAlignment="1">
      <alignment horizontal="center"/>
    </xf>
    <xf numFmtId="0" fontId="22" fillId="2" borderId="21" xfId="1" applyFont="1" applyFill="1" applyBorder="1" applyAlignment="1">
      <alignment horizontal="right"/>
    </xf>
    <xf numFmtId="0" fontId="20" fillId="3" borderId="22" xfId="1" applyFont="1" applyFill="1" applyBorder="1" applyAlignment="1" applyProtection="1">
      <alignment horizontal="center"/>
      <protection locked="0"/>
    </xf>
    <xf numFmtId="0" fontId="19" fillId="2" borderId="46" xfId="1" applyFont="1" applyFill="1" applyBorder="1" applyAlignment="1">
      <alignment horizontal="center"/>
    </xf>
    <xf numFmtId="0" fontId="19" fillId="2" borderId="40" xfId="1" applyFont="1" applyFill="1" applyBorder="1" applyAlignment="1">
      <alignment horizontal="center"/>
    </xf>
    <xf numFmtId="0" fontId="19" fillId="2" borderId="54" xfId="1" applyFont="1" applyFill="1" applyBorder="1" applyAlignment="1">
      <alignment horizontal="center"/>
    </xf>
    <xf numFmtId="0" fontId="22" fillId="2" borderId="23" xfId="1" applyFont="1" applyFill="1" applyBorder="1" applyAlignment="1">
      <alignment horizontal="right"/>
    </xf>
    <xf numFmtId="0" fontId="20" fillId="3" borderId="24" xfId="1" applyFont="1" applyFill="1" applyBorder="1" applyAlignment="1" applyProtection="1">
      <alignment horizontal="center"/>
      <protection locked="0"/>
    </xf>
    <xf numFmtId="0" fontId="19" fillId="2" borderId="22" xfId="1" applyFont="1" applyFill="1" applyBorder="1" applyAlignment="1">
      <alignment horizontal="center"/>
    </xf>
    <xf numFmtId="0" fontId="19" fillId="2" borderId="25" xfId="1" applyFont="1" applyFill="1" applyBorder="1" applyAlignment="1">
      <alignment horizontal="center"/>
    </xf>
    <xf numFmtId="0" fontId="19" fillId="2" borderId="26" xfId="1" applyFont="1" applyFill="1" applyBorder="1" applyAlignment="1">
      <alignment horizontal="center"/>
    </xf>
    <xf numFmtId="0" fontId="19" fillId="2" borderId="30" xfId="1" applyFont="1" applyFill="1" applyBorder="1" applyAlignment="1">
      <alignment horizontal="center"/>
    </xf>
    <xf numFmtId="0" fontId="22" fillId="2" borderId="28" xfId="1" applyFont="1" applyFill="1" applyBorder="1" applyAlignment="1">
      <alignment horizontal="center"/>
    </xf>
    <xf numFmtId="0" fontId="20" fillId="3" borderId="29" xfId="1" applyFont="1" applyFill="1" applyBorder="1" applyAlignment="1" applyProtection="1">
      <alignment horizontal="center"/>
      <protection locked="0"/>
    </xf>
    <xf numFmtId="171" fontId="22" fillId="2" borderId="26" xfId="1" applyNumberFormat="1" applyFont="1" applyFill="1" applyBorder="1" applyAlignment="1">
      <alignment horizontal="center"/>
    </xf>
    <xf numFmtId="171" fontId="22" fillId="2" borderId="30" xfId="1" applyNumberFormat="1" applyFont="1" applyFill="1" applyBorder="1" applyAlignment="1">
      <alignment horizontal="center"/>
    </xf>
    <xf numFmtId="0" fontId="22" fillId="2" borderId="24" xfId="1" applyFont="1" applyFill="1" applyBorder="1" applyAlignment="1">
      <alignment horizontal="center"/>
    </xf>
    <xf numFmtId="0" fontId="20" fillId="3" borderId="23" xfId="1" applyFont="1" applyFill="1" applyBorder="1" applyAlignment="1" applyProtection="1">
      <alignment horizontal="center"/>
      <protection locked="0"/>
    </xf>
    <xf numFmtId="171" fontId="22" fillId="2" borderId="31" xfId="1" applyNumberFormat="1" applyFont="1" applyFill="1" applyBorder="1" applyAlignment="1">
      <alignment horizontal="center"/>
    </xf>
    <xf numFmtId="171" fontId="22" fillId="2" borderId="32" xfId="1" applyNumberFormat="1" applyFont="1" applyFill="1" applyBorder="1" applyAlignment="1">
      <alignment horizontal="center"/>
    </xf>
    <xf numFmtId="0" fontId="22" fillId="2" borderId="33" xfId="1" applyFont="1" applyFill="1" applyBorder="1" applyAlignment="1">
      <alignment horizontal="center"/>
    </xf>
    <xf numFmtId="0" fontId="20" fillId="3" borderId="34" xfId="1" applyFont="1" applyFill="1" applyBorder="1" applyAlignment="1" applyProtection="1">
      <alignment horizontal="center"/>
      <protection locked="0"/>
    </xf>
    <xf numFmtId="171" fontId="22" fillId="2" borderId="35" xfId="1" applyNumberFormat="1" applyFont="1" applyFill="1" applyBorder="1" applyAlignment="1">
      <alignment horizontal="center"/>
    </xf>
    <xf numFmtId="171" fontId="22" fillId="2" borderId="36" xfId="1" applyNumberFormat="1" applyFont="1" applyFill="1" applyBorder="1" applyAlignment="1">
      <alignment horizontal="center"/>
    </xf>
    <xf numFmtId="0" fontId="22" fillId="2" borderId="24" xfId="1" applyFont="1" applyFill="1" applyBorder="1" applyAlignment="1">
      <alignment horizontal="right"/>
    </xf>
    <xf numFmtId="1" fontId="19" fillId="6" borderId="52" xfId="1" applyNumberFormat="1" applyFont="1" applyFill="1" applyBorder="1" applyAlignment="1">
      <alignment horizontal="center"/>
    </xf>
    <xf numFmtId="171" fontId="19" fillId="6" borderId="38" xfId="1" applyNumberFormat="1" applyFont="1" applyFill="1" applyBorder="1" applyAlignment="1">
      <alignment horizontal="center"/>
    </xf>
    <xf numFmtId="1" fontId="19" fillId="6" borderId="37" xfId="1" applyNumberFormat="1" applyFont="1" applyFill="1" applyBorder="1" applyAlignment="1">
      <alignment horizontal="center"/>
    </xf>
    <xf numFmtId="171" fontId="19" fillId="6" borderId="39" xfId="1" applyNumberFormat="1" applyFont="1" applyFill="1" applyBorder="1" applyAlignment="1">
      <alignment horizontal="center"/>
    </xf>
    <xf numFmtId="0" fontId="15" fillId="2" borderId="0" xfId="1" applyFont="1" applyFill="1" applyAlignment="1">
      <alignment horizontal="center"/>
    </xf>
    <xf numFmtId="0" fontId="22" fillId="2" borderId="50" xfId="1" applyFont="1" applyFill="1" applyBorder="1" applyAlignment="1">
      <alignment horizontal="right"/>
    </xf>
    <xf numFmtId="0" fontId="20" fillId="3" borderId="51" xfId="1" applyFont="1" applyFill="1" applyBorder="1" applyAlignment="1" applyProtection="1">
      <alignment horizontal="center"/>
      <protection locked="0"/>
    </xf>
    <xf numFmtId="0" fontId="20" fillId="3" borderId="16" xfId="1" applyFont="1" applyFill="1" applyBorder="1" applyAlignment="1" applyProtection="1">
      <alignment horizontal="center"/>
      <protection locked="0"/>
    </xf>
    <xf numFmtId="0" fontId="22" fillId="2" borderId="25" xfId="1" applyFont="1" applyFill="1" applyBorder="1" applyAlignment="1">
      <alignment horizontal="right"/>
    </xf>
    <xf numFmtId="2" fontId="22" fillId="6" borderId="27" xfId="1" applyNumberFormat="1" applyFont="1" applyFill="1" applyBorder="1" applyAlignment="1">
      <alignment horizontal="center"/>
    </xf>
    <xf numFmtId="0" fontId="22" fillId="2" borderId="0" xfId="1" applyFont="1" applyFill="1" applyAlignment="1">
      <alignment horizontal="center"/>
    </xf>
    <xf numFmtId="2" fontId="22" fillId="6" borderId="41" xfId="1" applyNumberFormat="1" applyFont="1" applyFill="1" applyBorder="1" applyAlignment="1">
      <alignment horizontal="center"/>
    </xf>
    <xf numFmtId="2" fontId="22" fillId="7" borderId="27" xfId="1" applyNumberFormat="1" applyFont="1" applyFill="1" applyBorder="1" applyAlignment="1">
      <alignment horizontal="center"/>
    </xf>
    <xf numFmtId="2" fontId="22" fillId="2" borderId="0" xfId="1" applyNumberFormat="1" applyFont="1" applyFill="1" applyAlignment="1">
      <alignment horizontal="center"/>
    </xf>
    <xf numFmtId="2" fontId="22" fillId="7" borderId="41" xfId="1" applyNumberFormat="1" applyFont="1" applyFill="1" applyBorder="1" applyAlignment="1">
      <alignment horizontal="center"/>
    </xf>
    <xf numFmtId="0" fontId="23" fillId="2" borderId="21" xfId="1" applyFont="1" applyFill="1" applyBorder="1" applyAlignment="1">
      <alignment horizontal="left" vertical="center" wrapText="1"/>
    </xf>
    <xf numFmtId="0" fontId="23" fillId="2" borderId="10" xfId="1" applyFont="1" applyFill="1" applyBorder="1" applyAlignment="1">
      <alignment horizontal="left" vertical="center" wrapText="1"/>
    </xf>
    <xf numFmtId="2" fontId="22" fillId="6" borderId="17" xfId="1" applyNumberFormat="1" applyFont="1" applyFill="1" applyBorder="1" applyAlignment="1">
      <alignment horizontal="center"/>
    </xf>
    <xf numFmtId="0" fontId="23" fillId="2" borderId="42" xfId="1" applyFont="1" applyFill="1" applyBorder="1" applyAlignment="1">
      <alignment horizontal="left" vertical="center" wrapText="1"/>
    </xf>
    <xf numFmtId="0" fontId="23" fillId="2" borderId="9" xfId="1" applyFont="1" applyFill="1" applyBorder="1" applyAlignment="1">
      <alignment horizontal="left" vertical="center" wrapText="1"/>
    </xf>
    <xf numFmtId="0" fontId="20" fillId="3" borderId="27" xfId="1" applyFont="1" applyFill="1" applyBorder="1" applyAlignment="1" applyProtection="1">
      <alignment horizontal="center"/>
      <protection locked="0"/>
    </xf>
    <xf numFmtId="1" fontId="22" fillId="2" borderId="0" xfId="1" applyNumberFormat="1" applyFont="1" applyFill="1" applyAlignment="1">
      <alignment horizontal="center"/>
    </xf>
    <xf numFmtId="0" fontId="22" fillId="2" borderId="52" xfId="1" applyFont="1" applyFill="1" applyBorder="1" applyAlignment="1">
      <alignment horizontal="right"/>
    </xf>
    <xf numFmtId="2" fontId="22" fillId="7" borderId="30" xfId="1" applyNumberFormat="1" applyFont="1" applyFill="1" applyBorder="1" applyAlignment="1">
      <alignment horizontal="center"/>
    </xf>
    <xf numFmtId="171" fontId="22" fillId="2" borderId="0" xfId="1" applyNumberFormat="1" applyFont="1" applyFill="1" applyAlignment="1">
      <alignment horizontal="center"/>
    </xf>
    <xf numFmtId="0" fontId="22" fillId="2" borderId="16" xfId="1" applyFont="1" applyFill="1" applyBorder="1" applyAlignment="1">
      <alignment horizontal="right"/>
    </xf>
    <xf numFmtId="171" fontId="19" fillId="7" borderId="16" xfId="1" applyNumberFormat="1" applyFont="1" applyFill="1" applyBorder="1" applyAlignment="1">
      <alignment horizontal="center"/>
    </xf>
    <xf numFmtId="0" fontId="22" fillId="2" borderId="41" xfId="1" applyFont="1" applyFill="1" applyBorder="1" applyAlignment="1">
      <alignment horizontal="right"/>
    </xf>
    <xf numFmtId="10" fontId="22" fillId="6" borderId="41" xfId="1" applyNumberFormat="1" applyFont="1" applyFill="1" applyBorder="1" applyAlignment="1">
      <alignment horizontal="center"/>
    </xf>
    <xf numFmtId="0" fontId="22" fillId="2" borderId="17" xfId="1" applyFont="1" applyFill="1" applyBorder="1" applyAlignment="1">
      <alignment horizontal="right"/>
    </xf>
    <xf numFmtId="0" fontId="22" fillId="7" borderId="17" xfId="1" applyFont="1" applyFill="1" applyBorder="1" applyAlignment="1">
      <alignment horizontal="center"/>
    </xf>
    <xf numFmtId="0" fontId="19" fillId="2" borderId="0" xfId="1" applyFont="1" applyFill="1" applyAlignment="1">
      <alignment horizontal="left"/>
    </xf>
    <xf numFmtId="0" fontId="22" fillId="2" borderId="0" xfId="1" applyFont="1" applyFill="1" applyAlignment="1">
      <alignment horizontal="left"/>
    </xf>
    <xf numFmtId="166" fontId="19" fillId="2" borderId="0" xfId="1" applyNumberFormat="1" applyFont="1" applyFill="1" applyAlignment="1" applyProtection="1">
      <alignment horizontal="center"/>
      <protection locked="0"/>
    </xf>
    <xf numFmtId="2" fontId="19" fillId="2" borderId="13" xfId="1" applyNumberFormat="1" applyFont="1" applyFill="1" applyBorder="1" applyAlignment="1">
      <alignment horizontal="center"/>
    </xf>
    <xf numFmtId="0" fontId="19" fillId="2" borderId="13" xfId="1" applyFont="1" applyFill="1" applyBorder="1" applyAlignment="1">
      <alignment horizontal="center"/>
    </xf>
    <xf numFmtId="0" fontId="19" fillId="2" borderId="10" xfId="1" applyFont="1" applyFill="1" applyBorder="1" applyAlignment="1">
      <alignment horizontal="center" vertical="center"/>
    </xf>
    <xf numFmtId="0" fontId="22" fillId="2" borderId="13" xfId="1" applyFont="1" applyFill="1" applyBorder="1" applyAlignment="1">
      <alignment horizontal="center"/>
    </xf>
    <xf numFmtId="0" fontId="20" fillId="3" borderId="21" xfId="1" applyFont="1" applyFill="1" applyBorder="1" applyAlignment="1" applyProtection="1">
      <alignment horizontal="center"/>
      <protection locked="0"/>
    </xf>
    <xf numFmtId="2" fontId="22" fillId="2" borderId="21" xfId="1" applyNumberFormat="1" applyFont="1" applyFill="1" applyBorder="1" applyAlignment="1">
      <alignment horizontal="center"/>
    </xf>
    <xf numFmtId="10" fontId="22" fillId="2" borderId="13" xfId="1" applyNumberFormat="1" applyFont="1" applyFill="1" applyBorder="1" applyAlignment="1">
      <alignment horizontal="center" vertical="center"/>
    </xf>
    <xf numFmtId="0" fontId="19" fillId="2" borderId="0" xfId="1" applyFont="1" applyFill="1" applyAlignment="1">
      <alignment horizontal="center" vertical="center"/>
    </xf>
    <xf numFmtId="0" fontId="22" fillId="2" borderId="14" xfId="1" applyFont="1" applyFill="1" applyBorder="1" applyAlignment="1">
      <alignment horizontal="center"/>
    </xf>
    <xf numFmtId="2" fontId="22" fillId="2" borderId="23" xfId="1" applyNumberFormat="1" applyFont="1" applyFill="1" applyBorder="1" applyAlignment="1">
      <alignment horizontal="center"/>
    </xf>
    <xf numFmtId="10" fontId="22" fillId="2" borderId="14" xfId="1" applyNumberFormat="1" applyFont="1" applyFill="1" applyBorder="1" applyAlignment="1">
      <alignment horizontal="center" vertical="center"/>
    </xf>
    <xf numFmtId="1" fontId="20" fillId="3" borderId="23" xfId="1" applyNumberFormat="1" applyFont="1" applyFill="1" applyBorder="1" applyAlignment="1" applyProtection="1">
      <alignment horizontal="center"/>
      <protection locked="0"/>
    </xf>
    <xf numFmtId="0" fontId="19" fillId="2" borderId="9" xfId="1" applyFont="1" applyFill="1" applyBorder="1" applyAlignment="1">
      <alignment horizontal="center" vertical="center"/>
    </xf>
    <xf numFmtId="0" fontId="22" fillId="2" borderId="15" xfId="1" applyFont="1" applyFill="1" applyBorder="1" applyAlignment="1">
      <alignment horizontal="center"/>
    </xf>
    <xf numFmtId="0" fontId="20" fillId="3" borderId="42" xfId="1" applyFont="1" applyFill="1" applyBorder="1" applyAlignment="1" applyProtection="1">
      <alignment horizontal="center"/>
      <protection locked="0"/>
    </xf>
    <xf numFmtId="2" fontId="22" fillId="2" borderId="13" xfId="1" applyNumberFormat="1" applyFont="1" applyFill="1" applyBorder="1" applyAlignment="1">
      <alignment horizontal="center"/>
    </xf>
    <xf numFmtId="10" fontId="22" fillId="2" borderId="22" xfId="1" applyNumberFormat="1" applyFont="1" applyFill="1" applyBorder="1" applyAlignment="1">
      <alignment horizontal="center" vertical="center"/>
    </xf>
    <xf numFmtId="2" fontId="22" fillId="2" borderId="14" xfId="1" applyNumberFormat="1" applyFont="1" applyFill="1" applyBorder="1" applyAlignment="1">
      <alignment horizontal="center"/>
    </xf>
    <xf numFmtId="10" fontId="22" fillId="2" borderId="24" xfId="1" applyNumberFormat="1" applyFont="1" applyFill="1" applyBorder="1" applyAlignment="1">
      <alignment horizontal="center" vertical="center"/>
    </xf>
    <xf numFmtId="2" fontId="22" fillId="2" borderId="15" xfId="1" applyNumberFormat="1" applyFont="1" applyFill="1" applyBorder="1" applyAlignment="1">
      <alignment horizontal="center"/>
    </xf>
    <xf numFmtId="10" fontId="22" fillId="2" borderId="43" xfId="1" applyNumberFormat="1" applyFont="1" applyFill="1" applyBorder="1" applyAlignment="1">
      <alignment horizontal="center" vertical="center"/>
    </xf>
    <xf numFmtId="0" fontId="19" fillId="2" borderId="24" xfId="1" applyFont="1" applyFill="1" applyBorder="1" applyAlignment="1">
      <alignment horizontal="center"/>
    </xf>
    <xf numFmtId="0" fontId="22" fillId="2" borderId="42" xfId="1" applyFont="1" applyFill="1" applyBorder="1" applyAlignment="1">
      <alignment horizontal="right"/>
    </xf>
    <xf numFmtId="2" fontId="22" fillId="2" borderId="43" xfId="1" applyNumberFormat="1" applyFont="1" applyFill="1" applyBorder="1" applyAlignment="1">
      <alignment horizontal="center"/>
    </xf>
    <xf numFmtId="0" fontId="23" fillId="2" borderId="21" xfId="1" applyFont="1" applyFill="1" applyBorder="1" applyAlignment="1">
      <alignment horizontal="center" vertical="center" wrapText="1"/>
    </xf>
    <xf numFmtId="0" fontId="23" fillId="2" borderId="22" xfId="1" applyFont="1" applyFill="1" applyBorder="1" applyAlignment="1">
      <alignment horizontal="center" vertical="center" wrapText="1"/>
    </xf>
    <xf numFmtId="0" fontId="23" fillId="2" borderId="42" xfId="1" applyFont="1" applyFill="1" applyBorder="1" applyAlignment="1">
      <alignment horizontal="center" vertical="center" wrapText="1"/>
    </xf>
    <xf numFmtId="0" fontId="23" fillId="2" borderId="43" xfId="1" applyFont="1" applyFill="1" applyBorder="1" applyAlignment="1">
      <alignment horizontal="center" vertical="center" wrapText="1"/>
    </xf>
    <xf numFmtId="0" fontId="19" fillId="2" borderId="42" xfId="1" applyFont="1" applyFill="1" applyBorder="1" applyAlignment="1">
      <alignment horizontal="center" vertical="center"/>
    </xf>
    <xf numFmtId="10" fontId="22" fillId="2" borderId="15" xfId="1" applyNumberFormat="1" applyFont="1" applyFill="1" applyBorder="1" applyAlignment="1">
      <alignment horizontal="center" vertical="center"/>
    </xf>
    <xf numFmtId="0" fontId="22" fillId="2" borderId="44" xfId="1" applyFont="1" applyFill="1" applyBorder="1" applyAlignment="1">
      <alignment horizontal="right"/>
    </xf>
    <xf numFmtId="10" fontId="20" fillId="7" borderId="33" xfId="1" applyNumberFormat="1" applyFont="1" applyFill="1" applyBorder="1" applyAlignment="1">
      <alignment horizontal="center"/>
    </xf>
    <xf numFmtId="10" fontId="20" fillId="6" borderId="53" xfId="1" applyNumberFormat="1" applyFont="1" applyFill="1" applyBorder="1" applyAlignment="1">
      <alignment horizontal="center"/>
    </xf>
    <xf numFmtId="0" fontId="20" fillId="7" borderId="45" xfId="1" applyFont="1" applyFill="1" applyBorder="1" applyAlignment="1">
      <alignment horizontal="center"/>
    </xf>
    <xf numFmtId="0" fontId="19" fillId="2" borderId="0" xfId="1" applyFont="1" applyFill="1" applyAlignment="1">
      <alignment horizontal="center"/>
    </xf>
    <xf numFmtId="165" fontId="19" fillId="2" borderId="0" xfId="1" applyNumberFormat="1" applyFont="1" applyFill="1" applyAlignment="1">
      <alignment horizontal="center"/>
    </xf>
    <xf numFmtId="0" fontId="30" fillId="3" borderId="0" xfId="1" applyFont="1" applyFill="1" applyAlignment="1" applyProtection="1">
      <alignment horizontal="center"/>
      <protection locked="0"/>
    </xf>
    <xf numFmtId="0" fontId="19" fillId="2" borderId="46" xfId="1" applyFont="1" applyFill="1" applyBorder="1" applyAlignment="1">
      <alignment horizontal="center"/>
    </xf>
    <xf numFmtId="0" fontId="19" fillId="2" borderId="40" xfId="1" applyFont="1" applyFill="1" applyBorder="1" applyAlignment="1">
      <alignment horizontal="center"/>
    </xf>
    <xf numFmtId="0" fontId="19" fillId="2" borderId="10" xfId="1" applyFont="1" applyFill="1" applyBorder="1" applyAlignment="1">
      <alignment horizontal="center"/>
    </xf>
    <xf numFmtId="0" fontId="22" fillId="2" borderId="47" xfId="1" applyFont="1" applyFill="1" applyBorder="1" applyAlignment="1">
      <alignment horizontal="center"/>
    </xf>
    <xf numFmtId="0" fontId="22" fillId="2" borderId="7" xfId="1" applyFont="1" applyFill="1" applyBorder="1" applyAlignment="1">
      <alignment horizontal="center"/>
    </xf>
    <xf numFmtId="171" fontId="20" fillId="3" borderId="34" xfId="1" applyNumberFormat="1" applyFont="1" applyFill="1" applyBorder="1" applyAlignment="1" applyProtection="1">
      <alignment horizontal="center"/>
      <protection locked="0"/>
    </xf>
    <xf numFmtId="171" fontId="19" fillId="6" borderId="48" xfId="1" applyNumberFormat="1" applyFont="1" applyFill="1" applyBorder="1" applyAlignment="1">
      <alignment horizontal="center"/>
    </xf>
    <xf numFmtId="171" fontId="19" fillId="6" borderId="49" xfId="1" applyNumberFormat="1" applyFont="1" applyFill="1" applyBorder="1" applyAlignment="1">
      <alignment horizontal="center"/>
    </xf>
    <xf numFmtId="1" fontId="19" fillId="6" borderId="15" xfId="1" applyNumberFormat="1" applyFont="1" applyFill="1" applyBorder="1" applyAlignment="1">
      <alignment horizontal="center"/>
    </xf>
    <xf numFmtId="2" fontId="15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center" wrapText="1"/>
    </xf>
    <xf numFmtId="10" fontId="22" fillId="2" borderId="0" xfId="1" applyNumberFormat="1" applyFont="1" applyFill="1" applyAlignment="1">
      <alignment horizontal="center"/>
    </xf>
    <xf numFmtId="10" fontId="19" fillId="6" borderId="41" xfId="1" applyNumberFormat="1" applyFont="1" applyFill="1" applyBorder="1" applyAlignment="1">
      <alignment horizontal="center"/>
    </xf>
    <xf numFmtId="0" fontId="19" fillId="7" borderId="17" xfId="1" applyFont="1" applyFill="1" applyBorder="1" applyAlignment="1">
      <alignment horizontal="center"/>
    </xf>
    <xf numFmtId="0" fontId="19" fillId="2" borderId="55" xfId="1" applyFont="1" applyFill="1" applyBorder="1" applyAlignment="1">
      <alignment horizontal="center"/>
    </xf>
    <xf numFmtId="0" fontId="19" fillId="2" borderId="56" xfId="1" applyFont="1" applyFill="1" applyBorder="1"/>
    <xf numFmtId="0" fontId="19" fillId="2" borderId="22" xfId="1" applyFont="1" applyFill="1" applyBorder="1" applyAlignment="1">
      <alignment horizontal="center" wrapText="1"/>
    </xf>
    <xf numFmtId="0" fontId="22" fillId="2" borderId="23" xfId="1" applyFont="1" applyFill="1" applyBorder="1" applyAlignment="1">
      <alignment horizontal="center"/>
    </xf>
    <xf numFmtId="171" fontId="20" fillId="3" borderId="31" xfId="1" applyNumberFormat="1" applyFont="1" applyFill="1" applyBorder="1" applyAlignment="1" applyProtection="1">
      <alignment horizontal="center"/>
      <protection locked="0"/>
    </xf>
    <xf numFmtId="2" fontId="22" fillId="2" borderId="26" xfId="1" applyNumberFormat="1" applyFont="1" applyFill="1" applyBorder="1" applyAlignment="1">
      <alignment horizontal="center"/>
    </xf>
    <xf numFmtId="10" fontId="22" fillId="2" borderId="30" xfId="1" applyNumberFormat="1" applyFont="1" applyFill="1" applyBorder="1" applyAlignment="1">
      <alignment horizontal="center"/>
    </xf>
    <xf numFmtId="2" fontId="22" fillId="2" borderId="31" xfId="1" applyNumberFormat="1" applyFont="1" applyFill="1" applyBorder="1" applyAlignment="1">
      <alignment horizontal="center"/>
    </xf>
    <xf numFmtId="10" fontId="22" fillId="2" borderId="32" xfId="1" applyNumberFormat="1" applyFont="1" applyFill="1" applyBorder="1" applyAlignment="1">
      <alignment horizontal="center"/>
    </xf>
    <xf numFmtId="0" fontId="22" fillId="2" borderId="34" xfId="1" applyFont="1" applyFill="1" applyBorder="1" applyAlignment="1">
      <alignment horizontal="center"/>
    </xf>
    <xf numFmtId="171" fontId="20" fillId="3" borderId="35" xfId="1" applyNumberFormat="1" applyFont="1" applyFill="1" applyBorder="1" applyAlignment="1" applyProtection="1">
      <alignment horizontal="center"/>
      <protection locked="0"/>
    </xf>
    <xf numFmtId="2" fontId="22" fillId="2" borderId="35" xfId="1" applyNumberFormat="1" applyFont="1" applyFill="1" applyBorder="1" applyAlignment="1">
      <alignment horizontal="center"/>
    </xf>
    <xf numFmtId="10" fontId="22" fillId="2" borderId="36" xfId="1" applyNumberFormat="1" applyFont="1" applyFill="1" applyBorder="1" applyAlignment="1">
      <alignment horizontal="center"/>
    </xf>
    <xf numFmtId="2" fontId="22" fillId="2" borderId="24" xfId="1" applyNumberFormat="1" applyFont="1" applyFill="1" applyBorder="1" applyAlignment="1">
      <alignment horizontal="center"/>
    </xf>
    <xf numFmtId="171" fontId="19" fillId="2" borderId="0" xfId="1" applyNumberFormat="1" applyFont="1" applyFill="1" applyAlignment="1">
      <alignment horizontal="center"/>
    </xf>
    <xf numFmtId="171" fontId="22" fillId="2" borderId="2" xfId="1" applyNumberFormat="1" applyFont="1" applyFill="1" applyBorder="1" applyAlignment="1">
      <alignment horizontal="right"/>
    </xf>
    <xf numFmtId="10" fontId="19" fillId="7" borderId="27" xfId="1" applyNumberFormat="1" applyFont="1" applyFill="1" applyBorder="1" applyAlignment="1">
      <alignment horizontal="center"/>
    </xf>
    <xf numFmtId="0" fontId="22" fillId="2" borderId="23" xfId="1" applyFont="1" applyFill="1" applyBorder="1"/>
    <xf numFmtId="0" fontId="22" fillId="2" borderId="6" xfId="1" applyFont="1" applyFill="1" applyBorder="1"/>
    <xf numFmtId="10" fontId="19" fillId="6" borderId="27" xfId="1" applyNumberFormat="1" applyFont="1" applyFill="1" applyBorder="1" applyAlignment="1">
      <alignment horizontal="center"/>
    </xf>
    <xf numFmtId="0" fontId="23" fillId="2" borderId="22" xfId="1" applyFont="1" applyFill="1" applyBorder="1" applyAlignment="1">
      <alignment horizontal="left" vertical="center" wrapText="1"/>
    </xf>
    <xf numFmtId="0" fontId="22" fillId="2" borderId="42" xfId="1" applyFont="1" applyFill="1" applyBorder="1"/>
    <xf numFmtId="0" fontId="22" fillId="2" borderId="57" xfId="1" applyFont="1" applyFill="1" applyBorder="1" applyAlignment="1">
      <alignment horizontal="center"/>
    </xf>
    <xf numFmtId="0" fontId="22" fillId="2" borderId="58" xfId="1" applyFont="1" applyFill="1" applyBorder="1" applyAlignment="1">
      <alignment horizontal="right"/>
    </xf>
    <xf numFmtId="0" fontId="23" fillId="2" borderId="43" xfId="1" applyFont="1" applyFill="1" applyBorder="1" applyAlignment="1">
      <alignment horizontal="left" vertical="center" wrapText="1"/>
    </xf>
    <xf numFmtId="2" fontId="22" fillId="2" borderId="4" xfId="1" applyNumberFormat="1" applyFont="1" applyFill="1" applyBorder="1" applyAlignment="1">
      <alignment horizontal="center"/>
    </xf>
    <xf numFmtId="10" fontId="22" fillId="2" borderId="28" xfId="1" applyNumberFormat="1" applyFont="1" applyFill="1" applyBorder="1" applyAlignment="1">
      <alignment horizontal="center"/>
    </xf>
    <xf numFmtId="2" fontId="22" fillId="2" borderId="3" xfId="1" applyNumberFormat="1" applyFont="1" applyFill="1" applyBorder="1" applyAlignment="1">
      <alignment horizontal="center"/>
    </xf>
    <xf numFmtId="10" fontId="22" fillId="2" borderId="24" xfId="1" applyNumberFormat="1" applyFont="1" applyFill="1" applyBorder="1" applyAlignment="1">
      <alignment horizontal="center"/>
    </xf>
    <xf numFmtId="2" fontId="22" fillId="2" borderId="5" xfId="1" applyNumberFormat="1" applyFont="1" applyFill="1" applyBorder="1" applyAlignment="1">
      <alignment horizontal="center"/>
    </xf>
    <xf numFmtId="10" fontId="22" fillId="2" borderId="33" xfId="1" applyNumberFormat="1" applyFont="1" applyFill="1" applyBorder="1" applyAlignment="1">
      <alignment horizontal="center"/>
    </xf>
    <xf numFmtId="10" fontId="20" fillId="7" borderId="27" xfId="1" applyNumberFormat="1" applyFont="1" applyFill="1" applyBorder="1" applyAlignment="1">
      <alignment horizontal="center"/>
    </xf>
    <xf numFmtId="10" fontId="20" fillId="6" borderId="27" xfId="1" applyNumberFormat="1" applyFont="1" applyFill="1" applyBorder="1" applyAlignment="1">
      <alignment horizontal="center"/>
    </xf>
    <xf numFmtId="0" fontId="20" fillId="7" borderId="17" xfId="1" applyFont="1" applyFill="1" applyBorder="1" applyAlignment="1">
      <alignment horizontal="center"/>
    </xf>
    <xf numFmtId="165" fontId="20" fillId="2" borderId="0" xfId="1" applyNumberFormat="1" applyFont="1" applyFill="1" applyAlignment="1">
      <alignment horizontal="center"/>
    </xf>
    <xf numFmtId="1" fontId="20" fillId="3" borderId="31" xfId="1" applyNumberFormat="1" applyFont="1" applyFill="1" applyBorder="1" applyAlignment="1" applyProtection="1">
      <alignment horizontal="center"/>
      <protection locked="0"/>
    </xf>
    <xf numFmtId="1" fontId="20" fillId="3" borderId="35" xfId="1" applyNumberFormat="1" applyFont="1" applyFill="1" applyBorder="1" applyAlignment="1" applyProtection="1">
      <alignment horizontal="center"/>
      <protection locked="0"/>
    </xf>
    <xf numFmtId="0" fontId="23" fillId="2" borderId="9" xfId="1" applyFont="1" applyFill="1" applyBorder="1" applyAlignment="1">
      <alignment horizontal="left" vertical="center" wrapText="1"/>
    </xf>
    <xf numFmtId="0" fontId="22" fillId="2" borderId="9" xfId="1" applyFont="1" applyFill="1" applyBorder="1"/>
    <xf numFmtId="0" fontId="19" fillId="2" borderId="10" xfId="1" applyFont="1" applyFill="1" applyBorder="1" applyAlignment="1">
      <alignment horizontal="center"/>
    </xf>
    <xf numFmtId="0" fontId="22" fillId="2" borderId="10" xfId="1" applyFont="1" applyFill="1" applyBorder="1" applyAlignment="1">
      <alignment horizontal="center"/>
    </xf>
    <xf numFmtId="0" fontId="22" fillId="2" borderId="7" xfId="1" applyFont="1" applyFill="1" applyBorder="1" applyProtection="1">
      <protection locked="0"/>
    </xf>
    <xf numFmtId="0" fontId="22" fillId="2" borderId="7" xfId="1" applyFont="1" applyFill="1" applyBorder="1"/>
    <xf numFmtId="0" fontId="19" fillId="2" borderId="11" xfId="1" applyFont="1" applyFill="1" applyBorder="1" applyProtection="1">
      <protection locked="0"/>
    </xf>
    <xf numFmtId="0" fontId="19" fillId="2" borderId="11" xfId="1" applyFont="1" applyFill="1" applyBorder="1"/>
    <xf numFmtId="0" fontId="22" fillId="2" borderId="11" xfId="1" applyFont="1" applyFill="1" applyBorder="1"/>
    <xf numFmtId="0" fontId="31" fillId="2" borderId="9" xfId="0" applyFont="1" applyFill="1" applyBorder="1"/>
    <xf numFmtId="2" fontId="7" fillId="3" borderId="0" xfId="0" applyNumberFormat="1" applyFont="1" applyFill="1" applyBorder="1" applyAlignment="1" applyProtection="1">
      <alignment horizontal="center"/>
      <protection locked="0"/>
    </xf>
    <xf numFmtId="0" fontId="6" fillId="2" borderId="0" xfId="0" applyFont="1" applyFill="1" applyBorder="1"/>
    <xf numFmtId="0" fontId="2" fillId="2" borderId="0" xfId="0" applyFont="1" applyFill="1" applyBorder="1"/>
    <xf numFmtId="0" fontId="1" fillId="2" borderId="0" xfId="0" applyFont="1" applyFill="1" applyBorder="1"/>
  </cellXfs>
  <cellStyles count="2">
    <cellStyle name="Normal" xfId="0" builtinId="0"/>
    <cellStyle name="Normal 2" xfId="1"/>
  </cellStyles>
  <dxfs count="21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workbookViewId="0">
      <selection activeCell="B19" sqref="B1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5.7109375" style="99" customWidth="1"/>
    <col min="7" max="7" width="23.140625" style="4" customWidth="1"/>
    <col min="8" max="8" width="28.42578125" style="4" customWidth="1"/>
    <col min="9" max="9" width="21.5703125" style="4" customWidth="1"/>
    <col min="10" max="10" width="9.140625" style="4" customWidth="1"/>
  </cols>
  <sheetData>
    <row r="14" spans="1:7" ht="15" customHeight="1" x14ac:dyDescent="0.3">
      <c r="A14" s="1"/>
      <c r="B14" s="2"/>
      <c r="C14" s="3"/>
      <c r="D14" s="2"/>
      <c r="G14" s="3"/>
    </row>
    <row r="15" spans="1:7" ht="18.75" customHeight="1" x14ac:dyDescent="0.3">
      <c r="A15" s="100" t="s">
        <v>0</v>
      </c>
      <c r="B15" s="100"/>
      <c r="C15" s="100"/>
      <c r="D15" s="100"/>
      <c r="E15" s="100"/>
      <c r="F15" s="5"/>
    </row>
    <row r="16" spans="1:7" ht="16.5" customHeight="1" x14ac:dyDescent="0.3">
      <c r="A16" s="6" t="s">
        <v>1</v>
      </c>
      <c r="B16" s="7" t="s">
        <v>120</v>
      </c>
    </row>
    <row r="17" spans="1:7" ht="16.5" customHeight="1" x14ac:dyDescent="0.3">
      <c r="A17" s="8" t="s">
        <v>2</v>
      </c>
      <c r="B17" s="9" t="s">
        <v>4</v>
      </c>
      <c r="D17" s="10"/>
      <c r="E17" s="11"/>
      <c r="F17" s="72"/>
    </row>
    <row r="18" spans="1:7" ht="16.5" customHeight="1" x14ac:dyDescent="0.3">
      <c r="A18" s="12" t="s">
        <v>3</v>
      </c>
      <c r="B18" s="13" t="s">
        <v>8</v>
      </c>
      <c r="C18" s="11"/>
      <c r="D18" s="11"/>
      <c r="E18" s="11"/>
      <c r="F18" s="72"/>
    </row>
    <row r="19" spans="1:7" ht="16.5" customHeight="1" x14ac:dyDescent="0.3">
      <c r="A19" s="12" t="s">
        <v>5</v>
      </c>
      <c r="B19" s="13">
        <v>82.3</v>
      </c>
      <c r="C19" s="11"/>
      <c r="D19" s="11"/>
      <c r="E19" s="11"/>
      <c r="F19" s="72"/>
    </row>
    <row r="20" spans="1:7" ht="16.5" customHeight="1" x14ac:dyDescent="0.3">
      <c r="A20" s="8" t="s">
        <v>7</v>
      </c>
      <c r="B20" s="13">
        <v>14.653</v>
      </c>
      <c r="C20" s="11"/>
      <c r="D20" s="11"/>
      <c r="E20" s="11"/>
      <c r="F20" s="72"/>
    </row>
    <row r="21" spans="1:7" ht="16.5" customHeight="1" x14ac:dyDescent="0.3">
      <c r="A21" s="8" t="s">
        <v>9</v>
      </c>
      <c r="B21" s="14">
        <f>B20/50</f>
        <v>0.29305999999999999</v>
      </c>
      <c r="C21" s="11"/>
      <c r="D21" s="11"/>
      <c r="E21" s="11"/>
      <c r="F21" s="72"/>
    </row>
    <row r="22" spans="1:7" ht="15.75" customHeight="1" x14ac:dyDescent="0.25">
      <c r="A22" s="11"/>
      <c r="B22" s="11"/>
      <c r="C22" s="11"/>
      <c r="D22" s="11"/>
      <c r="E22" s="11"/>
      <c r="F22" s="72"/>
    </row>
    <row r="23" spans="1:7" ht="16.5" customHeight="1" x14ac:dyDescent="0.3">
      <c r="A23" s="15" t="s">
        <v>12</v>
      </c>
      <c r="B23" s="16" t="s">
        <v>13</v>
      </c>
      <c r="C23" s="15" t="s">
        <v>14</v>
      </c>
      <c r="D23" s="15" t="s">
        <v>15</v>
      </c>
      <c r="E23" s="17" t="s">
        <v>16</v>
      </c>
      <c r="F23" s="17" t="s">
        <v>125</v>
      </c>
    </row>
    <row r="24" spans="1:7" ht="16.5" customHeight="1" x14ac:dyDescent="0.3">
      <c r="A24" s="18">
        <v>1</v>
      </c>
      <c r="B24" s="19">
        <v>87393124</v>
      </c>
      <c r="C24" s="19">
        <v>8612</v>
      </c>
      <c r="D24" s="20">
        <v>1</v>
      </c>
      <c r="E24" s="21">
        <v>13.6</v>
      </c>
      <c r="F24" s="309">
        <v>0</v>
      </c>
    </row>
    <row r="25" spans="1:7" ht="16.5" customHeight="1" x14ac:dyDescent="0.3">
      <c r="A25" s="18">
        <v>2</v>
      </c>
      <c r="B25" s="19">
        <v>87301760</v>
      </c>
      <c r="C25" s="19">
        <v>8592</v>
      </c>
      <c r="D25" s="20">
        <v>1</v>
      </c>
      <c r="E25" s="20">
        <v>13.6</v>
      </c>
      <c r="F25" s="309">
        <v>0</v>
      </c>
    </row>
    <row r="26" spans="1:7" ht="16.5" customHeight="1" x14ac:dyDescent="0.3">
      <c r="A26" s="18">
        <v>3</v>
      </c>
      <c r="B26" s="19">
        <v>87384333</v>
      </c>
      <c r="C26" s="19">
        <v>8570</v>
      </c>
      <c r="D26" s="20">
        <v>1.1000000000000001</v>
      </c>
      <c r="E26" s="20">
        <v>13.6</v>
      </c>
      <c r="F26" s="309">
        <v>0</v>
      </c>
    </row>
    <row r="27" spans="1:7" ht="16.5" customHeight="1" x14ac:dyDescent="0.3">
      <c r="A27" s="18">
        <v>4</v>
      </c>
      <c r="B27" s="19">
        <v>87340161</v>
      </c>
      <c r="C27" s="19">
        <v>8554</v>
      </c>
      <c r="D27" s="20">
        <v>1.1000000000000001</v>
      </c>
      <c r="E27" s="20">
        <v>13.6</v>
      </c>
      <c r="F27" s="309">
        <v>0</v>
      </c>
    </row>
    <row r="28" spans="1:7" ht="16.5" customHeight="1" x14ac:dyDescent="0.3">
      <c r="A28" s="18">
        <v>5</v>
      </c>
      <c r="B28" s="19">
        <v>87324347</v>
      </c>
      <c r="C28" s="19">
        <v>8536</v>
      </c>
      <c r="D28" s="20">
        <v>1.1000000000000001</v>
      </c>
      <c r="E28" s="20">
        <v>13.6</v>
      </c>
      <c r="F28" s="309">
        <v>0</v>
      </c>
    </row>
    <row r="29" spans="1:7" ht="16.5" customHeight="1" x14ac:dyDescent="0.3">
      <c r="A29" s="18">
        <v>6</v>
      </c>
      <c r="B29" s="22">
        <v>87247105</v>
      </c>
      <c r="C29" s="22">
        <v>8525</v>
      </c>
      <c r="D29" s="23">
        <v>1.1000000000000001</v>
      </c>
      <c r="E29" s="23">
        <v>13.6</v>
      </c>
      <c r="F29" s="309">
        <v>0</v>
      </c>
    </row>
    <row r="30" spans="1:7" ht="16.5" customHeight="1" x14ac:dyDescent="0.3">
      <c r="A30" s="24" t="s">
        <v>17</v>
      </c>
      <c r="B30" s="25">
        <f>AVERAGE(B24:B29)</f>
        <v>87331805</v>
      </c>
      <c r="C30" s="26">
        <f>AVERAGE(C24:C29)</f>
        <v>8564.8333333333339</v>
      </c>
      <c r="D30" s="27">
        <f>AVERAGE(D24:D29)</f>
        <v>1.0666666666666667</v>
      </c>
      <c r="E30" s="27">
        <f>AVERAGE(E24:E29)</f>
        <v>13.6</v>
      </c>
      <c r="F30" s="27">
        <f>AVERAGE(F24:F29)</f>
        <v>0</v>
      </c>
    </row>
    <row r="31" spans="1:7" ht="16.5" customHeight="1" x14ac:dyDescent="0.3">
      <c r="A31" s="28" t="s">
        <v>18</v>
      </c>
      <c r="B31" s="29">
        <f>(STDEV(B24:B29)/B30)</f>
        <v>6.2132354627107049E-4</v>
      </c>
      <c r="C31" s="30"/>
      <c r="D31" s="30"/>
      <c r="E31" s="31"/>
      <c r="F31" s="310"/>
      <c r="G31" s="2"/>
    </row>
    <row r="32" spans="1:7" s="2" customFormat="1" ht="16.5" customHeight="1" x14ac:dyDescent="0.3">
      <c r="A32" s="32" t="s">
        <v>19</v>
      </c>
      <c r="B32" s="33">
        <f>COUNT(B24:B29)</f>
        <v>6</v>
      </c>
      <c r="C32" s="34"/>
      <c r="D32" s="35"/>
      <c r="E32" s="36"/>
      <c r="F32" s="36"/>
    </row>
    <row r="33" spans="1:7" s="2" customFormat="1" ht="15.75" customHeight="1" x14ac:dyDescent="0.25">
      <c r="A33" s="11"/>
      <c r="B33" s="11"/>
      <c r="C33" s="11"/>
      <c r="D33" s="11"/>
      <c r="E33" s="37"/>
      <c r="F33" s="72"/>
    </row>
    <row r="34" spans="1:7" s="2" customFormat="1" ht="16.5" customHeight="1" x14ac:dyDescent="0.3">
      <c r="A34" s="12" t="s">
        <v>20</v>
      </c>
      <c r="B34" s="38" t="s">
        <v>21</v>
      </c>
      <c r="C34" s="39"/>
      <c r="D34" s="39"/>
      <c r="E34" s="40"/>
      <c r="F34" s="40"/>
    </row>
    <row r="35" spans="1:7" ht="16.5" customHeight="1" x14ac:dyDescent="0.3">
      <c r="A35" s="12"/>
      <c r="B35" s="38" t="s">
        <v>22</v>
      </c>
      <c r="C35" s="39"/>
      <c r="D35" s="39"/>
      <c r="E35" s="40"/>
      <c r="F35" s="40"/>
      <c r="G35" s="2"/>
    </row>
    <row r="36" spans="1:7" ht="16.5" customHeight="1" x14ac:dyDescent="0.3">
      <c r="A36" s="12"/>
      <c r="B36" s="41" t="s">
        <v>23</v>
      </c>
      <c r="C36" s="39"/>
      <c r="D36" s="39"/>
      <c r="E36" s="39"/>
      <c r="F36" s="40"/>
    </row>
    <row r="37" spans="1:7" ht="15.75" customHeight="1" thickBot="1" x14ac:dyDescent="0.35">
      <c r="A37" s="11"/>
      <c r="B37" s="308" t="s">
        <v>122</v>
      </c>
      <c r="C37" s="11"/>
      <c r="D37" s="11"/>
      <c r="E37" s="11"/>
      <c r="F37" s="72"/>
    </row>
    <row r="38" spans="1:7" ht="16.5" customHeight="1" x14ac:dyDescent="0.3">
      <c r="A38" s="6" t="s">
        <v>1</v>
      </c>
      <c r="B38" s="59" t="s">
        <v>121</v>
      </c>
    </row>
    <row r="39" spans="1:7" ht="16.5" customHeight="1" x14ac:dyDescent="0.3">
      <c r="A39" s="12" t="s">
        <v>3</v>
      </c>
      <c r="B39" s="13" t="s">
        <v>8</v>
      </c>
      <c r="C39" s="11"/>
      <c r="D39" s="11"/>
      <c r="E39" s="11"/>
      <c r="F39" s="72"/>
    </row>
    <row r="40" spans="1:7" ht="16.5" customHeight="1" x14ac:dyDescent="0.3">
      <c r="A40" s="12" t="s">
        <v>5</v>
      </c>
      <c r="B40" s="13">
        <v>82.3</v>
      </c>
      <c r="C40" s="11"/>
      <c r="D40" s="11"/>
      <c r="E40" s="11"/>
      <c r="F40" s="72"/>
    </row>
    <row r="41" spans="1:7" ht="16.5" customHeight="1" x14ac:dyDescent="0.3">
      <c r="A41" s="8" t="s">
        <v>7</v>
      </c>
      <c r="B41" s="13">
        <v>14.65</v>
      </c>
      <c r="C41" s="11"/>
      <c r="D41" s="11"/>
      <c r="E41" s="11"/>
      <c r="F41" s="72"/>
    </row>
    <row r="42" spans="1:7" ht="16.5" customHeight="1" x14ac:dyDescent="0.3">
      <c r="A42" s="8" t="s">
        <v>9</v>
      </c>
      <c r="B42" s="14">
        <f>B41/50</f>
        <v>0.29299999999999998</v>
      </c>
      <c r="C42" s="11"/>
      <c r="D42" s="11"/>
      <c r="E42" s="11"/>
      <c r="F42" s="72"/>
    </row>
    <row r="43" spans="1:7" ht="15.75" customHeight="1" x14ac:dyDescent="0.25">
      <c r="A43" s="11"/>
      <c r="B43" s="11"/>
      <c r="C43" s="11"/>
      <c r="D43" s="11"/>
      <c r="E43" s="11"/>
      <c r="F43" s="72"/>
    </row>
    <row r="44" spans="1:7" ht="16.5" customHeight="1" x14ac:dyDescent="0.3">
      <c r="A44" s="15" t="s">
        <v>12</v>
      </c>
      <c r="B44" s="16" t="s">
        <v>13</v>
      </c>
      <c r="C44" s="15" t="s">
        <v>14</v>
      </c>
      <c r="D44" s="15" t="s">
        <v>15</v>
      </c>
      <c r="E44" s="17" t="s">
        <v>16</v>
      </c>
      <c r="F44" s="17" t="s">
        <v>125</v>
      </c>
    </row>
    <row r="45" spans="1:7" ht="16.5" customHeight="1" x14ac:dyDescent="0.3">
      <c r="A45" s="18">
        <v>1</v>
      </c>
      <c r="B45" s="19">
        <v>91360348</v>
      </c>
      <c r="C45" s="19">
        <v>8349</v>
      </c>
      <c r="D45" s="20">
        <v>1</v>
      </c>
      <c r="E45" s="21">
        <v>15.5</v>
      </c>
      <c r="F45" s="309">
        <v>3</v>
      </c>
    </row>
    <row r="46" spans="1:7" ht="16.5" customHeight="1" x14ac:dyDescent="0.3">
      <c r="A46" s="18">
        <v>2</v>
      </c>
      <c r="B46" s="19">
        <v>91257729</v>
      </c>
      <c r="C46" s="19">
        <v>8330</v>
      </c>
      <c r="D46" s="20">
        <v>1</v>
      </c>
      <c r="E46" s="20">
        <v>15.5</v>
      </c>
      <c r="F46" s="309">
        <v>2.9</v>
      </c>
    </row>
    <row r="47" spans="1:7" ht="16.5" customHeight="1" x14ac:dyDescent="0.3">
      <c r="A47" s="18">
        <v>3</v>
      </c>
      <c r="B47" s="19">
        <v>91296329</v>
      </c>
      <c r="C47" s="19">
        <v>8287</v>
      </c>
      <c r="D47" s="20">
        <v>1</v>
      </c>
      <c r="E47" s="20">
        <v>15.5</v>
      </c>
      <c r="F47" s="309">
        <v>3</v>
      </c>
    </row>
    <row r="48" spans="1:7" ht="16.5" customHeight="1" x14ac:dyDescent="0.3">
      <c r="A48" s="18">
        <v>4</v>
      </c>
      <c r="B48" s="19">
        <v>91213565</v>
      </c>
      <c r="C48" s="19">
        <v>8276</v>
      </c>
      <c r="D48" s="20">
        <v>1</v>
      </c>
      <c r="E48" s="20">
        <v>15.5</v>
      </c>
      <c r="F48" s="309">
        <v>2.9</v>
      </c>
    </row>
    <row r="49" spans="1:8" ht="16.5" customHeight="1" x14ac:dyDescent="0.3">
      <c r="A49" s="18">
        <v>5</v>
      </c>
      <c r="B49" s="19">
        <v>91217257</v>
      </c>
      <c r="C49" s="19">
        <v>8273</v>
      </c>
      <c r="D49" s="20">
        <v>1</v>
      </c>
      <c r="E49" s="20">
        <v>15.5</v>
      </c>
      <c r="F49" s="309">
        <v>2.9</v>
      </c>
    </row>
    <row r="50" spans="1:8" ht="16.5" customHeight="1" x14ac:dyDescent="0.3">
      <c r="A50" s="18">
        <v>6</v>
      </c>
      <c r="B50" s="22">
        <v>91097467</v>
      </c>
      <c r="C50" s="22">
        <v>8247</v>
      </c>
      <c r="D50" s="23">
        <v>1</v>
      </c>
      <c r="E50" s="23">
        <v>15.5</v>
      </c>
      <c r="F50" s="309">
        <v>2.9</v>
      </c>
    </row>
    <row r="51" spans="1:8" ht="16.5" customHeight="1" x14ac:dyDescent="0.3">
      <c r="A51" s="24" t="s">
        <v>17</v>
      </c>
      <c r="B51" s="25">
        <f>AVERAGE(B45:B50)</f>
        <v>91240449.166666672</v>
      </c>
      <c r="C51" s="26">
        <f>AVERAGE(C45:C50)</f>
        <v>8293.6666666666661</v>
      </c>
      <c r="D51" s="27">
        <f>AVERAGE(D45:D50)</f>
        <v>1</v>
      </c>
      <c r="E51" s="27">
        <f>AVERAGE(E45:E50)</f>
        <v>15.5</v>
      </c>
      <c r="F51" s="27">
        <f>AVERAGE(F45:F50)</f>
        <v>2.9333333333333336</v>
      </c>
    </row>
    <row r="52" spans="1:8" ht="16.5" customHeight="1" x14ac:dyDescent="0.3">
      <c r="A52" s="28" t="s">
        <v>18</v>
      </c>
      <c r="B52" s="29">
        <f>(STDEV(B45:B50)/B51)</f>
        <v>9.7416809589859438E-4</v>
      </c>
      <c r="C52" s="30"/>
      <c r="D52" s="30"/>
      <c r="E52" s="31"/>
      <c r="F52" s="310"/>
      <c r="G52" s="2"/>
    </row>
    <row r="53" spans="1:8" s="2" customFormat="1" ht="16.5" customHeight="1" x14ac:dyDescent="0.3">
      <c r="A53" s="32" t="s">
        <v>19</v>
      </c>
      <c r="B53" s="33">
        <f>COUNT(B45:B50)</f>
        <v>6</v>
      </c>
      <c r="C53" s="34"/>
      <c r="D53" s="35"/>
      <c r="E53" s="36"/>
      <c r="F53" s="36"/>
    </row>
    <row r="54" spans="1:8" s="2" customFormat="1" ht="15.75" customHeight="1" x14ac:dyDescent="0.25">
      <c r="A54" s="11"/>
      <c r="B54" s="11"/>
      <c r="C54" s="11"/>
      <c r="D54" s="11"/>
      <c r="E54" s="37"/>
      <c r="F54" s="72"/>
    </row>
    <row r="55" spans="1:8" s="2" customFormat="1" ht="16.5" customHeight="1" x14ac:dyDescent="0.3">
      <c r="A55" s="12" t="s">
        <v>20</v>
      </c>
      <c r="B55" s="38" t="s">
        <v>21</v>
      </c>
      <c r="C55" s="39"/>
      <c r="D55" s="39"/>
      <c r="E55" s="40"/>
      <c r="F55" s="40"/>
    </row>
    <row r="56" spans="1:8" ht="16.5" customHeight="1" x14ac:dyDescent="0.3">
      <c r="A56" s="12"/>
      <c r="B56" s="38" t="s">
        <v>22</v>
      </c>
      <c r="C56" s="39"/>
      <c r="D56" s="39"/>
      <c r="E56" s="40"/>
      <c r="F56" s="40"/>
      <c r="G56" s="2"/>
    </row>
    <row r="57" spans="1:8" ht="16.5" customHeight="1" x14ac:dyDescent="0.3">
      <c r="A57" s="12"/>
      <c r="B57" s="41" t="s">
        <v>23</v>
      </c>
      <c r="C57" s="39"/>
      <c r="D57" s="40"/>
      <c r="E57" s="39"/>
      <c r="F57" s="40"/>
    </row>
    <row r="58" spans="1:8" ht="14.25" customHeight="1" thickBot="1" x14ac:dyDescent="0.35">
      <c r="A58" s="42"/>
      <c r="B58" s="308" t="s">
        <v>122</v>
      </c>
      <c r="D58" s="43"/>
      <c r="G58" s="44"/>
      <c r="H58" s="44"/>
    </row>
    <row r="59" spans="1:8" ht="15" customHeight="1" x14ac:dyDescent="0.3">
      <c r="B59" s="101" t="s">
        <v>24</v>
      </c>
      <c r="C59" s="101"/>
      <c r="E59" s="45" t="s">
        <v>25</v>
      </c>
      <c r="F59" s="45"/>
      <c r="G59" s="46"/>
      <c r="H59" s="45" t="s">
        <v>26</v>
      </c>
    </row>
    <row r="60" spans="1:8" ht="15" customHeight="1" x14ac:dyDescent="0.3">
      <c r="A60" s="47" t="s">
        <v>27</v>
      </c>
      <c r="B60" s="48" t="s">
        <v>123</v>
      </c>
      <c r="C60" s="48"/>
      <c r="E60" s="48" t="s">
        <v>124</v>
      </c>
      <c r="F60" s="311"/>
      <c r="G60" s="2"/>
      <c r="H60" s="49"/>
    </row>
    <row r="61" spans="1:8" ht="15" customHeight="1" x14ac:dyDescent="0.3">
      <c r="A61" s="47" t="s">
        <v>28</v>
      </c>
      <c r="B61" s="50"/>
      <c r="C61" s="50"/>
      <c r="E61" s="50"/>
      <c r="F61" s="312"/>
      <c r="G61" s="2"/>
      <c r="H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C21" sqref="C21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105" t="s">
        <v>29</v>
      </c>
      <c r="B11" s="106"/>
      <c r="C11" s="106"/>
      <c r="D11" s="106"/>
      <c r="E11" s="106"/>
      <c r="F11" s="107"/>
      <c r="G11" s="91"/>
    </row>
    <row r="12" spans="1:7" ht="16.5" customHeight="1" x14ac:dyDescent="0.3">
      <c r="A12" s="104" t="s">
        <v>30</v>
      </c>
      <c r="B12" s="104"/>
      <c r="C12" s="104"/>
      <c r="D12" s="104"/>
      <c r="E12" s="104"/>
      <c r="F12" s="104"/>
      <c r="G12" s="90"/>
    </row>
    <row r="14" spans="1:7" ht="16.5" customHeight="1" x14ac:dyDescent="0.3">
      <c r="A14" s="109" t="s">
        <v>31</v>
      </c>
      <c r="B14" s="109"/>
      <c r="C14" s="60" t="s">
        <v>4</v>
      </c>
    </row>
    <row r="15" spans="1:7" ht="16.5" customHeight="1" x14ac:dyDescent="0.3">
      <c r="A15" s="109" t="s">
        <v>32</v>
      </c>
      <c r="B15" s="109"/>
      <c r="C15" s="60" t="s">
        <v>6</v>
      </c>
    </row>
    <row r="16" spans="1:7" ht="16.5" customHeight="1" x14ac:dyDescent="0.3">
      <c r="A16" s="109" t="s">
        <v>33</v>
      </c>
      <c r="B16" s="109"/>
      <c r="C16" s="60" t="s">
        <v>8</v>
      </c>
    </row>
    <row r="17" spans="1:5" ht="16.5" customHeight="1" x14ac:dyDescent="0.3">
      <c r="A17" s="109" t="s">
        <v>34</v>
      </c>
      <c r="B17" s="109"/>
      <c r="C17" s="60" t="s">
        <v>10</v>
      </c>
    </row>
    <row r="18" spans="1:5" ht="16.5" customHeight="1" x14ac:dyDescent="0.3">
      <c r="A18" s="109" t="s">
        <v>35</v>
      </c>
      <c r="B18" s="109"/>
      <c r="C18" s="97" t="s">
        <v>11</v>
      </c>
    </row>
    <row r="19" spans="1:5" ht="16.5" customHeight="1" x14ac:dyDescent="0.3">
      <c r="A19" s="109" t="s">
        <v>36</v>
      </c>
      <c r="B19" s="109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104" t="s">
        <v>1</v>
      </c>
      <c r="B21" s="104"/>
      <c r="C21" s="59" t="s">
        <v>37</v>
      </c>
      <c r="D21" s="66"/>
    </row>
    <row r="22" spans="1:5" ht="15.75" customHeight="1" x14ac:dyDescent="0.3">
      <c r="A22" s="108"/>
      <c r="B22" s="108"/>
      <c r="C22" s="57"/>
      <c r="D22" s="108"/>
      <c r="E22" s="108"/>
    </row>
    <row r="23" spans="1:5" ht="33.75" customHeight="1" x14ac:dyDescent="0.3">
      <c r="C23" s="86" t="s">
        <v>38</v>
      </c>
      <c r="D23" s="85" t="s">
        <v>39</v>
      </c>
      <c r="E23" s="52"/>
    </row>
    <row r="24" spans="1:5" ht="15.75" customHeight="1" x14ac:dyDescent="0.3">
      <c r="C24" s="95">
        <v>907.01</v>
      </c>
      <c r="D24" s="87">
        <f t="shared" ref="D24:D43" si="0">(C24-$C$46)/$C$46</f>
        <v>-7.9337083893210557E-3</v>
      </c>
      <c r="E24" s="53"/>
    </row>
    <row r="25" spans="1:5" ht="15.75" customHeight="1" x14ac:dyDescent="0.3">
      <c r="C25" s="95">
        <v>900.08</v>
      </c>
      <c r="D25" s="88">
        <f t="shared" si="0"/>
        <v>-1.5513580056515415E-2</v>
      </c>
      <c r="E25" s="53"/>
    </row>
    <row r="26" spans="1:5" ht="15.75" customHeight="1" x14ac:dyDescent="0.3">
      <c r="C26" s="95">
        <v>906.57</v>
      </c>
      <c r="D26" s="88">
        <f t="shared" si="0"/>
        <v>-8.4149700824761916E-3</v>
      </c>
      <c r="E26" s="53"/>
    </row>
    <row r="27" spans="1:5" ht="15.75" customHeight="1" x14ac:dyDescent="0.3">
      <c r="C27" s="95">
        <v>922.97</v>
      </c>
      <c r="D27" s="88">
        <f t="shared" si="0"/>
        <v>9.5229657533085436E-3</v>
      </c>
      <c r="E27" s="53"/>
    </row>
    <row r="28" spans="1:5" ht="15.75" customHeight="1" x14ac:dyDescent="0.3">
      <c r="C28" s="95">
        <v>895.98</v>
      </c>
      <c r="D28" s="88">
        <f t="shared" si="0"/>
        <v>-1.9998064015461628E-2</v>
      </c>
      <c r="E28" s="53"/>
    </row>
    <row r="29" spans="1:5" ht="15.75" customHeight="1" x14ac:dyDescent="0.3">
      <c r="C29" s="95">
        <v>968.2</v>
      </c>
      <c r="D29" s="88">
        <f t="shared" si="0"/>
        <v>5.8994480256512508E-2</v>
      </c>
      <c r="E29" s="53"/>
    </row>
    <row r="30" spans="1:5" ht="15.75" customHeight="1" x14ac:dyDescent="0.3">
      <c r="C30" s="95">
        <v>889.71</v>
      </c>
      <c r="D30" s="88">
        <f t="shared" si="0"/>
        <v>-2.6856043142923221E-2</v>
      </c>
      <c r="E30" s="53"/>
    </row>
    <row r="31" spans="1:5" ht="15.75" customHeight="1" x14ac:dyDescent="0.3">
      <c r="C31" s="95">
        <v>920.08</v>
      </c>
      <c r="D31" s="88">
        <f t="shared" si="0"/>
        <v>6.3619514505391704E-3</v>
      </c>
      <c r="E31" s="53"/>
    </row>
    <row r="32" spans="1:5" ht="15.75" customHeight="1" x14ac:dyDescent="0.3">
      <c r="C32" s="95">
        <v>903.36</v>
      </c>
      <c r="D32" s="88">
        <f t="shared" si="0"/>
        <v>-1.1925992889358493E-2</v>
      </c>
      <c r="E32" s="53"/>
    </row>
    <row r="33" spans="1:7" ht="15.75" customHeight="1" x14ac:dyDescent="0.3">
      <c r="C33" s="95">
        <v>939.51</v>
      </c>
      <c r="D33" s="88">
        <f t="shared" si="0"/>
        <v>2.7614030309642646E-2</v>
      </c>
      <c r="E33" s="53"/>
    </row>
    <row r="34" spans="1:7" ht="15.75" customHeight="1" x14ac:dyDescent="0.3">
      <c r="C34" s="95">
        <v>913.99</v>
      </c>
      <c r="D34" s="88">
        <f t="shared" si="0"/>
        <v>-2.9914789335898535E-4</v>
      </c>
      <c r="E34" s="53"/>
    </row>
    <row r="35" spans="1:7" ht="15.75" customHeight="1" x14ac:dyDescent="0.3">
      <c r="C35" s="95">
        <v>933.71</v>
      </c>
      <c r="D35" s="88">
        <f t="shared" si="0"/>
        <v>2.1270126172596864E-2</v>
      </c>
      <c r="E35" s="53"/>
    </row>
    <row r="36" spans="1:7" ht="15.75" customHeight="1" x14ac:dyDescent="0.3">
      <c r="C36" s="95">
        <v>959.04</v>
      </c>
      <c r="D36" s="88">
        <f t="shared" si="0"/>
        <v>4.8975486826281417E-2</v>
      </c>
      <c r="E36" s="53"/>
    </row>
    <row r="37" spans="1:7" ht="15.75" customHeight="1" x14ac:dyDescent="0.3">
      <c r="C37" s="95">
        <v>927.86</v>
      </c>
      <c r="D37" s="88">
        <f t="shared" si="0"/>
        <v>1.4871533206783374E-2</v>
      </c>
      <c r="E37" s="53"/>
    </row>
    <row r="38" spans="1:7" ht="15.75" customHeight="1" x14ac:dyDescent="0.3">
      <c r="C38" s="95">
        <v>882.85</v>
      </c>
      <c r="D38" s="88">
        <f t="shared" si="0"/>
        <v>-3.4359350449842958E-2</v>
      </c>
      <c r="E38" s="53"/>
    </row>
    <row r="39" spans="1:7" ht="15.75" customHeight="1" x14ac:dyDescent="0.3">
      <c r="C39" s="95">
        <v>899.65</v>
      </c>
      <c r="D39" s="88">
        <f t="shared" si="0"/>
        <v>-1.5983903983917157E-2</v>
      </c>
      <c r="E39" s="53"/>
    </row>
    <row r="40" spans="1:7" ht="15.75" customHeight="1" x14ac:dyDescent="0.3">
      <c r="C40" s="95">
        <v>902.56</v>
      </c>
      <c r="D40" s="88">
        <f t="shared" si="0"/>
        <v>-1.2801014149640751E-2</v>
      </c>
      <c r="E40" s="53"/>
    </row>
    <row r="41" spans="1:7" ht="15.75" customHeight="1" x14ac:dyDescent="0.3">
      <c r="C41" s="95">
        <v>888.94</v>
      </c>
      <c r="D41" s="88">
        <f t="shared" si="0"/>
        <v>-2.7698251105944802E-2</v>
      </c>
      <c r="E41" s="53"/>
    </row>
    <row r="42" spans="1:7" ht="15.75" customHeight="1" x14ac:dyDescent="0.3">
      <c r="C42" s="95">
        <v>934.69</v>
      </c>
      <c r="D42" s="88">
        <f t="shared" si="0"/>
        <v>2.2342027216442559E-2</v>
      </c>
      <c r="E42" s="53"/>
    </row>
    <row r="43" spans="1:7" ht="16.5" customHeight="1" x14ac:dyDescent="0.3">
      <c r="C43" s="96">
        <v>888.51</v>
      </c>
      <c r="D43" s="89">
        <f t="shared" si="0"/>
        <v>-2.8168575033346546E-2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40</v>
      </c>
      <c r="C45" s="83">
        <f>SUM(C24:C44)</f>
        <v>18285.27</v>
      </c>
      <c r="D45" s="78"/>
      <c r="E45" s="54"/>
    </row>
    <row r="46" spans="1:7" ht="17.25" customHeight="1" x14ac:dyDescent="0.3">
      <c r="B46" s="82" t="s">
        <v>41</v>
      </c>
      <c r="C46" s="84">
        <f>AVERAGE(C24:C44)</f>
        <v>914.26350000000002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41</v>
      </c>
      <c r="C48" s="85" t="s">
        <v>42</v>
      </c>
      <c r="D48" s="80"/>
      <c r="G48" s="58"/>
    </row>
    <row r="49" spans="1:6" ht="17.25" customHeight="1" x14ac:dyDescent="0.3">
      <c r="B49" s="102">
        <f>C46</f>
        <v>914.26350000000002</v>
      </c>
      <c r="C49" s="93">
        <f>-IF(C46&lt;=80,10%,IF(C46&lt;250,7.5%,5%))</f>
        <v>-0.05</v>
      </c>
      <c r="D49" s="81">
        <f>IF(C46&lt;=80,C46*0.9,IF(C46&lt;250,C46*0.925,C46*0.95))</f>
        <v>868.55032499999993</v>
      </c>
    </row>
    <row r="50" spans="1:6" ht="17.25" customHeight="1" x14ac:dyDescent="0.3">
      <c r="B50" s="103"/>
      <c r="C50" s="94">
        <f>IF(C46&lt;=80, 10%, IF(C46&lt;250, 7.5%, 5%))</f>
        <v>0.05</v>
      </c>
      <c r="D50" s="81">
        <f>IF(C46&lt;=80, C46*1.1, IF(C46&lt;250, C46*1.075, C46*1.05))</f>
        <v>959.97667500000011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24</v>
      </c>
      <c r="C52" s="67"/>
      <c r="D52" s="68" t="s">
        <v>25</v>
      </c>
      <c r="E52" s="69"/>
      <c r="F52" s="68" t="s">
        <v>26</v>
      </c>
    </row>
    <row r="53" spans="1:6" ht="34.5" customHeight="1" x14ac:dyDescent="0.3">
      <c r="A53" s="70" t="s">
        <v>27</v>
      </c>
      <c r="B53" s="71"/>
      <c r="C53" s="72"/>
      <c r="D53" s="71"/>
      <c r="E53" s="61"/>
      <c r="F53" s="73"/>
    </row>
    <row r="54" spans="1:6" ht="34.5" customHeight="1" x14ac:dyDescent="0.3">
      <c r="A54" s="70" t="s">
        <v>28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25" zoomScale="50" zoomScaleNormal="75" zoomScaleSheetLayoutView="50" workbookViewId="0">
      <selection activeCell="B178" sqref="B178"/>
    </sheetView>
  </sheetViews>
  <sheetFormatPr defaultRowHeight="13.5" x14ac:dyDescent="0.25"/>
  <cols>
    <col min="1" max="1" width="55.42578125" style="115" customWidth="1"/>
    <col min="2" max="2" width="33.7109375" style="115" customWidth="1"/>
    <col min="3" max="3" width="42.28515625" style="115" customWidth="1"/>
    <col min="4" max="4" width="30.5703125" style="115" customWidth="1"/>
    <col min="5" max="5" width="39.85546875" style="115" customWidth="1"/>
    <col min="6" max="6" width="30.7109375" style="115" customWidth="1"/>
    <col min="7" max="7" width="39.85546875" style="115" customWidth="1"/>
    <col min="8" max="8" width="41.140625" style="115" customWidth="1"/>
    <col min="9" max="9" width="30.28515625" style="115" customWidth="1"/>
    <col min="10" max="10" width="30.42578125" style="115" customWidth="1"/>
    <col min="11" max="11" width="21.28515625" style="115" customWidth="1"/>
    <col min="12" max="12" width="9.140625" style="115" customWidth="1"/>
    <col min="13" max="16384" width="9.140625" style="121"/>
  </cols>
  <sheetData>
    <row r="1" spans="1:8" x14ac:dyDescent="0.25">
      <c r="A1" s="114" t="s">
        <v>43</v>
      </c>
      <c r="B1" s="114"/>
      <c r="C1" s="114"/>
      <c r="D1" s="114"/>
      <c r="E1" s="114"/>
      <c r="F1" s="114"/>
      <c r="G1" s="114"/>
      <c r="H1" s="114"/>
    </row>
    <row r="2" spans="1:8" x14ac:dyDescent="0.25">
      <c r="A2" s="114"/>
      <c r="B2" s="114"/>
      <c r="C2" s="114"/>
      <c r="D2" s="114"/>
      <c r="E2" s="114"/>
      <c r="F2" s="114"/>
      <c r="G2" s="114"/>
      <c r="H2" s="114"/>
    </row>
    <row r="3" spans="1:8" x14ac:dyDescent="0.25">
      <c r="A3" s="114"/>
      <c r="B3" s="114"/>
      <c r="C3" s="114"/>
      <c r="D3" s="114"/>
      <c r="E3" s="114"/>
      <c r="F3" s="114"/>
      <c r="G3" s="114"/>
      <c r="H3" s="114"/>
    </row>
    <row r="4" spans="1:8" x14ac:dyDescent="0.25">
      <c r="A4" s="114"/>
      <c r="B4" s="114"/>
      <c r="C4" s="114"/>
      <c r="D4" s="114"/>
      <c r="E4" s="114"/>
      <c r="F4" s="114"/>
      <c r="G4" s="114"/>
      <c r="H4" s="114"/>
    </row>
    <row r="5" spans="1:8" x14ac:dyDescent="0.25">
      <c r="A5" s="114"/>
      <c r="B5" s="114"/>
      <c r="C5" s="114"/>
      <c r="D5" s="114"/>
      <c r="E5" s="114"/>
      <c r="F5" s="114"/>
      <c r="G5" s="114"/>
      <c r="H5" s="114"/>
    </row>
    <row r="6" spans="1:8" x14ac:dyDescent="0.25">
      <c r="A6" s="114"/>
      <c r="B6" s="114"/>
      <c r="C6" s="114"/>
      <c r="D6" s="114"/>
      <c r="E6" s="114"/>
      <c r="F6" s="114"/>
      <c r="G6" s="114"/>
      <c r="H6" s="114"/>
    </row>
    <row r="7" spans="1:8" x14ac:dyDescent="0.25">
      <c r="A7" s="114"/>
      <c r="B7" s="114"/>
      <c r="C7" s="114"/>
      <c r="D7" s="114"/>
      <c r="E7" s="114"/>
      <c r="F7" s="114"/>
      <c r="G7" s="114"/>
      <c r="H7" s="114"/>
    </row>
    <row r="8" spans="1:8" x14ac:dyDescent="0.25">
      <c r="A8" s="116" t="s">
        <v>44</v>
      </c>
      <c r="B8" s="116"/>
      <c r="C8" s="116"/>
      <c r="D8" s="116"/>
      <c r="E8" s="116"/>
      <c r="F8" s="116"/>
      <c r="G8" s="116"/>
      <c r="H8" s="116"/>
    </row>
    <row r="9" spans="1:8" x14ac:dyDescent="0.25">
      <c r="A9" s="116"/>
      <c r="B9" s="116"/>
      <c r="C9" s="116"/>
      <c r="D9" s="116"/>
      <c r="E9" s="116"/>
      <c r="F9" s="116"/>
      <c r="G9" s="116"/>
      <c r="H9" s="116"/>
    </row>
    <row r="10" spans="1:8" x14ac:dyDescent="0.25">
      <c r="A10" s="116"/>
      <c r="B10" s="116"/>
      <c r="C10" s="116"/>
      <c r="D10" s="116"/>
      <c r="E10" s="116"/>
      <c r="F10" s="116"/>
      <c r="G10" s="116"/>
      <c r="H10" s="116"/>
    </row>
    <row r="11" spans="1:8" x14ac:dyDescent="0.25">
      <c r="A11" s="116"/>
      <c r="B11" s="116"/>
      <c r="C11" s="116"/>
      <c r="D11" s="116"/>
      <c r="E11" s="116"/>
      <c r="F11" s="116"/>
      <c r="G11" s="116"/>
      <c r="H11" s="116"/>
    </row>
    <row r="12" spans="1:8" x14ac:dyDescent="0.25">
      <c r="A12" s="116"/>
      <c r="B12" s="116"/>
      <c r="C12" s="116"/>
      <c r="D12" s="116"/>
      <c r="E12" s="116"/>
      <c r="F12" s="116"/>
      <c r="G12" s="116"/>
      <c r="H12" s="116"/>
    </row>
    <row r="13" spans="1:8" x14ac:dyDescent="0.25">
      <c r="A13" s="116"/>
      <c r="B13" s="116"/>
      <c r="C13" s="116"/>
      <c r="D13" s="116"/>
      <c r="E13" s="116"/>
      <c r="F13" s="116"/>
      <c r="G13" s="116"/>
      <c r="H13" s="116"/>
    </row>
    <row r="14" spans="1:8" x14ac:dyDescent="0.25">
      <c r="A14" s="116"/>
      <c r="B14" s="116"/>
      <c r="C14" s="116"/>
      <c r="D14" s="116"/>
      <c r="E14" s="116"/>
      <c r="F14" s="116"/>
      <c r="G14" s="116"/>
      <c r="H14" s="116"/>
    </row>
    <row r="15" spans="1:8" ht="19.5" customHeight="1" thickBot="1" x14ac:dyDescent="0.3"/>
    <row r="16" spans="1:8" ht="19.5" customHeight="1" thickBot="1" x14ac:dyDescent="0.3">
      <c r="A16" s="117" t="s">
        <v>29</v>
      </c>
      <c r="B16" s="118"/>
      <c r="C16" s="118"/>
      <c r="D16" s="118"/>
      <c r="E16" s="118"/>
      <c r="F16" s="118"/>
      <c r="G16" s="118"/>
      <c r="H16" s="119"/>
    </row>
    <row r="17" spans="1:14" ht="18.75" x14ac:dyDescent="0.3">
      <c r="A17" s="120" t="s">
        <v>45</v>
      </c>
      <c r="B17" s="120"/>
    </row>
    <row r="18" spans="1:14" ht="26.25" customHeight="1" x14ac:dyDescent="0.4">
      <c r="A18" s="122" t="s">
        <v>31</v>
      </c>
      <c r="B18" s="110" t="s">
        <v>4</v>
      </c>
      <c r="C18" s="110"/>
      <c r="D18" s="123"/>
      <c r="E18" s="123"/>
    </row>
    <row r="19" spans="1:14" ht="26.25" x14ac:dyDescent="0.4">
      <c r="A19" s="122" t="s">
        <v>32</v>
      </c>
      <c r="B19" s="124" t="s">
        <v>6</v>
      </c>
      <c r="C19" s="125">
        <v>24</v>
      </c>
    </row>
    <row r="20" spans="1:14" ht="18.75" x14ac:dyDescent="0.3">
      <c r="A20" s="122" t="s">
        <v>33</v>
      </c>
      <c r="B20" s="126" t="s">
        <v>118</v>
      </c>
    </row>
    <row r="21" spans="1:14" ht="26.25" customHeight="1" x14ac:dyDescent="0.4">
      <c r="A21" s="122" t="s">
        <v>34</v>
      </c>
      <c r="B21" s="127" t="s">
        <v>119</v>
      </c>
      <c r="C21" s="127"/>
      <c r="D21" s="127"/>
      <c r="E21" s="127"/>
      <c r="F21" s="127"/>
      <c r="G21" s="127"/>
      <c r="H21" s="127"/>
      <c r="I21" s="128"/>
    </row>
    <row r="22" spans="1:14" ht="26.25" x14ac:dyDescent="0.4">
      <c r="A22" s="122" t="s">
        <v>35</v>
      </c>
      <c r="B22" s="98">
        <v>43340</v>
      </c>
    </row>
    <row r="23" spans="1:14" ht="26.25" x14ac:dyDescent="0.4">
      <c r="A23" s="122" t="s">
        <v>36</v>
      </c>
      <c r="B23" s="98">
        <v>43341</v>
      </c>
    </row>
    <row r="24" spans="1:14" ht="18.75" x14ac:dyDescent="0.3">
      <c r="A24" s="122"/>
      <c r="B24" s="129"/>
    </row>
    <row r="25" spans="1:14" ht="18.75" x14ac:dyDescent="0.3">
      <c r="A25" s="130" t="s">
        <v>1</v>
      </c>
      <c r="B25" s="129"/>
    </row>
    <row r="26" spans="1:14" ht="26.25" customHeight="1" x14ac:dyDescent="0.4">
      <c r="A26" s="131" t="s">
        <v>3</v>
      </c>
      <c r="B26" s="132" t="s">
        <v>89</v>
      </c>
      <c r="C26" s="133"/>
    </row>
    <row r="27" spans="1:14" ht="26.25" customHeight="1" x14ac:dyDescent="0.4">
      <c r="A27" s="134" t="s">
        <v>46</v>
      </c>
      <c r="B27" s="135" t="s">
        <v>90</v>
      </c>
    </row>
    <row r="28" spans="1:14" ht="27" customHeight="1" thickBot="1" x14ac:dyDescent="0.45">
      <c r="A28" s="134" t="s">
        <v>5</v>
      </c>
      <c r="B28" s="135">
        <v>82.3</v>
      </c>
    </row>
    <row r="29" spans="1:14" s="139" customFormat="1" ht="27" customHeight="1" thickBot="1" x14ac:dyDescent="0.45">
      <c r="A29" s="134" t="s">
        <v>47</v>
      </c>
      <c r="B29" s="135">
        <v>0</v>
      </c>
      <c r="C29" s="136" t="s">
        <v>48</v>
      </c>
      <c r="D29" s="137"/>
      <c r="E29" s="137"/>
      <c r="F29" s="137"/>
      <c r="G29" s="138"/>
      <c r="I29" s="140"/>
      <c r="J29" s="140"/>
      <c r="K29" s="140"/>
      <c r="L29" s="140"/>
    </row>
    <row r="30" spans="1:14" s="139" customFormat="1" ht="19.5" customHeight="1" thickBot="1" x14ac:dyDescent="0.35">
      <c r="A30" s="134" t="s">
        <v>49</v>
      </c>
      <c r="B30" s="141">
        <f>B28-B29</f>
        <v>82.3</v>
      </c>
      <c r="C30" s="142"/>
      <c r="D30" s="142"/>
      <c r="E30" s="142"/>
      <c r="F30" s="142"/>
      <c r="G30" s="143"/>
      <c r="I30" s="140"/>
      <c r="J30" s="140"/>
      <c r="K30" s="140"/>
      <c r="L30" s="140"/>
    </row>
    <row r="31" spans="1:14" s="139" customFormat="1" ht="27" customHeight="1" thickBot="1" x14ac:dyDescent="0.45">
      <c r="A31" s="134" t="s">
        <v>50</v>
      </c>
      <c r="B31" s="144">
        <v>1</v>
      </c>
      <c r="C31" s="145" t="s">
        <v>51</v>
      </c>
      <c r="D31" s="146"/>
      <c r="E31" s="146"/>
      <c r="F31" s="146"/>
      <c r="G31" s="146"/>
      <c r="H31" s="147"/>
      <c r="I31" s="140"/>
      <c r="J31" s="140"/>
      <c r="K31" s="140"/>
      <c r="L31" s="140"/>
    </row>
    <row r="32" spans="1:14" s="139" customFormat="1" ht="27" customHeight="1" thickBot="1" x14ac:dyDescent="0.45">
      <c r="A32" s="134" t="s">
        <v>52</v>
      </c>
      <c r="B32" s="144">
        <v>1</v>
      </c>
      <c r="C32" s="145" t="s">
        <v>53</v>
      </c>
      <c r="D32" s="146"/>
      <c r="E32" s="146"/>
      <c r="F32" s="146"/>
      <c r="G32" s="146"/>
      <c r="H32" s="147"/>
      <c r="I32" s="140"/>
      <c r="J32" s="140"/>
      <c r="K32" s="140"/>
      <c r="L32" s="148"/>
      <c r="M32" s="148"/>
      <c r="N32" s="149"/>
    </row>
    <row r="33" spans="1:14" s="139" customFormat="1" ht="17.25" customHeight="1" x14ac:dyDescent="0.3">
      <c r="A33" s="134"/>
      <c r="B33" s="150"/>
      <c r="C33" s="151"/>
      <c r="D33" s="151"/>
      <c r="E33" s="151"/>
      <c r="F33" s="151"/>
      <c r="G33" s="151"/>
      <c r="H33" s="151"/>
      <c r="I33" s="140"/>
      <c r="J33" s="140"/>
      <c r="K33" s="140"/>
      <c r="L33" s="148"/>
      <c r="M33" s="148"/>
      <c r="N33" s="149"/>
    </row>
    <row r="34" spans="1:14" s="139" customFormat="1" ht="18.75" x14ac:dyDescent="0.3">
      <c r="A34" s="134" t="s">
        <v>54</v>
      </c>
      <c r="B34" s="152">
        <f>B31/B32</f>
        <v>1</v>
      </c>
      <c r="C34" s="125" t="s">
        <v>55</v>
      </c>
      <c r="D34" s="125"/>
      <c r="E34" s="125"/>
      <c r="F34" s="125"/>
      <c r="G34" s="125"/>
      <c r="I34" s="140"/>
      <c r="J34" s="140"/>
      <c r="K34" s="140"/>
      <c r="L34" s="148"/>
      <c r="M34" s="148"/>
      <c r="N34" s="149"/>
    </row>
    <row r="35" spans="1:14" s="139" customFormat="1" ht="19.5" customHeight="1" thickBot="1" x14ac:dyDescent="0.35">
      <c r="A35" s="134"/>
      <c r="B35" s="141"/>
      <c r="G35" s="125"/>
      <c r="I35" s="140"/>
      <c r="J35" s="140"/>
      <c r="K35" s="140"/>
      <c r="L35" s="148"/>
      <c r="M35" s="148"/>
      <c r="N35" s="149"/>
    </row>
    <row r="36" spans="1:14" s="139" customFormat="1" ht="27" customHeight="1" thickBot="1" x14ac:dyDescent="0.45">
      <c r="A36" s="153" t="s">
        <v>91</v>
      </c>
      <c r="B36" s="154">
        <v>50</v>
      </c>
      <c r="C36" s="125"/>
      <c r="D36" s="155" t="s">
        <v>56</v>
      </c>
      <c r="E36" s="156"/>
      <c r="F36" s="155" t="s">
        <v>57</v>
      </c>
      <c r="G36" s="157"/>
      <c r="J36" s="140"/>
      <c r="K36" s="140"/>
      <c r="L36" s="148"/>
      <c r="M36" s="148"/>
      <c r="N36" s="149"/>
    </row>
    <row r="37" spans="1:14" s="139" customFormat="1" ht="15.75" customHeight="1" x14ac:dyDescent="0.4">
      <c r="A37" s="158" t="s">
        <v>92</v>
      </c>
      <c r="B37" s="159">
        <v>1</v>
      </c>
      <c r="C37" s="160" t="s">
        <v>93</v>
      </c>
      <c r="D37" s="161" t="s">
        <v>59</v>
      </c>
      <c r="E37" s="162" t="s">
        <v>60</v>
      </c>
      <c r="F37" s="161" t="s">
        <v>59</v>
      </c>
      <c r="G37" s="163" t="s">
        <v>60</v>
      </c>
      <c r="J37" s="140"/>
      <c r="K37" s="140"/>
      <c r="L37" s="148"/>
      <c r="M37" s="148"/>
      <c r="N37" s="149"/>
    </row>
    <row r="38" spans="1:14" s="139" customFormat="1" ht="26.25" customHeight="1" x14ac:dyDescent="0.4">
      <c r="A38" s="158" t="s">
        <v>94</v>
      </c>
      <c r="B38" s="159">
        <v>1</v>
      </c>
      <c r="C38" s="164">
        <v>1</v>
      </c>
      <c r="D38" s="165">
        <f>87074932+90949079</f>
        <v>178024011</v>
      </c>
      <c r="E38" s="166">
        <f>IF(ISBLANK(D38),"-",$D$48/$D$45*D38)</f>
        <v>221478911.747996</v>
      </c>
      <c r="F38" s="165">
        <f>97087270+101381429</f>
        <v>198468699</v>
      </c>
      <c r="G38" s="167">
        <f>IF(ISBLANK(F38),"-",$D$48/$F$45*F38)</f>
        <v>221376437.59360254</v>
      </c>
      <c r="J38" s="140"/>
      <c r="K38" s="140"/>
      <c r="L38" s="148"/>
      <c r="M38" s="148"/>
      <c r="N38" s="149"/>
    </row>
    <row r="39" spans="1:14" s="139" customFormat="1" ht="26.25" customHeight="1" x14ac:dyDescent="0.4">
      <c r="A39" s="158" t="s">
        <v>95</v>
      </c>
      <c r="B39" s="159">
        <v>1</v>
      </c>
      <c r="C39" s="168">
        <v>2</v>
      </c>
      <c r="D39" s="169">
        <f>87022717+90788845</f>
        <v>177811562</v>
      </c>
      <c r="E39" s="170">
        <f>IF(ISBLANK(D39),"-",$D$48/$D$45*D39)</f>
        <v>221214604.85446155</v>
      </c>
      <c r="F39" s="169">
        <f>96946147+101167435</f>
        <v>198113582</v>
      </c>
      <c r="G39" s="171">
        <f>IF(ISBLANK(F39),"-",$D$48/$F$45*F39)</f>
        <v>220980332.12818137</v>
      </c>
      <c r="J39" s="140"/>
      <c r="K39" s="140"/>
      <c r="L39" s="148"/>
      <c r="M39" s="148"/>
      <c r="N39" s="149"/>
    </row>
    <row r="40" spans="1:14" ht="26.25" customHeight="1" x14ac:dyDescent="0.4">
      <c r="A40" s="158" t="s">
        <v>96</v>
      </c>
      <c r="B40" s="159">
        <v>1</v>
      </c>
      <c r="C40" s="168">
        <v>3</v>
      </c>
      <c r="D40" s="169">
        <f>87002617+90798993</f>
        <v>177801610</v>
      </c>
      <c r="E40" s="170">
        <f>IF(ISBLANK(D40),"-",$D$48/$D$45*D40)</f>
        <v>221202223.61376634</v>
      </c>
      <c r="F40" s="169">
        <f>96920587+101147357</f>
        <v>198067944</v>
      </c>
      <c r="G40" s="171">
        <f>IF(ISBLANK(F40),"-",$D$48/$F$45*F40)</f>
        <v>220929426.47953349</v>
      </c>
      <c r="L40" s="148"/>
      <c r="M40" s="148"/>
      <c r="N40" s="125"/>
    </row>
    <row r="41" spans="1:14" ht="26.25" customHeight="1" x14ac:dyDescent="0.4">
      <c r="A41" s="158" t="s">
        <v>97</v>
      </c>
      <c r="B41" s="159">
        <v>1</v>
      </c>
      <c r="C41" s="172">
        <v>4</v>
      </c>
      <c r="D41" s="173"/>
      <c r="E41" s="174" t="str">
        <f>IF(ISBLANK(D41),"-",$D$48/$D$45*D41)</f>
        <v>-</v>
      </c>
      <c r="F41" s="173"/>
      <c r="G41" s="175" t="str">
        <f>IF(ISBLANK(F41),"-",$D$48/$F$45*F41)</f>
        <v>-</v>
      </c>
      <c r="L41" s="148"/>
      <c r="M41" s="148"/>
      <c r="N41" s="125"/>
    </row>
    <row r="42" spans="1:14" ht="27" customHeight="1" thickBot="1" x14ac:dyDescent="0.45">
      <c r="A42" s="158" t="s">
        <v>98</v>
      </c>
      <c r="B42" s="159">
        <v>1</v>
      </c>
      <c r="C42" s="176" t="s">
        <v>61</v>
      </c>
      <c r="D42" s="177">
        <f>AVERAGE(D38:D41)</f>
        <v>177879061</v>
      </c>
      <c r="E42" s="178">
        <f>AVERAGE(E38:E41)</f>
        <v>221298580.07207462</v>
      </c>
      <c r="F42" s="179">
        <f>AVERAGE(F38:F41)</f>
        <v>198216741.66666666</v>
      </c>
      <c r="G42" s="180">
        <f>AVERAGE(G38:G41)</f>
        <v>221095398.73377243</v>
      </c>
      <c r="H42" s="181"/>
    </row>
    <row r="43" spans="1:14" ht="26.25" customHeight="1" x14ac:dyDescent="0.4">
      <c r="A43" s="158" t="s">
        <v>99</v>
      </c>
      <c r="B43" s="135">
        <v>1</v>
      </c>
      <c r="C43" s="182" t="s">
        <v>82</v>
      </c>
      <c r="D43" s="183">
        <v>14.65</v>
      </c>
      <c r="E43" s="125"/>
      <c r="F43" s="184">
        <v>16.34</v>
      </c>
      <c r="H43" s="181"/>
    </row>
    <row r="44" spans="1:14" ht="26.25" customHeight="1" x14ac:dyDescent="0.4">
      <c r="A44" s="158" t="s">
        <v>100</v>
      </c>
      <c r="B44" s="135">
        <v>1</v>
      </c>
      <c r="C44" s="185" t="s">
        <v>83</v>
      </c>
      <c r="D44" s="186">
        <f>D43*$B$34</f>
        <v>14.65</v>
      </c>
      <c r="E44" s="187"/>
      <c r="F44" s="188">
        <f>F43*$B$34</f>
        <v>16.34</v>
      </c>
      <c r="H44" s="181"/>
    </row>
    <row r="45" spans="1:14" ht="19.5" customHeight="1" thickBot="1" x14ac:dyDescent="0.35">
      <c r="A45" s="158" t="s">
        <v>62</v>
      </c>
      <c r="B45" s="141">
        <f>(B44/B43)*(B42/B41)*(B40/B39)*(B38/B37)*B36</f>
        <v>50</v>
      </c>
      <c r="C45" s="185" t="s">
        <v>63</v>
      </c>
      <c r="D45" s="189">
        <f>D44*$B$30/100</f>
        <v>12.056949999999999</v>
      </c>
      <c r="E45" s="190"/>
      <c r="F45" s="191">
        <f>F44*$B$30/100</f>
        <v>13.44782</v>
      </c>
      <c r="H45" s="181"/>
    </row>
    <row r="46" spans="1:14" ht="19.5" customHeight="1" thickBot="1" x14ac:dyDescent="0.35">
      <c r="A46" s="192" t="s">
        <v>64</v>
      </c>
      <c r="B46" s="193"/>
      <c r="C46" s="185" t="s">
        <v>65</v>
      </c>
      <c r="D46" s="186">
        <f>D45/$B$45</f>
        <v>0.24113899999999996</v>
      </c>
      <c r="E46" s="190"/>
      <c r="F46" s="194">
        <f>F45/$B$45</f>
        <v>0.26895639999999998</v>
      </c>
      <c r="H46" s="181"/>
    </row>
    <row r="47" spans="1:14" ht="27" customHeight="1" thickBot="1" x14ac:dyDescent="0.45">
      <c r="A47" s="195"/>
      <c r="B47" s="196"/>
      <c r="C47" s="185" t="s">
        <v>101</v>
      </c>
      <c r="D47" s="197">
        <v>0.3</v>
      </c>
      <c r="F47" s="198"/>
      <c r="H47" s="181"/>
    </row>
    <row r="48" spans="1:14" ht="18.75" x14ac:dyDescent="0.3">
      <c r="C48" s="185" t="s">
        <v>66</v>
      </c>
      <c r="D48" s="186">
        <f>D47*$B$45</f>
        <v>15</v>
      </c>
      <c r="F48" s="198"/>
      <c r="H48" s="181"/>
    </row>
    <row r="49" spans="1:12" ht="19.5" customHeight="1" thickBot="1" x14ac:dyDescent="0.35">
      <c r="C49" s="199" t="s">
        <v>67</v>
      </c>
      <c r="D49" s="200">
        <f>D48/B34</f>
        <v>15</v>
      </c>
      <c r="F49" s="201"/>
      <c r="H49" s="181"/>
    </row>
    <row r="50" spans="1:12" ht="18.75" x14ac:dyDescent="0.3">
      <c r="C50" s="202" t="s">
        <v>68</v>
      </c>
      <c r="D50" s="203">
        <f>AVERAGE(E38:E41,G38:G41)</f>
        <v>221196989.40292355</v>
      </c>
      <c r="F50" s="201"/>
      <c r="H50" s="181"/>
    </row>
    <row r="51" spans="1:12" ht="18.75" x14ac:dyDescent="0.3">
      <c r="C51" s="204" t="s">
        <v>69</v>
      </c>
      <c r="D51" s="205">
        <f>STDEV(E38:E41,G38:G41)/D50</f>
        <v>9.7077417241435177E-4</v>
      </c>
      <c r="F51" s="201"/>
    </row>
    <row r="52" spans="1:12" ht="19.5" customHeight="1" thickBot="1" x14ac:dyDescent="0.35">
      <c r="C52" s="206" t="s">
        <v>19</v>
      </c>
      <c r="D52" s="207">
        <f>COUNT(E38:E41,G38:G41)</f>
        <v>6</v>
      </c>
      <c r="F52" s="201"/>
    </row>
    <row r="54" spans="1:12" ht="18.75" x14ac:dyDescent="0.3">
      <c r="A54" s="120" t="s">
        <v>1</v>
      </c>
      <c r="B54" s="208" t="s">
        <v>70</v>
      </c>
    </row>
    <row r="55" spans="1:12" ht="18.75" x14ac:dyDescent="0.3">
      <c r="A55" s="125" t="s">
        <v>71</v>
      </c>
      <c r="B55" s="209" t="str">
        <f>B21</f>
        <v xml:space="preserve">Each film coated tablet contains: Cefuroxime Axetil USP eqv to Cefuroxime 500 mg </v>
      </c>
    </row>
    <row r="56" spans="1:12" ht="26.25" customHeight="1" x14ac:dyDescent="0.4">
      <c r="A56" s="209" t="s">
        <v>72</v>
      </c>
      <c r="B56" s="135">
        <v>500</v>
      </c>
      <c r="C56" s="125" t="str">
        <f>B20</f>
        <v>CEFUROXIME</v>
      </c>
      <c r="H56" s="187"/>
    </row>
    <row r="57" spans="1:12" ht="18.75" x14ac:dyDescent="0.3">
      <c r="A57" s="209" t="s">
        <v>73</v>
      </c>
      <c r="B57" s="210">
        <f>Uniformity!C46</f>
        <v>914.26350000000002</v>
      </c>
      <c r="H57" s="187"/>
    </row>
    <row r="58" spans="1:12" ht="19.5" customHeight="1" thickBot="1" x14ac:dyDescent="0.35">
      <c r="H58" s="187"/>
    </row>
    <row r="59" spans="1:12" s="139" customFormat="1" ht="27" customHeight="1" thickBot="1" x14ac:dyDescent="0.45">
      <c r="A59" s="153" t="s">
        <v>102</v>
      </c>
      <c r="B59" s="154">
        <v>100</v>
      </c>
      <c r="C59" s="125"/>
      <c r="D59" s="211" t="s">
        <v>74</v>
      </c>
      <c r="E59" s="212" t="s">
        <v>58</v>
      </c>
      <c r="F59" s="212" t="s">
        <v>59</v>
      </c>
      <c r="G59" s="212" t="s">
        <v>75</v>
      </c>
      <c r="H59" s="160" t="s">
        <v>76</v>
      </c>
      <c r="L59" s="140"/>
    </row>
    <row r="60" spans="1:12" s="139" customFormat="1" ht="22.5" customHeight="1" x14ac:dyDescent="0.4">
      <c r="A60" s="158" t="s">
        <v>103</v>
      </c>
      <c r="B60" s="159">
        <v>5</v>
      </c>
      <c r="C60" s="213" t="s">
        <v>77</v>
      </c>
      <c r="D60" s="111">
        <v>909.6</v>
      </c>
      <c r="E60" s="214">
        <v>1</v>
      </c>
      <c r="F60" s="215">
        <f>91508449+96238325</f>
        <v>187746774</v>
      </c>
      <c r="G60" s="216">
        <f>IF(ISBLANK(F60),"-",(F60/$D$50*$D$47*$B$68)*($B$57/$D$60))</f>
        <v>511.87680697650018</v>
      </c>
      <c r="H60" s="217">
        <f t="shared" ref="H60:H71" si="0">IF(ISBLANK(F60),"-",G60/$B$56)</f>
        <v>1.0237536139530004</v>
      </c>
      <c r="L60" s="140"/>
    </row>
    <row r="61" spans="1:12" s="139" customFormat="1" ht="26.25" customHeight="1" x14ac:dyDescent="0.4">
      <c r="A61" s="158" t="s">
        <v>104</v>
      </c>
      <c r="B61" s="159">
        <v>100</v>
      </c>
      <c r="C61" s="218"/>
      <c r="D61" s="112"/>
      <c r="E61" s="219">
        <v>2</v>
      </c>
      <c r="F61" s="169">
        <f>91694591+96404289</f>
        <v>188098880</v>
      </c>
      <c r="G61" s="220">
        <f>IF(ISBLANK(F61),"-",(F61/$D$50*$D$47*$B$68)*($B$57/$D$60))</f>
        <v>512.83679628101561</v>
      </c>
      <c r="H61" s="221">
        <f t="shared" si="0"/>
        <v>1.0256735925620313</v>
      </c>
      <c r="L61" s="140"/>
    </row>
    <row r="62" spans="1:12" s="139" customFormat="1" ht="26.25" customHeight="1" x14ac:dyDescent="0.4">
      <c r="A62" s="158" t="s">
        <v>105</v>
      </c>
      <c r="B62" s="159">
        <v>1</v>
      </c>
      <c r="C62" s="218"/>
      <c r="D62" s="112"/>
      <c r="E62" s="219">
        <v>3</v>
      </c>
      <c r="F62" s="222">
        <f>91410400+96127498</f>
        <v>187537898</v>
      </c>
      <c r="G62" s="220">
        <f>IF(ISBLANK(F62),"-",(F62/$D$50*$D$47*$B$68)*($B$57/$D$60))</f>
        <v>511.30732299732921</v>
      </c>
      <c r="H62" s="221">
        <f t="shared" si="0"/>
        <v>1.0226146459946583</v>
      </c>
      <c r="L62" s="140"/>
    </row>
    <row r="63" spans="1:12" ht="21" customHeight="1" thickBot="1" x14ac:dyDescent="0.45">
      <c r="A63" s="158" t="s">
        <v>106</v>
      </c>
      <c r="B63" s="159">
        <v>1</v>
      </c>
      <c r="C63" s="223"/>
      <c r="D63" s="113"/>
      <c r="E63" s="224">
        <v>4</v>
      </c>
      <c r="F63" s="225"/>
      <c r="G63" s="220" t="str">
        <f>IF(ISBLANK(F63),"-",(F63/$D$50*$D$47*$B$68)*($B$57/$D$60))</f>
        <v>-</v>
      </c>
      <c r="H63" s="221" t="str">
        <f t="shared" si="0"/>
        <v>-</v>
      </c>
    </row>
    <row r="64" spans="1:12" ht="26.25" customHeight="1" x14ac:dyDescent="0.4">
      <c r="A64" s="158" t="s">
        <v>107</v>
      </c>
      <c r="B64" s="159">
        <v>1</v>
      </c>
      <c r="C64" s="213" t="s">
        <v>78</v>
      </c>
      <c r="D64" s="111">
        <v>913.03</v>
      </c>
      <c r="E64" s="214">
        <v>1</v>
      </c>
      <c r="F64" s="215">
        <f>90161380+94876343</f>
        <v>185037723</v>
      </c>
      <c r="G64" s="226">
        <f>IF(ISBLANK(F64),"-",(F64/$D$50*$D$47*$B$68)*($B$57/$D$64))</f>
        <v>502.59556085781628</v>
      </c>
      <c r="H64" s="227">
        <f t="shared" si="0"/>
        <v>1.0051911217156326</v>
      </c>
    </row>
    <row r="65" spans="1:8" ht="26.25" customHeight="1" x14ac:dyDescent="0.4">
      <c r="A65" s="158" t="s">
        <v>108</v>
      </c>
      <c r="B65" s="159">
        <v>1</v>
      </c>
      <c r="C65" s="218"/>
      <c r="D65" s="112"/>
      <c r="E65" s="219">
        <v>2</v>
      </c>
      <c r="F65" s="169">
        <f>90245590+94875503</f>
        <v>185121093</v>
      </c>
      <c r="G65" s="228">
        <f>IF(ISBLANK(F65),"-",(F65/$D$50*$D$47*$B$68)*($B$57/$D$64))</f>
        <v>502.82200869358405</v>
      </c>
      <c r="H65" s="229">
        <f t="shared" si="0"/>
        <v>1.0056440173871681</v>
      </c>
    </row>
    <row r="66" spans="1:8" ht="26.25" customHeight="1" x14ac:dyDescent="0.4">
      <c r="A66" s="158" t="s">
        <v>109</v>
      </c>
      <c r="B66" s="159">
        <v>1</v>
      </c>
      <c r="C66" s="218"/>
      <c r="D66" s="112"/>
      <c r="E66" s="219">
        <v>3</v>
      </c>
      <c r="F66" s="169">
        <f>89842602+94493534</f>
        <v>184336136</v>
      </c>
      <c r="G66" s="228">
        <f>IF(ISBLANK(F66),"-",(F66/$D$50*$D$47*$B$68)*($B$57/$D$64))</f>
        <v>500.68992504454195</v>
      </c>
      <c r="H66" s="229">
        <f t="shared" si="0"/>
        <v>1.0013798500890838</v>
      </c>
    </row>
    <row r="67" spans="1:8" ht="21" customHeight="1" thickBot="1" x14ac:dyDescent="0.45">
      <c r="A67" s="158" t="s">
        <v>110</v>
      </c>
      <c r="B67" s="159">
        <v>1</v>
      </c>
      <c r="C67" s="223"/>
      <c r="D67" s="113"/>
      <c r="E67" s="224">
        <v>4</v>
      </c>
      <c r="F67" s="225"/>
      <c r="G67" s="230" t="str">
        <f>IF(ISBLANK(F67),"-",(F67/$D$50*$D$47*$B$68)*($B$57/$D$64))</f>
        <v>-</v>
      </c>
      <c r="H67" s="231" t="str">
        <f t="shared" si="0"/>
        <v>-</v>
      </c>
    </row>
    <row r="68" spans="1:8" ht="21.75" customHeight="1" x14ac:dyDescent="0.4">
      <c r="A68" s="158" t="s">
        <v>79</v>
      </c>
      <c r="B68" s="232">
        <f>(B67/B66)*(B65/B64)*(B63/B62)*(B61/B60)*B59</f>
        <v>2000</v>
      </c>
      <c r="C68" s="213" t="s">
        <v>80</v>
      </c>
      <c r="D68" s="111">
        <v>918.22</v>
      </c>
      <c r="E68" s="214">
        <v>1</v>
      </c>
      <c r="F68" s="215">
        <f>91493849+95929262</f>
        <v>187423111</v>
      </c>
      <c r="G68" s="226">
        <f>IF(ISBLANK(F68),"-",(F68/$D$50*$D$47*$B$68)*($B$57/$D$68))</f>
        <v>506.19728894251847</v>
      </c>
      <c r="H68" s="221">
        <f t="shared" si="0"/>
        <v>1.012394577885037</v>
      </c>
    </row>
    <row r="69" spans="1:8" ht="21.75" customHeight="1" thickBot="1" x14ac:dyDescent="0.45">
      <c r="A69" s="233" t="s">
        <v>81</v>
      </c>
      <c r="B69" s="234">
        <f>D47*B68/B56*B57</f>
        <v>1097.1161999999999</v>
      </c>
      <c r="C69" s="218"/>
      <c r="D69" s="112"/>
      <c r="E69" s="219">
        <v>2</v>
      </c>
      <c r="F69" s="169">
        <f>91465058+95922388</f>
        <v>187387446</v>
      </c>
      <c r="G69" s="228">
        <f>IF(ISBLANK(F69),"-",(F69/$D$50*$D$47*$B$68)*($B$57/$D$68))</f>
        <v>506.10096396843278</v>
      </c>
      <c r="H69" s="221">
        <f t="shared" si="0"/>
        <v>1.0122019279368655</v>
      </c>
    </row>
    <row r="70" spans="1:8" ht="22.5" customHeight="1" x14ac:dyDescent="0.4">
      <c r="A70" s="235" t="s">
        <v>64</v>
      </c>
      <c r="B70" s="236"/>
      <c r="C70" s="218"/>
      <c r="D70" s="112"/>
      <c r="E70" s="219">
        <v>3</v>
      </c>
      <c r="F70" s="169">
        <f>91225032+95591246</f>
        <v>186816278</v>
      </c>
      <c r="G70" s="228">
        <f>IF(ISBLANK(F70),"-",(F70/$D$50*$D$47*$B$68)*($B$57/$D$68))</f>
        <v>504.55833834671472</v>
      </c>
      <c r="H70" s="221">
        <f t="shared" si="0"/>
        <v>1.0091166766934294</v>
      </c>
    </row>
    <row r="71" spans="1:8" ht="21.75" customHeight="1" thickBot="1" x14ac:dyDescent="0.45">
      <c r="A71" s="237"/>
      <c r="B71" s="238"/>
      <c r="C71" s="239"/>
      <c r="D71" s="113"/>
      <c r="E71" s="224">
        <v>4</v>
      </c>
      <c r="F71" s="225"/>
      <c r="G71" s="230" t="str">
        <f>IF(ISBLANK(F71),"-",(F71/$D$50*$D$47*$B$68)*($B$57/$D$68))</f>
        <v>-</v>
      </c>
      <c r="H71" s="240" t="str">
        <f t="shared" si="0"/>
        <v>-</v>
      </c>
    </row>
    <row r="72" spans="1:8" ht="26.25" customHeight="1" x14ac:dyDescent="0.4">
      <c r="A72" s="187"/>
      <c r="B72" s="187"/>
      <c r="C72" s="187"/>
      <c r="D72" s="187"/>
      <c r="E72" s="187"/>
      <c r="F72" s="187"/>
      <c r="G72" s="241" t="s">
        <v>61</v>
      </c>
      <c r="H72" s="242">
        <f>AVERAGE(H60:H71)</f>
        <v>1.0131077804685453</v>
      </c>
    </row>
    <row r="73" spans="1:8" ht="26.25" customHeight="1" x14ac:dyDescent="0.4">
      <c r="C73" s="187"/>
      <c r="D73" s="187"/>
      <c r="E73" s="187"/>
      <c r="F73" s="187"/>
      <c r="G73" s="204" t="s">
        <v>69</v>
      </c>
      <c r="H73" s="243">
        <f>STDEV(H60:H71)/H72</f>
        <v>8.7925936695115812E-3</v>
      </c>
    </row>
    <row r="74" spans="1:8" ht="27" customHeight="1" thickBot="1" x14ac:dyDescent="0.45">
      <c r="A74" s="187"/>
      <c r="B74" s="187"/>
      <c r="C74" s="187"/>
      <c r="D74" s="187"/>
      <c r="E74" s="190"/>
      <c r="F74" s="187"/>
      <c r="G74" s="206" t="s">
        <v>19</v>
      </c>
      <c r="H74" s="244">
        <f>COUNT(H60:H71)</f>
        <v>9</v>
      </c>
    </row>
    <row r="75" spans="1:8" ht="18.75" x14ac:dyDescent="0.3">
      <c r="A75" s="187"/>
      <c r="B75" s="187"/>
      <c r="C75" s="187"/>
      <c r="D75" s="187"/>
      <c r="E75" s="190"/>
      <c r="F75" s="187"/>
      <c r="G75" s="134"/>
      <c r="H75" s="141"/>
    </row>
    <row r="76" spans="1:8" ht="18.75" x14ac:dyDescent="0.3">
      <c r="A76" s="131" t="s">
        <v>111</v>
      </c>
      <c r="B76" s="134" t="s">
        <v>87</v>
      </c>
      <c r="C76" s="245" t="str">
        <f>B20</f>
        <v>CEFUROXIME</v>
      </c>
      <c r="D76" s="245"/>
      <c r="E76" s="125" t="s">
        <v>112</v>
      </c>
      <c r="F76" s="125"/>
      <c r="G76" s="246">
        <f>H72</f>
        <v>1.0131077804685453</v>
      </c>
      <c r="H76" s="141"/>
    </row>
    <row r="77" spans="1:8" ht="18.75" x14ac:dyDescent="0.3">
      <c r="A77" s="187"/>
      <c r="B77" s="187"/>
      <c r="C77" s="187"/>
      <c r="D77" s="187"/>
      <c r="E77" s="190"/>
      <c r="F77" s="187"/>
      <c r="G77" s="134"/>
      <c r="H77" s="141"/>
    </row>
    <row r="78" spans="1:8" ht="26.25" customHeight="1" x14ac:dyDescent="0.4">
      <c r="A78" s="130" t="s">
        <v>113</v>
      </c>
      <c r="B78" s="130" t="s">
        <v>114</v>
      </c>
      <c r="D78" s="247" t="s">
        <v>115</v>
      </c>
    </row>
    <row r="79" spans="1:8" ht="18.75" x14ac:dyDescent="0.3">
      <c r="A79" s="130"/>
      <c r="B79" s="130"/>
    </row>
    <row r="80" spans="1:8" ht="26.25" customHeight="1" x14ac:dyDescent="0.4">
      <c r="A80" s="131" t="s">
        <v>3</v>
      </c>
      <c r="B80" s="135" t="str">
        <f>B26</f>
        <v>Cefuroxime Axetil</v>
      </c>
      <c r="C80" s="133"/>
    </row>
    <row r="81" spans="1:12" ht="26.25" customHeight="1" x14ac:dyDescent="0.4">
      <c r="A81" s="134" t="s">
        <v>46</v>
      </c>
      <c r="B81" s="135" t="str">
        <f>B27</f>
        <v>C3-7</v>
      </c>
    </row>
    <row r="82" spans="1:12" ht="27" customHeight="1" thickBot="1" x14ac:dyDescent="0.45">
      <c r="A82" s="134" t="s">
        <v>5</v>
      </c>
      <c r="B82" s="135">
        <f>B28</f>
        <v>82.3</v>
      </c>
    </row>
    <row r="83" spans="1:12" s="139" customFormat="1" ht="27" customHeight="1" thickBot="1" x14ac:dyDescent="0.45">
      <c r="A83" s="134" t="s">
        <v>47</v>
      </c>
      <c r="B83" s="135">
        <f>B29</f>
        <v>0</v>
      </c>
      <c r="C83" s="136" t="s">
        <v>48</v>
      </c>
      <c r="D83" s="137"/>
      <c r="E83" s="137"/>
      <c r="F83" s="137"/>
      <c r="G83" s="138"/>
      <c r="I83" s="140"/>
      <c r="J83" s="140"/>
      <c r="K83" s="140"/>
      <c r="L83" s="140"/>
    </row>
    <row r="84" spans="1:12" s="139" customFormat="1" ht="18.75" x14ac:dyDescent="0.3">
      <c r="A84" s="134" t="s">
        <v>49</v>
      </c>
      <c r="B84" s="141">
        <f>B82-B83</f>
        <v>82.3</v>
      </c>
      <c r="C84" s="142"/>
      <c r="D84" s="142"/>
      <c r="E84" s="142"/>
      <c r="F84" s="142"/>
      <c r="G84" s="143"/>
      <c r="I84" s="140"/>
      <c r="J84" s="140"/>
      <c r="K84" s="140"/>
      <c r="L84" s="140"/>
    </row>
    <row r="85" spans="1:12" s="139" customFormat="1" ht="19.5" customHeight="1" thickBot="1" x14ac:dyDescent="0.35">
      <c r="A85" s="134"/>
      <c r="B85" s="141"/>
      <c r="C85" s="142"/>
      <c r="D85" s="142"/>
      <c r="E85" s="142"/>
      <c r="F85" s="142"/>
      <c r="G85" s="143"/>
      <c r="I85" s="140"/>
      <c r="J85" s="140"/>
      <c r="K85" s="140"/>
      <c r="L85" s="140"/>
    </row>
    <row r="86" spans="1:12" s="139" customFormat="1" ht="27" customHeight="1" thickBot="1" x14ac:dyDescent="0.45">
      <c r="A86" s="134" t="s">
        <v>50</v>
      </c>
      <c r="B86" s="144">
        <v>1</v>
      </c>
      <c r="C86" s="145" t="s">
        <v>51</v>
      </c>
      <c r="D86" s="146"/>
      <c r="E86" s="146"/>
      <c r="F86" s="146"/>
      <c r="G86" s="146"/>
      <c r="H86" s="147"/>
      <c r="I86" s="140"/>
      <c r="J86" s="140"/>
      <c r="K86" s="140"/>
      <c r="L86" s="140"/>
    </row>
    <row r="87" spans="1:12" s="139" customFormat="1" ht="27" customHeight="1" thickBot="1" x14ac:dyDescent="0.45">
      <c r="A87" s="134" t="s">
        <v>52</v>
      </c>
      <c r="B87" s="144">
        <v>1</v>
      </c>
      <c r="C87" s="145" t="s">
        <v>53</v>
      </c>
      <c r="D87" s="146"/>
      <c r="E87" s="146"/>
      <c r="F87" s="146"/>
      <c r="G87" s="146"/>
      <c r="H87" s="147"/>
      <c r="I87" s="140"/>
      <c r="J87" s="140"/>
      <c r="K87" s="140"/>
      <c r="L87" s="140"/>
    </row>
    <row r="88" spans="1:12" s="139" customFormat="1" ht="18.75" x14ac:dyDescent="0.3">
      <c r="A88" s="134"/>
      <c r="B88" s="141"/>
      <c r="C88" s="142"/>
      <c r="D88" s="142"/>
      <c r="E88" s="142"/>
      <c r="F88" s="142"/>
      <c r="G88" s="143"/>
      <c r="I88" s="140"/>
      <c r="J88" s="140"/>
      <c r="K88" s="140"/>
      <c r="L88" s="140"/>
    </row>
    <row r="89" spans="1:12" ht="18.75" x14ac:dyDescent="0.3">
      <c r="A89" s="134" t="s">
        <v>54</v>
      </c>
      <c r="B89" s="152">
        <f>B86/B87</f>
        <v>1</v>
      </c>
      <c r="C89" s="125" t="s">
        <v>55</v>
      </c>
    </row>
    <row r="90" spans="1:12" ht="19.5" customHeight="1" thickBot="1" x14ac:dyDescent="0.35">
      <c r="A90" s="134"/>
      <c r="B90" s="152"/>
    </row>
    <row r="91" spans="1:12" ht="27" customHeight="1" thickBot="1" x14ac:dyDescent="0.45">
      <c r="A91" s="153" t="s">
        <v>91</v>
      </c>
      <c r="B91" s="154">
        <v>50</v>
      </c>
      <c r="D91" s="248" t="s">
        <v>56</v>
      </c>
      <c r="E91" s="249"/>
      <c r="F91" s="155" t="s">
        <v>57</v>
      </c>
      <c r="G91" s="157"/>
    </row>
    <row r="92" spans="1:12" ht="26.25" customHeight="1" x14ac:dyDescent="0.4">
      <c r="A92" s="158" t="s">
        <v>92</v>
      </c>
      <c r="B92" s="159">
        <v>2</v>
      </c>
      <c r="C92" s="250" t="s">
        <v>93</v>
      </c>
      <c r="D92" s="161" t="s">
        <v>59</v>
      </c>
      <c r="E92" s="162" t="s">
        <v>60</v>
      </c>
      <c r="F92" s="161" t="s">
        <v>59</v>
      </c>
      <c r="G92" s="163" t="s">
        <v>60</v>
      </c>
    </row>
    <row r="93" spans="1:12" ht="26.25" customHeight="1" x14ac:dyDescent="0.4">
      <c r="A93" s="158" t="s">
        <v>94</v>
      </c>
      <c r="B93" s="159">
        <v>50</v>
      </c>
      <c r="C93" s="251">
        <v>1</v>
      </c>
      <c r="D93" s="165">
        <v>0.437</v>
      </c>
      <c r="E93" s="166">
        <f>IF(ISBLANK(D93),"-",$D$103/$D$100*D93)</f>
        <v>0.50339799405690866</v>
      </c>
      <c r="F93" s="165">
        <v>0.49399999999999999</v>
      </c>
      <c r="G93" s="167">
        <f>IF(ISBLANK(F93),"-",$D$103/$F$100*F93)</f>
        <v>0.51020247974103694</v>
      </c>
    </row>
    <row r="94" spans="1:12" ht="26.25" customHeight="1" x14ac:dyDescent="0.4">
      <c r="A94" s="158" t="s">
        <v>95</v>
      </c>
      <c r="B94" s="159">
        <v>1</v>
      </c>
      <c r="C94" s="187">
        <v>2</v>
      </c>
      <c r="D94" s="169">
        <v>0.441</v>
      </c>
      <c r="E94" s="170">
        <f>IF(ISBLANK(D94),"-",$D$103/$D$100*D94)</f>
        <v>0.50800575601623965</v>
      </c>
      <c r="F94" s="169">
        <v>0.496</v>
      </c>
      <c r="G94" s="171">
        <f>IF(ISBLANK(F94),"-",$D$103/$F$100*F94)</f>
        <v>0.51226807682500874</v>
      </c>
    </row>
    <row r="95" spans="1:12" ht="26.25" customHeight="1" x14ac:dyDescent="0.4">
      <c r="A95" s="158" t="s">
        <v>96</v>
      </c>
      <c r="B95" s="159">
        <v>1</v>
      </c>
      <c r="C95" s="187">
        <v>3</v>
      </c>
      <c r="D95" s="169">
        <v>0.438</v>
      </c>
      <c r="E95" s="170">
        <f>IF(ISBLANK(D95),"-",$D$103/$D$100*D95)</f>
        <v>0.50454993454674146</v>
      </c>
      <c r="F95" s="169">
        <v>0.495</v>
      </c>
      <c r="G95" s="171">
        <f>IF(ISBLANK(F95),"-",$D$103/$F$100*F95)</f>
        <v>0.51123527828302284</v>
      </c>
    </row>
    <row r="96" spans="1:12" ht="26.25" customHeight="1" x14ac:dyDescent="0.4">
      <c r="A96" s="158" t="s">
        <v>97</v>
      </c>
      <c r="B96" s="159">
        <v>1</v>
      </c>
      <c r="C96" s="252">
        <v>4</v>
      </c>
      <c r="D96" s="173"/>
      <c r="E96" s="174" t="str">
        <f>IF(ISBLANK(D96),"-",$D$103/$D$100*D96)</f>
        <v>-</v>
      </c>
      <c r="F96" s="253"/>
      <c r="G96" s="175" t="str">
        <f>IF(ISBLANK(F96),"-",$D$103/$F$100*F96)</f>
        <v>-</v>
      </c>
    </row>
    <row r="97" spans="1:10" ht="27" customHeight="1" thickBot="1" x14ac:dyDescent="0.45">
      <c r="A97" s="158" t="s">
        <v>98</v>
      </c>
      <c r="B97" s="159">
        <v>1</v>
      </c>
      <c r="C97" s="134" t="s">
        <v>61</v>
      </c>
      <c r="D97" s="254">
        <f>AVERAGE(D93:D96)</f>
        <v>0.4386666666666667</v>
      </c>
      <c r="E97" s="178">
        <f>AVERAGE(E93:E96)</f>
        <v>0.50531789487329659</v>
      </c>
      <c r="F97" s="255">
        <f>AVERAGE(F93:F96)</f>
        <v>0.49499999999999994</v>
      </c>
      <c r="G97" s="256">
        <f>AVERAGE(G93:G96)</f>
        <v>0.51123527828302284</v>
      </c>
    </row>
    <row r="98" spans="1:10" ht="26.25" customHeight="1" x14ac:dyDescent="0.4">
      <c r="A98" s="158" t="s">
        <v>99</v>
      </c>
      <c r="B98" s="135">
        <v>1</v>
      </c>
      <c r="C98" s="182" t="s">
        <v>82</v>
      </c>
      <c r="D98" s="183">
        <v>14.65</v>
      </c>
      <c r="E98" s="125"/>
      <c r="F98" s="184">
        <v>16.34</v>
      </c>
    </row>
    <row r="99" spans="1:10" ht="26.25" customHeight="1" x14ac:dyDescent="0.4">
      <c r="A99" s="158" t="s">
        <v>100</v>
      </c>
      <c r="B99" s="135">
        <v>1</v>
      </c>
      <c r="C99" s="185" t="s">
        <v>83</v>
      </c>
      <c r="D99" s="186">
        <f>D98*$B$89</f>
        <v>14.65</v>
      </c>
      <c r="E99" s="187"/>
      <c r="F99" s="188">
        <f>F98*$B$89</f>
        <v>16.34</v>
      </c>
    </row>
    <row r="100" spans="1:10" ht="19.5" customHeight="1" thickBot="1" x14ac:dyDescent="0.35">
      <c r="A100" s="158" t="s">
        <v>62</v>
      </c>
      <c r="B100" s="141">
        <f>(B99/B98)*(B97/B96)*(B95/B94)*(B93/B92)*B91</f>
        <v>1250</v>
      </c>
      <c r="C100" s="185" t="s">
        <v>63</v>
      </c>
      <c r="D100" s="189">
        <f>D99*$B$84/100</f>
        <v>12.056949999999999</v>
      </c>
      <c r="E100" s="190"/>
      <c r="F100" s="191">
        <f>F99*$B$84/100</f>
        <v>13.44782</v>
      </c>
    </row>
    <row r="101" spans="1:10" ht="19.5" customHeight="1" thickBot="1" x14ac:dyDescent="0.35">
      <c r="A101" s="192" t="s">
        <v>64</v>
      </c>
      <c r="B101" s="193"/>
      <c r="C101" s="185" t="s">
        <v>65</v>
      </c>
      <c r="D101" s="186">
        <f>D100/$B$100</f>
        <v>9.6455599999999992E-3</v>
      </c>
      <c r="E101" s="190"/>
      <c r="F101" s="194">
        <f>F100/$B$100</f>
        <v>1.0758256000000001E-2</v>
      </c>
      <c r="H101" s="181"/>
    </row>
    <row r="102" spans="1:10" ht="19.5" customHeight="1" thickBot="1" x14ac:dyDescent="0.35">
      <c r="A102" s="195"/>
      <c r="B102" s="196"/>
      <c r="C102" s="185" t="s">
        <v>101</v>
      </c>
      <c r="D102" s="189">
        <f>$B$56/$B$118</f>
        <v>1.1111111111111112E-2</v>
      </c>
      <c r="F102" s="198"/>
      <c r="G102" s="257"/>
      <c r="H102" s="181"/>
    </row>
    <row r="103" spans="1:10" ht="18.75" x14ac:dyDescent="0.3">
      <c r="C103" s="185" t="s">
        <v>66</v>
      </c>
      <c r="D103" s="186">
        <f>D102*$B$100</f>
        <v>13.888888888888889</v>
      </c>
      <c r="F103" s="198"/>
      <c r="H103" s="181"/>
    </row>
    <row r="104" spans="1:10" ht="19.5" customHeight="1" thickBot="1" x14ac:dyDescent="0.35">
      <c r="C104" s="199" t="s">
        <v>67</v>
      </c>
      <c r="D104" s="200">
        <f>D103/B34</f>
        <v>13.888888888888889</v>
      </c>
      <c r="F104" s="201"/>
      <c r="H104" s="181"/>
      <c r="J104" s="258"/>
    </row>
    <row r="105" spans="1:10" ht="18.75" x14ac:dyDescent="0.3">
      <c r="C105" s="202" t="s">
        <v>68</v>
      </c>
      <c r="D105" s="203">
        <f>AVERAGE(E93:E96,G93:G96)</f>
        <v>0.50827658657815977</v>
      </c>
      <c r="F105" s="201"/>
      <c r="G105" s="257"/>
      <c r="H105" s="181"/>
      <c r="J105" s="259"/>
    </row>
    <row r="106" spans="1:10" ht="18.75" x14ac:dyDescent="0.3">
      <c r="C106" s="204" t="s">
        <v>69</v>
      </c>
      <c r="D106" s="260">
        <f>STDEV(E93:E96,G93:G96)/D105</f>
        <v>7.1565276190431737E-3</v>
      </c>
      <c r="F106" s="201"/>
      <c r="H106" s="181"/>
      <c r="J106" s="259"/>
    </row>
    <row r="107" spans="1:10" ht="19.5" customHeight="1" thickBot="1" x14ac:dyDescent="0.35">
      <c r="C107" s="206" t="s">
        <v>19</v>
      </c>
      <c r="D107" s="261">
        <f>COUNT(E93:E96,G93:G96)</f>
        <v>6</v>
      </c>
      <c r="F107" s="201"/>
      <c r="H107" s="181"/>
      <c r="J107" s="259"/>
    </row>
    <row r="108" spans="1:10" ht="19.5" customHeight="1" thickBot="1" x14ac:dyDescent="0.35">
      <c r="A108" s="120"/>
      <c r="B108" s="120"/>
      <c r="C108" s="120"/>
      <c r="D108" s="120"/>
      <c r="E108" s="120"/>
    </row>
    <row r="109" spans="1:10" ht="26.25" customHeight="1" x14ac:dyDescent="0.4">
      <c r="A109" s="153" t="s">
        <v>84</v>
      </c>
      <c r="B109" s="154">
        <v>900</v>
      </c>
      <c r="C109" s="248" t="s">
        <v>116</v>
      </c>
      <c r="D109" s="262" t="s">
        <v>59</v>
      </c>
      <c r="E109" s="263" t="s">
        <v>85</v>
      </c>
      <c r="F109" s="264" t="s">
        <v>86</v>
      </c>
    </row>
    <row r="110" spans="1:10" ht="26.25" customHeight="1" x14ac:dyDescent="0.4">
      <c r="A110" s="158" t="s">
        <v>103</v>
      </c>
      <c r="B110" s="159">
        <v>2</v>
      </c>
      <c r="C110" s="265">
        <v>1</v>
      </c>
      <c r="D110" s="266">
        <v>0.32700000000000001</v>
      </c>
      <c r="E110" s="267">
        <f t="shared" ref="E110:E115" si="1">IF(ISBLANK(D110),"-",D110/$D$105*$D$102*$B$118)</f>
        <v>321.67525382335896</v>
      </c>
      <c r="F110" s="268">
        <f t="shared" ref="F110:F115" si="2">IF(ISBLANK(D110), "-", E110/$B$56)</f>
        <v>0.64335050764671786</v>
      </c>
    </row>
    <row r="111" spans="1:10" ht="26.25" customHeight="1" x14ac:dyDescent="0.4">
      <c r="A111" s="158" t="s">
        <v>104</v>
      </c>
      <c r="B111" s="159">
        <v>100</v>
      </c>
      <c r="C111" s="265">
        <v>2</v>
      </c>
      <c r="D111" s="266">
        <v>0.378</v>
      </c>
      <c r="E111" s="269">
        <f t="shared" si="1"/>
        <v>371.84478882333235</v>
      </c>
      <c r="F111" s="270">
        <f t="shared" si="2"/>
        <v>0.74368957764666466</v>
      </c>
    </row>
    <row r="112" spans="1:10" ht="26.25" customHeight="1" x14ac:dyDescent="0.4">
      <c r="A112" s="158" t="s">
        <v>105</v>
      </c>
      <c r="B112" s="159">
        <v>1</v>
      </c>
      <c r="C112" s="265">
        <v>3</v>
      </c>
      <c r="D112" s="266">
        <v>0.32400000000000001</v>
      </c>
      <c r="E112" s="269">
        <f t="shared" si="1"/>
        <v>318.72410470571344</v>
      </c>
      <c r="F112" s="270">
        <f t="shared" si="2"/>
        <v>0.63744820941142688</v>
      </c>
    </row>
    <row r="113" spans="1:10" ht="26.25" customHeight="1" x14ac:dyDescent="0.4">
      <c r="A113" s="158" t="s">
        <v>106</v>
      </c>
      <c r="B113" s="159">
        <v>1</v>
      </c>
      <c r="C113" s="265">
        <v>4</v>
      </c>
      <c r="D113" s="266">
        <v>0.32800000000000001</v>
      </c>
      <c r="E113" s="269">
        <f t="shared" si="1"/>
        <v>322.65897019590739</v>
      </c>
      <c r="F113" s="270">
        <f t="shared" si="2"/>
        <v>0.64531794039181478</v>
      </c>
    </row>
    <row r="114" spans="1:10" ht="26.25" customHeight="1" x14ac:dyDescent="0.4">
      <c r="A114" s="158" t="s">
        <v>107</v>
      </c>
      <c r="B114" s="159">
        <v>1</v>
      </c>
      <c r="C114" s="265">
        <v>5</v>
      </c>
      <c r="D114" s="266">
        <v>0.36499999999999999</v>
      </c>
      <c r="E114" s="269">
        <f t="shared" si="1"/>
        <v>359.05647598020181</v>
      </c>
      <c r="F114" s="270">
        <f t="shared" si="2"/>
        <v>0.71811295196040359</v>
      </c>
    </row>
    <row r="115" spans="1:10" ht="26.25" customHeight="1" x14ac:dyDescent="0.4">
      <c r="A115" s="158" t="s">
        <v>108</v>
      </c>
      <c r="B115" s="159">
        <v>1</v>
      </c>
      <c r="C115" s="271">
        <v>6</v>
      </c>
      <c r="D115" s="272">
        <v>0.33</v>
      </c>
      <c r="E115" s="273">
        <f t="shared" si="1"/>
        <v>324.62640294100447</v>
      </c>
      <c r="F115" s="274">
        <f t="shared" si="2"/>
        <v>0.64925280588200895</v>
      </c>
    </row>
    <row r="116" spans="1:10" ht="26.25" customHeight="1" x14ac:dyDescent="0.4">
      <c r="A116" s="158" t="s">
        <v>109</v>
      </c>
      <c r="B116" s="159">
        <v>1</v>
      </c>
      <c r="C116" s="265"/>
      <c r="D116" s="187"/>
      <c r="E116" s="125"/>
      <c r="F116" s="275"/>
    </row>
    <row r="117" spans="1:10" ht="26.25" customHeight="1" x14ac:dyDescent="0.4">
      <c r="A117" s="158" t="s">
        <v>110</v>
      </c>
      <c r="B117" s="159">
        <v>1</v>
      </c>
      <c r="C117" s="265"/>
      <c r="D117" s="276"/>
      <c r="E117" s="277" t="s">
        <v>61</v>
      </c>
      <c r="F117" s="278">
        <f>AVERAGE(F110:F115)</f>
        <v>0.67286199882317277</v>
      </c>
    </row>
    <row r="118" spans="1:10" ht="19.5" customHeight="1" thickBot="1" x14ac:dyDescent="0.35">
      <c r="A118" s="158" t="s">
        <v>79</v>
      </c>
      <c r="B118" s="232">
        <f>(B117/B116)*(B115/B114)*(B113/B112)*(B111/B110)*B109</f>
        <v>45000</v>
      </c>
      <c r="C118" s="279"/>
      <c r="D118" s="280"/>
      <c r="E118" s="134" t="s">
        <v>69</v>
      </c>
      <c r="F118" s="281">
        <f>STDEV(F110:F115)/F117</f>
        <v>6.8123007571571692E-2</v>
      </c>
      <c r="I118" s="125"/>
    </row>
    <row r="119" spans="1:10" ht="19.5" customHeight="1" thickBot="1" x14ac:dyDescent="0.35">
      <c r="A119" s="192" t="s">
        <v>64</v>
      </c>
      <c r="B119" s="282"/>
      <c r="C119" s="283"/>
      <c r="D119" s="284"/>
      <c r="E119" s="285" t="s">
        <v>19</v>
      </c>
      <c r="F119" s="261">
        <f>COUNT(F110:F115)</f>
        <v>6</v>
      </c>
      <c r="I119" s="125"/>
      <c r="J119" s="259"/>
    </row>
    <row r="120" spans="1:10" ht="19.5" customHeight="1" thickBot="1" x14ac:dyDescent="0.35">
      <c r="A120" s="195"/>
      <c r="B120" s="286"/>
      <c r="C120" s="125"/>
      <c r="D120" s="125"/>
      <c r="E120" s="125"/>
      <c r="F120" s="187"/>
      <c r="G120" s="125"/>
      <c r="H120" s="125"/>
      <c r="I120" s="125"/>
    </row>
    <row r="121" spans="1:10" ht="18.75" x14ac:dyDescent="0.3">
      <c r="A121" s="151"/>
      <c r="B121" s="151"/>
      <c r="C121" s="125"/>
      <c r="D121" s="125"/>
      <c r="E121" s="125"/>
      <c r="F121" s="187"/>
      <c r="G121" s="125"/>
      <c r="H121" s="125"/>
      <c r="I121" s="125"/>
    </row>
    <row r="122" spans="1:10" ht="18.75" x14ac:dyDescent="0.3">
      <c r="A122" s="131" t="s">
        <v>111</v>
      </c>
      <c r="B122" s="134" t="s">
        <v>87</v>
      </c>
      <c r="C122" s="245" t="str">
        <f>B20</f>
        <v>CEFUROXIME</v>
      </c>
      <c r="D122" s="245"/>
      <c r="E122" s="125" t="s">
        <v>88</v>
      </c>
      <c r="F122" s="125"/>
      <c r="G122" s="246">
        <f>F117</f>
        <v>0.67286199882317277</v>
      </c>
      <c r="H122" s="125"/>
      <c r="I122" s="125"/>
    </row>
    <row r="123" spans="1:10" ht="18.75" x14ac:dyDescent="0.3">
      <c r="A123" s="151"/>
      <c r="B123" s="151"/>
      <c r="C123" s="125"/>
      <c r="D123" s="125"/>
      <c r="E123" s="125"/>
      <c r="F123" s="187"/>
      <c r="G123" s="125"/>
      <c r="H123" s="125"/>
      <c r="I123" s="125"/>
    </row>
    <row r="124" spans="1:10" ht="26.25" customHeight="1" x14ac:dyDescent="0.4">
      <c r="A124" s="130" t="s">
        <v>113</v>
      </c>
      <c r="B124" s="130" t="s">
        <v>114</v>
      </c>
      <c r="D124" s="247" t="s">
        <v>117</v>
      </c>
    </row>
    <row r="125" spans="1:10" ht="19.5" customHeight="1" thickBot="1" x14ac:dyDescent="0.35">
      <c r="A125" s="120"/>
      <c r="B125" s="120"/>
      <c r="C125" s="120"/>
      <c r="D125" s="120"/>
      <c r="E125" s="120"/>
    </row>
    <row r="126" spans="1:10" ht="26.25" customHeight="1" x14ac:dyDescent="0.4">
      <c r="A126" s="153" t="s">
        <v>84</v>
      </c>
      <c r="B126" s="154">
        <v>900</v>
      </c>
      <c r="C126" s="248" t="s">
        <v>116</v>
      </c>
      <c r="D126" s="262" t="s">
        <v>59</v>
      </c>
      <c r="E126" s="263" t="s">
        <v>85</v>
      </c>
      <c r="F126" s="264" t="s">
        <v>86</v>
      </c>
    </row>
    <row r="127" spans="1:10" ht="26.25" customHeight="1" x14ac:dyDescent="0.4">
      <c r="A127" s="158" t="s">
        <v>103</v>
      </c>
      <c r="B127" s="159">
        <v>2</v>
      </c>
      <c r="C127" s="265">
        <v>1</v>
      </c>
      <c r="D127" s="266">
        <v>0.41299999999999998</v>
      </c>
      <c r="E127" s="287">
        <f t="shared" ref="E127:E132" si="3">IF(ISBLANK(D127),"-",D127/$D$105*$D$102*$B$135)</f>
        <v>406.27486186252969</v>
      </c>
      <c r="F127" s="288">
        <f t="shared" ref="F127:F132" si="4">IF(ISBLANK(D127), "-", E127/$B$56)</f>
        <v>0.8125497237250594</v>
      </c>
    </row>
    <row r="128" spans="1:10" ht="26.25" customHeight="1" x14ac:dyDescent="0.4">
      <c r="A128" s="158" t="s">
        <v>104</v>
      </c>
      <c r="B128" s="159">
        <v>100</v>
      </c>
      <c r="C128" s="265">
        <v>2</v>
      </c>
      <c r="D128" s="266">
        <v>0.435</v>
      </c>
      <c r="E128" s="289">
        <f t="shared" si="3"/>
        <v>427.91662205859677</v>
      </c>
      <c r="F128" s="290">
        <f t="shared" si="4"/>
        <v>0.85583324411719353</v>
      </c>
    </row>
    <row r="129" spans="1:10" ht="26.25" customHeight="1" x14ac:dyDescent="0.4">
      <c r="A129" s="158" t="s">
        <v>105</v>
      </c>
      <c r="B129" s="159">
        <v>1</v>
      </c>
      <c r="C129" s="265">
        <v>3</v>
      </c>
      <c r="D129" s="266">
        <v>0.43</v>
      </c>
      <c r="E129" s="289">
        <f t="shared" si="3"/>
        <v>422.99804019585417</v>
      </c>
      <c r="F129" s="290">
        <f t="shared" si="4"/>
        <v>0.84599608039170837</v>
      </c>
    </row>
    <row r="130" spans="1:10" ht="26.25" customHeight="1" x14ac:dyDescent="0.4">
      <c r="A130" s="158" t="s">
        <v>106</v>
      </c>
      <c r="B130" s="159">
        <v>1</v>
      </c>
      <c r="C130" s="265">
        <v>4</v>
      </c>
      <c r="D130" s="266">
        <v>0.44700000000000001</v>
      </c>
      <c r="E130" s="289">
        <f t="shared" si="3"/>
        <v>439.72121852917866</v>
      </c>
      <c r="F130" s="290">
        <f t="shared" si="4"/>
        <v>0.87944243705835734</v>
      </c>
    </row>
    <row r="131" spans="1:10" ht="26.25" customHeight="1" x14ac:dyDescent="0.4">
      <c r="A131" s="158" t="s">
        <v>107</v>
      </c>
      <c r="B131" s="159">
        <v>1</v>
      </c>
      <c r="C131" s="265">
        <v>5</v>
      </c>
      <c r="D131" s="266">
        <v>0.41899999999999998</v>
      </c>
      <c r="E131" s="289">
        <f t="shared" si="3"/>
        <v>412.17716009782077</v>
      </c>
      <c r="F131" s="290">
        <f t="shared" si="4"/>
        <v>0.82435432019564159</v>
      </c>
    </row>
    <row r="132" spans="1:10" ht="26.25" customHeight="1" x14ac:dyDescent="0.4">
      <c r="A132" s="158" t="s">
        <v>108</v>
      </c>
      <c r="B132" s="159">
        <v>1</v>
      </c>
      <c r="C132" s="271">
        <v>6</v>
      </c>
      <c r="D132" s="272">
        <v>0.41799999999999998</v>
      </c>
      <c r="E132" s="291">
        <f t="shared" si="3"/>
        <v>411.19344372527229</v>
      </c>
      <c r="F132" s="292">
        <f t="shared" si="4"/>
        <v>0.82238688745054456</v>
      </c>
    </row>
    <row r="133" spans="1:10" ht="26.25" customHeight="1" x14ac:dyDescent="0.4">
      <c r="A133" s="158" t="s">
        <v>109</v>
      </c>
      <c r="B133" s="159">
        <v>1</v>
      </c>
      <c r="C133" s="265"/>
      <c r="D133" s="187"/>
      <c r="E133" s="125"/>
      <c r="F133" s="275"/>
    </row>
    <row r="134" spans="1:10" ht="26.25" customHeight="1" x14ac:dyDescent="0.4">
      <c r="A134" s="158" t="s">
        <v>110</v>
      </c>
      <c r="B134" s="159">
        <v>1</v>
      </c>
      <c r="C134" s="265"/>
      <c r="D134" s="276"/>
      <c r="E134" s="277" t="s">
        <v>61</v>
      </c>
      <c r="F134" s="293">
        <f>AVERAGE(F127:F132)</f>
        <v>0.84009378215641739</v>
      </c>
    </row>
    <row r="135" spans="1:10" ht="27" customHeight="1" thickBot="1" x14ac:dyDescent="0.45">
      <c r="A135" s="158" t="s">
        <v>79</v>
      </c>
      <c r="B135" s="159">
        <f>(B134/B133)*(B132/B131)*(B130/B129)*(B128/B127)*B126</f>
        <v>45000</v>
      </c>
      <c r="C135" s="279"/>
      <c r="D135" s="280"/>
      <c r="E135" s="134" t="s">
        <v>69</v>
      </c>
      <c r="F135" s="294">
        <f>STDEV(F127:F132)/F134</f>
        <v>2.988128882011537E-2</v>
      </c>
      <c r="I135" s="125"/>
    </row>
    <row r="136" spans="1:10" ht="27" customHeight="1" thickBot="1" x14ac:dyDescent="0.45">
      <c r="A136" s="192" t="s">
        <v>64</v>
      </c>
      <c r="B136" s="282"/>
      <c r="C136" s="283"/>
      <c r="D136" s="284"/>
      <c r="E136" s="285" t="s">
        <v>19</v>
      </c>
      <c r="F136" s="295">
        <f>COUNT(F127:F132)</f>
        <v>6</v>
      </c>
      <c r="I136" s="125"/>
      <c r="J136" s="259"/>
    </row>
    <row r="137" spans="1:10" ht="19.5" customHeight="1" thickBot="1" x14ac:dyDescent="0.35">
      <c r="A137" s="195"/>
      <c r="B137" s="286"/>
      <c r="C137" s="125"/>
      <c r="D137" s="125"/>
      <c r="E137" s="125"/>
      <c r="F137" s="187"/>
      <c r="G137" s="125"/>
      <c r="H137" s="125"/>
      <c r="I137" s="125"/>
    </row>
    <row r="138" spans="1:10" ht="18.75" x14ac:dyDescent="0.3">
      <c r="A138" s="151"/>
      <c r="B138" s="151"/>
      <c r="C138" s="125"/>
      <c r="D138" s="125"/>
      <c r="E138" s="125"/>
      <c r="F138" s="187"/>
      <c r="G138" s="125"/>
      <c r="H138" s="125"/>
      <c r="I138" s="125"/>
    </row>
    <row r="139" spans="1:10" ht="26.25" customHeight="1" x14ac:dyDescent="0.4">
      <c r="A139" s="131" t="s">
        <v>111</v>
      </c>
      <c r="B139" s="134" t="s">
        <v>87</v>
      </c>
      <c r="C139" s="245" t="str">
        <f>B20</f>
        <v>CEFUROXIME</v>
      </c>
      <c r="D139" s="245"/>
      <c r="E139" s="125" t="s">
        <v>88</v>
      </c>
      <c r="F139" s="125"/>
      <c r="G139" s="296">
        <f>F134</f>
        <v>0.84009378215641739</v>
      </c>
      <c r="H139" s="125"/>
      <c r="I139" s="125"/>
    </row>
    <row r="140" spans="1:10" ht="18.75" x14ac:dyDescent="0.3">
      <c r="A140" s="131"/>
      <c r="B140" s="134"/>
      <c r="C140" s="141"/>
      <c r="D140" s="141"/>
      <c r="E140" s="125"/>
      <c r="F140" s="125"/>
      <c r="G140" s="246"/>
      <c r="H140" s="125"/>
      <c r="I140" s="125"/>
    </row>
    <row r="141" spans="1:10" ht="26.25" customHeight="1" x14ac:dyDescent="0.4">
      <c r="A141" s="130" t="s">
        <v>113</v>
      </c>
      <c r="B141" s="130" t="s">
        <v>114</v>
      </c>
      <c r="D141" s="247"/>
      <c r="H141" s="125"/>
      <c r="I141" s="125"/>
    </row>
    <row r="142" spans="1:10" ht="19.5" customHeight="1" thickBot="1" x14ac:dyDescent="0.35">
      <c r="A142" s="120"/>
      <c r="B142" s="120"/>
      <c r="C142" s="120"/>
      <c r="D142" s="120"/>
      <c r="E142" s="120"/>
      <c r="H142" s="125"/>
      <c r="I142" s="125"/>
    </row>
    <row r="143" spans="1:10" ht="26.25" customHeight="1" x14ac:dyDescent="0.4">
      <c r="A143" s="153" t="s">
        <v>84</v>
      </c>
      <c r="B143" s="154">
        <v>1</v>
      </c>
      <c r="C143" s="248" t="s">
        <v>116</v>
      </c>
      <c r="D143" s="262" t="s">
        <v>59</v>
      </c>
      <c r="E143" s="263" t="s">
        <v>85</v>
      </c>
      <c r="F143" s="264" t="s">
        <v>86</v>
      </c>
      <c r="H143" s="125"/>
      <c r="I143" s="125"/>
    </row>
    <row r="144" spans="1:10" ht="26.25" customHeight="1" x14ac:dyDescent="0.4">
      <c r="A144" s="158" t="s">
        <v>103</v>
      </c>
      <c r="B144" s="159">
        <v>1</v>
      </c>
      <c r="C144" s="265">
        <v>1</v>
      </c>
      <c r="D144" s="297"/>
      <c r="E144" s="287" t="str">
        <f t="shared" ref="E144:E149" si="5">IF(ISBLANK(D144),"-",D144/$D$105*$D$102*$B$152)</f>
        <v>-</v>
      </c>
      <c r="F144" s="288" t="str">
        <f t="shared" ref="F144:F149" si="6">IF(ISBLANK(D144), "-", E144/$B$56)</f>
        <v>-</v>
      </c>
      <c r="H144" s="125"/>
      <c r="I144" s="125"/>
    </row>
    <row r="145" spans="1:9" ht="26.25" customHeight="1" x14ac:dyDescent="0.4">
      <c r="A145" s="158" t="s">
        <v>104</v>
      </c>
      <c r="B145" s="159">
        <v>1</v>
      </c>
      <c r="C145" s="265">
        <v>2</v>
      </c>
      <c r="D145" s="297"/>
      <c r="E145" s="289" t="str">
        <f t="shared" si="5"/>
        <v>-</v>
      </c>
      <c r="F145" s="290" t="str">
        <f t="shared" si="6"/>
        <v>-</v>
      </c>
      <c r="H145" s="125"/>
      <c r="I145" s="125"/>
    </row>
    <row r="146" spans="1:9" ht="26.25" customHeight="1" x14ac:dyDescent="0.4">
      <c r="A146" s="158" t="s">
        <v>105</v>
      </c>
      <c r="B146" s="159">
        <v>1</v>
      </c>
      <c r="C146" s="265">
        <v>3</v>
      </c>
      <c r="D146" s="297"/>
      <c r="E146" s="289" t="str">
        <f t="shared" si="5"/>
        <v>-</v>
      </c>
      <c r="F146" s="290" t="str">
        <f t="shared" si="6"/>
        <v>-</v>
      </c>
      <c r="H146" s="125"/>
      <c r="I146" s="125"/>
    </row>
    <row r="147" spans="1:9" ht="26.25" customHeight="1" x14ac:dyDescent="0.4">
      <c r="A147" s="158" t="s">
        <v>106</v>
      </c>
      <c r="B147" s="159">
        <v>1</v>
      </c>
      <c r="C147" s="265">
        <v>4</v>
      </c>
      <c r="D147" s="297"/>
      <c r="E147" s="289" t="str">
        <f t="shared" si="5"/>
        <v>-</v>
      </c>
      <c r="F147" s="290" t="str">
        <f t="shared" si="6"/>
        <v>-</v>
      </c>
      <c r="H147" s="125"/>
      <c r="I147" s="125"/>
    </row>
    <row r="148" spans="1:9" ht="26.25" customHeight="1" x14ac:dyDescent="0.4">
      <c r="A148" s="158" t="s">
        <v>107</v>
      </c>
      <c r="B148" s="159">
        <v>1</v>
      </c>
      <c r="C148" s="265">
        <v>5</v>
      </c>
      <c r="D148" s="297"/>
      <c r="E148" s="289" t="str">
        <f t="shared" si="5"/>
        <v>-</v>
      </c>
      <c r="F148" s="290" t="str">
        <f t="shared" si="6"/>
        <v>-</v>
      </c>
      <c r="H148" s="125"/>
      <c r="I148" s="125"/>
    </row>
    <row r="149" spans="1:9" ht="26.25" customHeight="1" x14ac:dyDescent="0.4">
      <c r="A149" s="158" t="s">
        <v>108</v>
      </c>
      <c r="B149" s="159">
        <v>1</v>
      </c>
      <c r="C149" s="271">
        <v>6</v>
      </c>
      <c r="D149" s="298"/>
      <c r="E149" s="291" t="str">
        <f t="shared" si="5"/>
        <v>-</v>
      </c>
      <c r="F149" s="292" t="str">
        <f t="shared" si="6"/>
        <v>-</v>
      </c>
      <c r="H149" s="125"/>
      <c r="I149" s="125"/>
    </row>
    <row r="150" spans="1:9" ht="26.25" customHeight="1" x14ac:dyDescent="0.4">
      <c r="A150" s="158" t="s">
        <v>109</v>
      </c>
      <c r="B150" s="159">
        <v>1</v>
      </c>
      <c r="C150" s="265"/>
      <c r="D150" s="187"/>
      <c r="E150" s="125"/>
      <c r="F150" s="275"/>
      <c r="H150" s="125"/>
      <c r="I150" s="125"/>
    </row>
    <row r="151" spans="1:9" ht="26.25" customHeight="1" x14ac:dyDescent="0.4">
      <c r="A151" s="158" t="s">
        <v>110</v>
      </c>
      <c r="B151" s="159">
        <v>1</v>
      </c>
      <c r="C151" s="265"/>
      <c r="D151" s="276"/>
      <c r="E151" s="277" t="s">
        <v>61</v>
      </c>
      <c r="F151" s="293" t="e">
        <f>AVERAGE(F144:F149)</f>
        <v>#DIV/0!</v>
      </c>
      <c r="H151" s="125"/>
      <c r="I151" s="125"/>
    </row>
    <row r="152" spans="1:9" ht="27" customHeight="1" thickBot="1" x14ac:dyDescent="0.45">
      <c r="A152" s="158" t="s">
        <v>79</v>
      </c>
      <c r="B152" s="159">
        <v>1</v>
      </c>
      <c r="C152" s="279"/>
      <c r="D152" s="280"/>
      <c r="E152" s="134" t="s">
        <v>69</v>
      </c>
      <c r="F152" s="294" t="e">
        <f>STDEV(F144:F149)/F151</f>
        <v>#DIV/0!</v>
      </c>
      <c r="H152" s="125"/>
      <c r="I152" s="125"/>
    </row>
    <row r="153" spans="1:9" ht="27" customHeight="1" thickBot="1" x14ac:dyDescent="0.45">
      <c r="A153" s="192" t="s">
        <v>64</v>
      </c>
      <c r="B153" s="282"/>
      <c r="C153" s="283"/>
      <c r="D153" s="284"/>
      <c r="E153" s="285" t="s">
        <v>19</v>
      </c>
      <c r="F153" s="295">
        <f>COUNT(F144:F149)</f>
        <v>0</v>
      </c>
      <c r="H153" s="125"/>
      <c r="I153" s="125"/>
    </row>
    <row r="154" spans="1:9" ht="19.5" customHeight="1" thickBot="1" x14ac:dyDescent="0.35">
      <c r="A154" s="195"/>
      <c r="B154" s="286"/>
      <c r="C154" s="125"/>
      <c r="D154" s="125"/>
      <c r="E154" s="125"/>
      <c r="F154" s="187"/>
      <c r="G154" s="125"/>
      <c r="H154" s="125"/>
      <c r="I154" s="125"/>
    </row>
    <row r="155" spans="1:9" ht="18.75" x14ac:dyDescent="0.3">
      <c r="A155" s="151"/>
      <c r="B155" s="151"/>
      <c r="C155" s="125"/>
      <c r="D155" s="125"/>
      <c r="E155" s="125"/>
      <c r="F155" s="187"/>
      <c r="G155" s="125"/>
      <c r="H155" s="125"/>
      <c r="I155" s="125"/>
    </row>
    <row r="156" spans="1:9" ht="26.25" customHeight="1" x14ac:dyDescent="0.4">
      <c r="A156" s="131" t="s">
        <v>111</v>
      </c>
      <c r="B156" s="134" t="s">
        <v>87</v>
      </c>
      <c r="C156" s="245" t="str">
        <f>B20</f>
        <v>CEFUROXIME</v>
      </c>
      <c r="D156" s="245"/>
      <c r="E156" s="125" t="s">
        <v>88</v>
      </c>
      <c r="F156" s="125"/>
      <c r="G156" s="296" t="e">
        <f>F151</f>
        <v>#DIV/0!</v>
      </c>
      <c r="H156" s="125"/>
      <c r="I156" s="125"/>
    </row>
    <row r="157" spans="1:9" ht="18.75" x14ac:dyDescent="0.3">
      <c r="A157" s="131"/>
      <c r="B157" s="134"/>
      <c r="C157" s="141"/>
      <c r="D157" s="141"/>
      <c r="E157" s="125"/>
      <c r="F157" s="125"/>
      <c r="G157" s="246"/>
      <c r="H157" s="125"/>
      <c r="I157" s="125"/>
    </row>
    <row r="158" spans="1:9" ht="26.25" customHeight="1" x14ac:dyDescent="0.4">
      <c r="A158" s="130" t="s">
        <v>113</v>
      </c>
      <c r="B158" s="130" t="s">
        <v>114</v>
      </c>
      <c r="D158" s="247"/>
      <c r="H158" s="125"/>
      <c r="I158" s="125"/>
    </row>
    <row r="159" spans="1:9" ht="19.5" customHeight="1" thickBot="1" x14ac:dyDescent="0.35">
      <c r="A159" s="120"/>
      <c r="B159" s="120"/>
      <c r="C159" s="120"/>
      <c r="D159" s="120"/>
      <c r="E159" s="120"/>
      <c r="H159" s="125"/>
      <c r="I159" s="125"/>
    </row>
    <row r="160" spans="1:9" ht="26.25" customHeight="1" x14ac:dyDescent="0.4">
      <c r="A160" s="153" t="s">
        <v>84</v>
      </c>
      <c r="B160" s="154">
        <v>1</v>
      </c>
      <c r="C160" s="248" t="s">
        <v>116</v>
      </c>
      <c r="D160" s="262" t="s">
        <v>59</v>
      </c>
      <c r="E160" s="263" t="s">
        <v>85</v>
      </c>
      <c r="F160" s="264" t="s">
        <v>86</v>
      </c>
      <c r="H160" s="125"/>
      <c r="I160" s="125"/>
    </row>
    <row r="161" spans="1:9" ht="26.25" customHeight="1" x14ac:dyDescent="0.4">
      <c r="A161" s="158" t="s">
        <v>103</v>
      </c>
      <c r="B161" s="159">
        <v>1</v>
      </c>
      <c r="C161" s="265">
        <v>1</v>
      </c>
      <c r="D161" s="297"/>
      <c r="E161" s="287" t="str">
        <f t="shared" ref="E161:E166" si="7">IF(ISBLANK(D161),"-",D161/$D$105*$D$102*$B$169)</f>
        <v>-</v>
      </c>
      <c r="F161" s="288" t="str">
        <f t="shared" ref="F161:F166" si="8">IF(ISBLANK(D161), "-", E161/$B$56)</f>
        <v>-</v>
      </c>
      <c r="H161" s="125"/>
      <c r="I161" s="125"/>
    </row>
    <row r="162" spans="1:9" ht="26.25" customHeight="1" x14ac:dyDescent="0.4">
      <c r="A162" s="158" t="s">
        <v>104</v>
      </c>
      <c r="B162" s="159">
        <v>1</v>
      </c>
      <c r="C162" s="265">
        <v>2</v>
      </c>
      <c r="D162" s="297"/>
      <c r="E162" s="289" t="str">
        <f t="shared" si="7"/>
        <v>-</v>
      </c>
      <c r="F162" s="290" t="str">
        <f t="shared" si="8"/>
        <v>-</v>
      </c>
      <c r="H162" s="125"/>
      <c r="I162" s="125"/>
    </row>
    <row r="163" spans="1:9" ht="26.25" customHeight="1" x14ac:dyDescent="0.4">
      <c r="A163" s="158" t="s">
        <v>105</v>
      </c>
      <c r="B163" s="159">
        <v>1</v>
      </c>
      <c r="C163" s="265">
        <v>3</v>
      </c>
      <c r="D163" s="297"/>
      <c r="E163" s="289" t="str">
        <f t="shared" si="7"/>
        <v>-</v>
      </c>
      <c r="F163" s="290" t="str">
        <f t="shared" si="8"/>
        <v>-</v>
      </c>
      <c r="H163" s="125"/>
      <c r="I163" s="125"/>
    </row>
    <row r="164" spans="1:9" ht="26.25" customHeight="1" x14ac:dyDescent="0.4">
      <c r="A164" s="158" t="s">
        <v>106</v>
      </c>
      <c r="B164" s="159">
        <v>1</v>
      </c>
      <c r="C164" s="265">
        <v>4</v>
      </c>
      <c r="D164" s="297"/>
      <c r="E164" s="289" t="str">
        <f t="shared" si="7"/>
        <v>-</v>
      </c>
      <c r="F164" s="290" t="str">
        <f t="shared" si="8"/>
        <v>-</v>
      </c>
      <c r="H164" s="125"/>
      <c r="I164" s="125"/>
    </row>
    <row r="165" spans="1:9" ht="26.25" customHeight="1" x14ac:dyDescent="0.4">
      <c r="A165" s="158" t="s">
        <v>107</v>
      </c>
      <c r="B165" s="159">
        <v>1</v>
      </c>
      <c r="C165" s="265">
        <v>5</v>
      </c>
      <c r="D165" s="297"/>
      <c r="E165" s="289" t="str">
        <f t="shared" si="7"/>
        <v>-</v>
      </c>
      <c r="F165" s="290" t="str">
        <f t="shared" si="8"/>
        <v>-</v>
      </c>
      <c r="H165" s="125"/>
      <c r="I165" s="125"/>
    </row>
    <row r="166" spans="1:9" ht="26.25" customHeight="1" x14ac:dyDescent="0.4">
      <c r="A166" s="158" t="s">
        <v>108</v>
      </c>
      <c r="B166" s="159">
        <v>1</v>
      </c>
      <c r="C166" s="271">
        <v>6</v>
      </c>
      <c r="D166" s="298"/>
      <c r="E166" s="291" t="str">
        <f t="shared" si="7"/>
        <v>-</v>
      </c>
      <c r="F166" s="292" t="str">
        <f t="shared" si="8"/>
        <v>-</v>
      </c>
      <c r="H166" s="125"/>
      <c r="I166" s="125"/>
    </row>
    <row r="167" spans="1:9" ht="26.25" customHeight="1" x14ac:dyDescent="0.4">
      <c r="A167" s="158" t="s">
        <v>109</v>
      </c>
      <c r="B167" s="159">
        <v>1</v>
      </c>
      <c r="C167" s="265"/>
      <c r="D167" s="187"/>
      <c r="E167" s="125"/>
      <c r="F167" s="275"/>
      <c r="H167" s="125"/>
      <c r="I167" s="125"/>
    </row>
    <row r="168" spans="1:9" ht="26.25" customHeight="1" x14ac:dyDescent="0.4">
      <c r="A168" s="158" t="s">
        <v>110</v>
      </c>
      <c r="B168" s="159">
        <v>1</v>
      </c>
      <c r="C168" s="265"/>
      <c r="D168" s="276"/>
      <c r="E168" s="277" t="s">
        <v>61</v>
      </c>
      <c r="F168" s="293" t="e">
        <f>AVERAGE(F161:F166)</f>
        <v>#DIV/0!</v>
      </c>
      <c r="H168" s="125"/>
      <c r="I168" s="125"/>
    </row>
    <row r="169" spans="1:9" ht="27" customHeight="1" thickBot="1" x14ac:dyDescent="0.45">
      <c r="A169" s="158" t="s">
        <v>79</v>
      </c>
      <c r="B169" s="159">
        <f>(B168/B167)*(B166/B165)*(B164/B163)*(B162/B161)*B160</f>
        <v>1</v>
      </c>
      <c r="C169" s="279"/>
      <c r="D169" s="280"/>
      <c r="E169" s="134" t="s">
        <v>69</v>
      </c>
      <c r="F169" s="294" t="e">
        <f>STDEV(F161:F166)/F168</f>
        <v>#DIV/0!</v>
      </c>
      <c r="H169" s="125"/>
      <c r="I169" s="125"/>
    </row>
    <row r="170" spans="1:9" ht="27" customHeight="1" thickBot="1" x14ac:dyDescent="0.45">
      <c r="A170" s="192" t="s">
        <v>64</v>
      </c>
      <c r="B170" s="282"/>
      <c r="C170" s="283"/>
      <c r="D170" s="284"/>
      <c r="E170" s="285" t="s">
        <v>19</v>
      </c>
      <c r="F170" s="295">
        <f>COUNT(F161:F166)</f>
        <v>0</v>
      </c>
      <c r="H170" s="125"/>
      <c r="I170" s="125"/>
    </row>
    <row r="171" spans="1:9" ht="19.5" customHeight="1" thickBot="1" x14ac:dyDescent="0.35">
      <c r="A171" s="195"/>
      <c r="B171" s="286"/>
      <c r="C171" s="125"/>
      <c r="D171" s="125"/>
      <c r="E171" s="125"/>
      <c r="F171" s="187"/>
      <c r="G171" s="125"/>
      <c r="H171" s="125"/>
      <c r="I171" s="125"/>
    </row>
    <row r="172" spans="1:9" ht="18.75" x14ac:dyDescent="0.3">
      <c r="A172" s="151"/>
      <c r="B172" s="151"/>
      <c r="C172" s="125"/>
      <c r="D172" s="125"/>
      <c r="E172" s="125"/>
      <c r="F172" s="187"/>
      <c r="G172" s="125"/>
      <c r="H172" s="125"/>
      <c r="I172" s="125"/>
    </row>
    <row r="173" spans="1:9" ht="26.25" customHeight="1" x14ac:dyDescent="0.4">
      <c r="A173" s="131" t="s">
        <v>111</v>
      </c>
      <c r="B173" s="134" t="s">
        <v>87</v>
      </c>
      <c r="C173" s="245" t="str">
        <f>B20</f>
        <v>CEFUROXIME</v>
      </c>
      <c r="D173" s="245"/>
      <c r="E173" s="125" t="s">
        <v>88</v>
      </c>
      <c r="F173" s="125"/>
      <c r="G173" s="296" t="e">
        <f>F168</f>
        <v>#DIV/0!</v>
      </c>
      <c r="H173" s="125"/>
      <c r="I173" s="125"/>
    </row>
    <row r="174" spans="1:9" ht="18.75" x14ac:dyDescent="0.3">
      <c r="A174" s="131"/>
      <c r="B174" s="134"/>
      <c r="C174" s="141"/>
      <c r="D174" s="141"/>
      <c r="E174" s="125"/>
      <c r="F174" s="125"/>
      <c r="G174" s="246"/>
      <c r="H174" s="125"/>
      <c r="I174" s="125"/>
    </row>
    <row r="175" spans="1:9" ht="19.5" customHeight="1" thickBot="1" x14ac:dyDescent="0.35">
      <c r="A175" s="299"/>
      <c r="B175" s="299"/>
      <c r="C175" s="300"/>
      <c r="D175" s="300"/>
      <c r="E175" s="300"/>
      <c r="F175" s="300"/>
      <c r="G175" s="300"/>
      <c r="H175" s="300"/>
    </row>
    <row r="176" spans="1:9" ht="18.75" x14ac:dyDescent="0.3">
      <c r="B176" s="301" t="s">
        <v>24</v>
      </c>
      <c r="C176" s="301"/>
      <c r="E176" s="250" t="s">
        <v>25</v>
      </c>
      <c r="F176" s="302"/>
      <c r="G176" s="301" t="s">
        <v>26</v>
      </c>
      <c r="H176" s="301"/>
    </row>
    <row r="177" spans="1:9" ht="83.1" customHeight="1" x14ac:dyDescent="0.3">
      <c r="A177" s="131" t="s">
        <v>27</v>
      </c>
      <c r="B177" s="303" t="s">
        <v>126</v>
      </c>
      <c r="C177" s="303"/>
      <c r="E177" s="304"/>
      <c r="F177" s="125"/>
      <c r="G177" s="304"/>
      <c r="H177" s="304"/>
    </row>
    <row r="178" spans="1:9" ht="83.1" customHeight="1" x14ac:dyDescent="0.3">
      <c r="A178" s="131" t="s">
        <v>28</v>
      </c>
      <c r="B178" s="305"/>
      <c r="C178" s="305"/>
      <c r="E178" s="306"/>
      <c r="F178" s="125"/>
      <c r="G178" s="307"/>
      <c r="H178" s="307"/>
    </row>
    <row r="179" spans="1:9" ht="18.75" x14ac:dyDescent="0.3">
      <c r="A179" s="187"/>
      <c r="B179" s="187"/>
      <c r="C179" s="187"/>
      <c r="D179" s="187"/>
      <c r="E179" s="187"/>
      <c r="F179" s="190"/>
      <c r="G179" s="187"/>
      <c r="H179" s="187"/>
      <c r="I179" s="125"/>
    </row>
    <row r="180" spans="1:9" ht="18.75" x14ac:dyDescent="0.3">
      <c r="A180" s="187"/>
      <c r="B180" s="187"/>
      <c r="C180" s="187"/>
      <c r="D180" s="187"/>
      <c r="E180" s="187"/>
      <c r="F180" s="190"/>
      <c r="G180" s="187"/>
      <c r="H180" s="187"/>
      <c r="I180" s="125"/>
    </row>
    <row r="181" spans="1:9" ht="18.75" x14ac:dyDescent="0.3">
      <c r="A181" s="187"/>
      <c r="B181" s="187"/>
      <c r="C181" s="187"/>
      <c r="D181" s="187"/>
      <c r="E181" s="187"/>
      <c r="F181" s="190"/>
      <c r="G181" s="187"/>
      <c r="H181" s="187"/>
      <c r="I181" s="125"/>
    </row>
    <row r="182" spans="1:9" ht="18.75" x14ac:dyDescent="0.3">
      <c r="A182" s="187"/>
      <c r="B182" s="187"/>
      <c r="C182" s="187"/>
      <c r="D182" s="187"/>
      <c r="E182" s="187"/>
      <c r="F182" s="190"/>
      <c r="G182" s="187"/>
      <c r="H182" s="187"/>
      <c r="I182" s="125"/>
    </row>
    <row r="183" spans="1:9" ht="18.75" x14ac:dyDescent="0.3">
      <c r="A183" s="187"/>
      <c r="B183" s="187"/>
      <c r="C183" s="187"/>
      <c r="D183" s="187"/>
      <c r="E183" s="187"/>
      <c r="F183" s="190"/>
      <c r="G183" s="187"/>
      <c r="H183" s="187"/>
      <c r="I183" s="125"/>
    </row>
    <row r="184" spans="1:9" ht="18.75" x14ac:dyDescent="0.3">
      <c r="A184" s="187"/>
      <c r="B184" s="187"/>
      <c r="C184" s="187"/>
      <c r="D184" s="187"/>
      <c r="E184" s="187"/>
      <c r="F184" s="190"/>
      <c r="G184" s="187"/>
      <c r="H184" s="187"/>
      <c r="I184" s="125"/>
    </row>
    <row r="185" spans="1:9" ht="18.75" x14ac:dyDescent="0.3">
      <c r="A185" s="187"/>
      <c r="B185" s="187"/>
      <c r="C185" s="187"/>
      <c r="D185" s="187"/>
      <c r="E185" s="187"/>
      <c r="F185" s="190"/>
      <c r="G185" s="187"/>
      <c r="H185" s="187"/>
      <c r="I185" s="125"/>
    </row>
    <row r="186" spans="1:9" ht="18.75" x14ac:dyDescent="0.3">
      <c r="A186" s="187"/>
      <c r="B186" s="187"/>
      <c r="C186" s="187"/>
      <c r="D186" s="187"/>
      <c r="E186" s="187"/>
      <c r="F186" s="190"/>
      <c r="G186" s="187"/>
      <c r="H186" s="187"/>
      <c r="I186" s="125"/>
    </row>
    <row r="187" spans="1:9" ht="18.75" x14ac:dyDescent="0.3">
      <c r="A187" s="187"/>
      <c r="B187" s="187"/>
      <c r="C187" s="187"/>
      <c r="D187" s="187"/>
      <c r="E187" s="187"/>
      <c r="F187" s="190"/>
      <c r="G187" s="187"/>
      <c r="H187" s="187"/>
      <c r="I187" s="125"/>
    </row>
    <row r="250" spans="1:1" x14ac:dyDescent="0.25">
      <c r="A250" s="115">
        <v>0</v>
      </c>
    </row>
  </sheetData>
  <sheetProtection password="F258" sheet="1" objects="1" scenarios="1" formatCells="0" formatColumns="0"/>
  <mergeCells count="34">
    <mergeCell ref="C173:D173"/>
    <mergeCell ref="B176:C176"/>
    <mergeCell ref="G176:H176"/>
    <mergeCell ref="C122:D122"/>
    <mergeCell ref="A136:B137"/>
    <mergeCell ref="C139:D139"/>
    <mergeCell ref="A153:B154"/>
    <mergeCell ref="C156:D156"/>
    <mergeCell ref="A170:B171"/>
    <mergeCell ref="C83:G83"/>
    <mergeCell ref="C86:H86"/>
    <mergeCell ref="C87:H87"/>
    <mergeCell ref="F91:G91"/>
    <mergeCell ref="A101:B102"/>
    <mergeCell ref="A119:B120"/>
    <mergeCell ref="C64:C67"/>
    <mergeCell ref="D64:D67"/>
    <mergeCell ref="C68:C71"/>
    <mergeCell ref="D68:D71"/>
    <mergeCell ref="A70:B71"/>
    <mergeCell ref="C76:D76"/>
    <mergeCell ref="C31:H31"/>
    <mergeCell ref="C32:H32"/>
    <mergeCell ref="D36:E36"/>
    <mergeCell ref="F36:G36"/>
    <mergeCell ref="A46:B47"/>
    <mergeCell ref="C60:C63"/>
    <mergeCell ref="D60:D63"/>
    <mergeCell ref="A1:H7"/>
    <mergeCell ref="A8:H14"/>
    <mergeCell ref="A16:H16"/>
    <mergeCell ref="B18:C18"/>
    <mergeCell ref="B21:H21"/>
    <mergeCell ref="C29:G29"/>
  </mergeCells>
  <printOptions horizontalCentered="1" verticalCentered="1"/>
  <pageMargins left="0.7" right="0.7" top="0.75" bottom="0.75" header="0.3" footer="0.3"/>
  <pageSetup paperSize="9" scale="18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7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Uniformity</vt:lpstr>
      <vt:lpstr>Cefuroxime </vt:lpstr>
      <vt:lpstr>'Cefuroxime '!Print_Area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2018-08-29T12:29:27Z</cp:lastPrinted>
  <dcterms:created xsi:type="dcterms:W3CDTF">2005-07-05T10:19:27Z</dcterms:created>
  <dcterms:modified xsi:type="dcterms:W3CDTF">2018-08-29T12:38:36Z</dcterms:modified>
</cp:coreProperties>
</file>