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20775" windowHeight="11445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3" i="3" l="1"/>
  <c r="D51" i="3"/>
  <c r="D50" i="3"/>
  <c r="G42" i="3"/>
  <c r="E42" i="3"/>
  <c r="E40" i="3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D49" i="2"/>
  <c r="C46" i="2"/>
  <c r="B57" i="3" s="1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F45" i="3"/>
  <c r="F46" i="3" s="1"/>
  <c r="I39" i="3"/>
  <c r="D49" i="3"/>
  <c r="G41" i="3"/>
  <c r="F98" i="3"/>
  <c r="F99" i="3" s="1"/>
  <c r="D29" i="2"/>
  <c r="D41" i="2"/>
  <c r="D25" i="2"/>
  <c r="D33" i="2"/>
  <c r="D37" i="2"/>
  <c r="C50" i="2"/>
  <c r="D26" i="2"/>
  <c r="D30" i="2"/>
  <c r="D34" i="2"/>
  <c r="D38" i="2"/>
  <c r="D42" i="2"/>
  <c r="B49" i="2"/>
  <c r="D50" i="2"/>
  <c r="D44" i="3"/>
  <c r="D45" i="3" s="1"/>
  <c r="D46" i="3" s="1"/>
  <c r="D97" i="3"/>
  <c r="D98" i="3" s="1"/>
  <c r="D99" i="3" s="1"/>
  <c r="D27" i="2"/>
  <c r="D31" i="2"/>
  <c r="D35" i="2"/>
  <c r="D39" i="2"/>
  <c r="D43" i="2"/>
  <c r="C49" i="2"/>
  <c r="G91" i="3" l="1"/>
  <c r="G92" i="3"/>
  <c r="G40" i="3"/>
  <c r="G93" i="3"/>
  <c r="G39" i="3"/>
  <c r="E93" i="3"/>
  <c r="G94" i="3"/>
  <c r="G38" i="3"/>
  <c r="E38" i="3"/>
  <c r="E41" i="3"/>
  <c r="E39" i="3"/>
  <c r="E91" i="3"/>
  <c r="E92" i="3"/>
  <c r="E94" i="3"/>
  <c r="G95" i="3" l="1"/>
  <c r="D103" i="3"/>
  <c r="E95" i="3"/>
  <c r="D105" i="3"/>
  <c r="D52" i="3"/>
  <c r="G70" i="3" l="1"/>
  <c r="H70" i="3" s="1"/>
  <c r="G67" i="3"/>
  <c r="H67" i="3" s="1"/>
  <c r="G65" i="3"/>
  <c r="H65" i="3" s="1"/>
  <c r="G63" i="3"/>
  <c r="H63" i="3" s="1"/>
  <c r="G61" i="3"/>
  <c r="G69" i="3"/>
  <c r="H69" i="3" s="1"/>
  <c r="G66" i="3"/>
  <c r="H66" i="3" s="1"/>
  <c r="G62" i="3"/>
  <c r="G68" i="3"/>
  <c r="H68" i="3" s="1"/>
  <c r="G71" i="3"/>
  <c r="H71" i="3" s="1"/>
  <c r="G60" i="3"/>
  <c r="G64" i="3"/>
  <c r="H64" i="3" s="1"/>
  <c r="E112" i="3"/>
  <c r="F112" i="3" s="1"/>
  <c r="E110" i="3"/>
  <c r="F110" i="3" s="1"/>
  <c r="E108" i="3"/>
  <c r="F108" i="3" s="1"/>
  <c r="E109" i="3"/>
  <c r="F109" i="3" s="1"/>
  <c r="E111" i="3"/>
  <c r="F111" i="3" s="1"/>
  <c r="D104" i="3"/>
  <c r="E113" i="3"/>
  <c r="F115" i="3" l="1"/>
  <c r="H72" i="3"/>
  <c r="G76" i="3" s="1"/>
  <c r="H74" i="3"/>
  <c r="F117" i="3"/>
  <c r="H73" i="3" l="1"/>
  <c r="G120" i="3"/>
  <c r="F116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<sst xmlns="http://schemas.openxmlformats.org/spreadsheetml/2006/main" count="233" uniqueCount="128">
  <si>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</si>
  <si>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</si>
  <si>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</si>
  <si>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</si>
  <si>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</si>
  <si>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</si>
  <si>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</si>
  <si>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NDQB201505258</t>
  </si>
  <si>
    <t>Weight (mg):</t>
  </si>
  <si>
    <t>Nevirapine USP</t>
  </si>
  <si>
    <t>Standard Conc (mg/mL):</t>
  </si>
  <si>
    <t xml:space="preserve">Each film coated tablet contains: Nevirapine USP 200mg </t>
  </si>
  <si>
    <t>2015-05-27 07:45:12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</si>
  <si>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</si>
  <si>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</si>
  <si>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</si>
  <si>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</si>
  <si>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</si>
  <si>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</si>
  <si>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</si>
  <si>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</si>
  <si>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</si>
  <si>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</si>
  <si>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</si>
  <si>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</si>
  <si>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</si>
  <si>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</si>
  <si>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</si>
  <si>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</si>
  <si>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</si>
  <si>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</si>
  <si>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</si>
  <si>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</si>
  <si>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</si>
  <si>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</si>
  <si>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</si>
  <si>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</si>
  <si>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</si>
  <si>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</si>
  <si>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</si>
  <si>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</si>
  <si>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</si>
  <si>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</si>
  <si>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</si>
  <si>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</si>
  <si>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</si>
  <si>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</si>
  <si>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</si>
  <si>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</si>
  <si>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</si>
  <si>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</si>
  <si>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</si>
  <si>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</si>
  <si>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</si>
  <si>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</si>
  <si>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</si>
  <si>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</si>
  <si>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</si>
  <si>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</si>
  <si>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</si>
  <si>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</si>
  <si>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</si>
  <si>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</si>
  <si>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</si>
  <si>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</si>
  <si>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</si>
  <si>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</si>
  <si>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</si>
  <si>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</si>
  <si>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</si>
  <si>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</si>
  <si>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</si>
  <si>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</si>
  <si>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</si>
  <si>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</si>
  <si>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</si>
  <si>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</si>
  <si>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</si>
  <si>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</si>
  <si>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</si>
  <si>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</si>
  <si>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</si>
  <si>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</si>
  <si>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</si>
  <si>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</si>
  <si>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</si>
  <si>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</si>
  <si>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</si>
  <si>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</si>
  <si>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</si>
  <si>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</si>
  <si>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</si>
  <si>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</si>
  <si>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</si>
  <si>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</si>
  <si>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</si>
  <si>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</si>
  <si>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</si>
  <si>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</si>
  <si>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</si>
  <si>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</si>
  <si>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</si>
  <si>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</si>
  <si>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</si>
  <si>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</si>
  <si>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</si>
  <si>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</si>
  <si>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</si>
  <si>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</si>
  <si>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</si>
  <si>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</si>
  <si>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</si>
  <si>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</si>
  <si>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</si>
  <si>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</si>
  <si>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</si>
  <si>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</si>
  <si>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</si>
  <si>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</si>
  <si>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</si>
  <si>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</si>
  <si>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</si>
  <si>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</si>
  <si>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</si>
  <si>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</si>
  <si>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 Anhydrous</t>
  </si>
  <si>
    <t xml:space="preserve"> 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</si>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</sst>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81" formatCode="0.0000000000%"/>
    <numFmt numFmtId="194" formatCode="0.0000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81" fontId="11" fillId="2" borderId="13" xfId="0" applyNumberFormat="1" applyFont="1" applyFill="1" applyBorder="1" applyAlignment="1">
      <alignment horizontal="center" vertical="center"/>
    </xf>
    <xf numFmtId="194" fontId="2" fillId="2" borderId="0" xfId="0" applyNumberFormat="1" applyFont="1" applyFill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8" workbookViewId="0">
      <selection activeCell="E32" sqref="E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56809584</v>
      </c>
      <c r="C24" s="18">
        <v>8319.4</v>
      </c>
      <c r="D24" s="19">
        <v>1.08</v>
      </c>
      <c r="E24" s="20">
        <v>4.91</v>
      </c>
    </row>
    <row r="25" spans="1:6" ht="16.5" customHeight="1" x14ac:dyDescent="0.3">
      <c r="A25" s="17">
        <v>2</v>
      </c>
      <c r="B25" s="18">
        <v>56870474</v>
      </c>
      <c r="C25" s="18">
        <v>8294.1</v>
      </c>
      <c r="D25" s="19">
        <v>1.07</v>
      </c>
      <c r="E25" s="19">
        <v>4.91</v>
      </c>
    </row>
    <row r="26" spans="1:6" ht="16.5" customHeight="1" x14ac:dyDescent="0.3">
      <c r="A26" s="17">
        <v>3</v>
      </c>
      <c r="B26" s="18">
        <v>57023885</v>
      </c>
      <c r="C26" s="18">
        <v>8320.7999999999993</v>
      </c>
      <c r="D26" s="19">
        <v>1.0900000000000001</v>
      </c>
      <c r="E26" s="19">
        <v>4.92</v>
      </c>
    </row>
    <row r="27" spans="1:6" ht="16.5" customHeight="1" x14ac:dyDescent="0.3">
      <c r="A27" s="17">
        <v>4</v>
      </c>
      <c r="B27" s="18">
        <v>56816363</v>
      </c>
      <c r="C27" s="18">
        <v>8264</v>
      </c>
      <c r="D27" s="19">
        <v>1.1000000000000001</v>
      </c>
      <c r="E27" s="19">
        <v>4.91</v>
      </c>
    </row>
    <row r="28" spans="1:6" ht="16.5" customHeight="1" x14ac:dyDescent="0.3">
      <c r="A28" s="17">
        <v>5</v>
      </c>
      <c r="B28" s="18">
        <v>56860742</v>
      </c>
      <c r="C28" s="18">
        <v>8271</v>
      </c>
      <c r="D28" s="19">
        <v>1.07</v>
      </c>
      <c r="E28" s="19">
        <v>4.91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56876209.600000001</v>
      </c>
      <c r="C30" s="25">
        <f>AVERAGE(C24:C29)</f>
        <v>8293.86</v>
      </c>
      <c r="D30" s="26">
        <f>AVERAGE(D24:D29)</f>
        <v>1.0820000000000001</v>
      </c>
      <c r="E30" s="26">
        <f>AVERAGE(E24:E29)</f>
        <v>4.9119999999999999</v>
      </c>
    </row>
    <row r="31" spans="1:6" ht="16.5" customHeight="1" x14ac:dyDescent="0.3">
      <c r="A31" s="27" t="s">
        <v>19</v>
      </c>
      <c r="B31" s="28">
        <f>(STDEV(B24:B29)/B30)</f>
        <v>1.5252043768281187E-3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106614116</v>
      </c>
      <c r="C45" s="18">
        <v>7980.3</v>
      </c>
      <c r="D45" s="19">
        <v>1.0900000000000001</v>
      </c>
      <c r="E45" s="20">
        <v>5</v>
      </c>
    </row>
    <row r="46" spans="1:6" ht="16.5" customHeight="1" x14ac:dyDescent="0.3">
      <c r="A46" s="17">
        <v>2</v>
      </c>
      <c r="B46" s="18">
        <v>106624557</v>
      </c>
      <c r="C46" s="18">
        <v>7908.1</v>
      </c>
      <c r="D46" s="19">
        <v>1.1000000000000001</v>
      </c>
      <c r="E46" s="19">
        <v>4.99</v>
      </c>
    </row>
    <row r="47" spans="1:6" ht="16.5" customHeight="1" x14ac:dyDescent="0.3">
      <c r="A47" s="17">
        <v>3</v>
      </c>
      <c r="B47" s="18">
        <v>106444937</v>
      </c>
      <c r="C47" s="18">
        <v>7898.5</v>
      </c>
      <c r="D47" s="19">
        <v>1.1000000000000001</v>
      </c>
      <c r="E47" s="19">
        <v>4.99</v>
      </c>
    </row>
    <row r="48" spans="1:6" ht="16.5" customHeight="1" x14ac:dyDescent="0.3">
      <c r="A48" s="17">
        <v>4</v>
      </c>
      <c r="B48" s="18">
        <v>106820502</v>
      </c>
      <c r="C48" s="18">
        <v>7965.1</v>
      </c>
      <c r="D48" s="19">
        <v>1.07</v>
      </c>
      <c r="E48" s="19">
        <v>4.99</v>
      </c>
    </row>
    <row r="49" spans="1:7" ht="16.5" customHeight="1" x14ac:dyDescent="0.3">
      <c r="A49" s="17">
        <v>5</v>
      </c>
      <c r="B49" s="18">
        <v>106768592</v>
      </c>
      <c r="C49" s="18">
        <v>7959.7</v>
      </c>
      <c r="D49" s="19">
        <v>1.0900000000000001</v>
      </c>
      <c r="E49" s="19">
        <v>4.99</v>
      </c>
    </row>
    <row r="50" spans="1:7" ht="16.5" customHeight="1" x14ac:dyDescent="0.3">
      <c r="A50" s="17">
        <v>6</v>
      </c>
      <c r="B50" s="21">
        <v>106779222</v>
      </c>
      <c r="C50" s="21">
        <v>7980.8</v>
      </c>
      <c r="D50" s="22">
        <v>1.07</v>
      </c>
      <c r="E50" s="22">
        <v>4.99</v>
      </c>
    </row>
    <row r="51" spans="1:7" ht="16.5" customHeight="1" x14ac:dyDescent="0.3">
      <c r="A51" s="23" t="s">
        <v>18</v>
      </c>
      <c r="B51" s="24">
        <f>AVERAGE(B45:B50)</f>
        <v>106675321</v>
      </c>
      <c r="C51" s="25">
        <f>AVERAGE(C45:C50)</f>
        <v>7948.75</v>
      </c>
      <c r="D51" s="26">
        <f>AVERAGE(D45:D50)</f>
        <v>1.0866666666666667</v>
      </c>
      <c r="E51" s="26">
        <f>AVERAGE(E45:E50)</f>
        <v>4.9916666666666671</v>
      </c>
    </row>
    <row r="52" spans="1:7" ht="16.5" customHeight="1" x14ac:dyDescent="0.3">
      <c r="A52" s="27" t="s">
        <v>19</v>
      </c>
      <c r="B52" s="28">
        <f>(STDEV(B45:B50)/B51)</f>
        <v>1.3255336521510353E-3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361.22</v>
      </c>
      <c r="D24" s="87">
        <f t="shared" ref="D24:D43" si="0">(C24-$C$46)/$C$46</f>
        <v>-3.3591998620452613E-3</v>
      </c>
      <c r="E24" s="53"/>
    </row>
    <row r="25" spans="1:5" ht="15.75" customHeight="1" x14ac:dyDescent="0.3">
      <c r="C25" s="95">
        <v>359.72</v>
      </c>
      <c r="D25" s="88">
        <f t="shared" si="0"/>
        <v>-7.49784445594076E-3</v>
      </c>
      <c r="E25" s="53"/>
    </row>
    <row r="26" spans="1:5" ht="15.75" customHeight="1" x14ac:dyDescent="0.3">
      <c r="C26" s="95">
        <v>364.42</v>
      </c>
      <c r="D26" s="88">
        <f t="shared" si="0"/>
        <v>5.4699086049317712E-3</v>
      </c>
      <c r="E26" s="53"/>
    </row>
    <row r="27" spans="1:5" ht="15.75" customHeight="1" x14ac:dyDescent="0.3">
      <c r="C27" s="95">
        <v>360.44</v>
      </c>
      <c r="D27" s="88">
        <f t="shared" si="0"/>
        <v>-5.5112950508710021E-3</v>
      </c>
      <c r="E27" s="53"/>
    </row>
    <row r="28" spans="1:5" ht="15.75" customHeight="1" x14ac:dyDescent="0.3">
      <c r="C28" s="95">
        <v>361.32</v>
      </c>
      <c r="D28" s="88">
        <f t="shared" si="0"/>
        <v>-3.083290222452322E-3</v>
      </c>
      <c r="E28" s="53"/>
    </row>
    <row r="29" spans="1:5" ht="15.75" customHeight="1" x14ac:dyDescent="0.3">
      <c r="C29" s="95">
        <v>365.98</v>
      </c>
      <c r="D29" s="88">
        <f t="shared" si="0"/>
        <v>9.7740989825830966E-3</v>
      </c>
      <c r="E29" s="53"/>
    </row>
    <row r="30" spans="1:5" ht="15.75" customHeight="1" x14ac:dyDescent="0.3">
      <c r="C30" s="95">
        <v>359.65</v>
      </c>
      <c r="D30" s="88">
        <f t="shared" si="0"/>
        <v>-7.6909812036560212E-3</v>
      </c>
      <c r="E30" s="53"/>
    </row>
    <row r="31" spans="1:5" ht="15.75" customHeight="1" x14ac:dyDescent="0.3">
      <c r="C31" s="95">
        <v>356.58</v>
      </c>
      <c r="D31" s="88">
        <f t="shared" si="0"/>
        <v>-1.6161407139162122E-2</v>
      </c>
      <c r="E31" s="53"/>
    </row>
    <row r="32" spans="1:5" ht="15.75" customHeight="1" x14ac:dyDescent="0.3">
      <c r="C32" s="95">
        <v>371.14</v>
      </c>
      <c r="D32" s="88">
        <f t="shared" si="0"/>
        <v>2.4011036385583523E-2</v>
      </c>
      <c r="E32" s="53"/>
    </row>
    <row r="33" spans="1:7" ht="15.75" customHeight="1" x14ac:dyDescent="0.3">
      <c r="C33" s="95">
        <v>362.17</v>
      </c>
      <c r="D33" s="88">
        <f t="shared" si="0"/>
        <v>-7.3805828591147688E-4</v>
      </c>
      <c r="E33" s="53"/>
    </row>
    <row r="34" spans="1:7" ht="15.75" customHeight="1" x14ac:dyDescent="0.3">
      <c r="C34" s="95">
        <v>370.28</v>
      </c>
      <c r="D34" s="88">
        <f t="shared" si="0"/>
        <v>2.16382134850834E-2</v>
      </c>
      <c r="E34" s="53"/>
    </row>
    <row r="35" spans="1:7" ht="15.75" customHeight="1" x14ac:dyDescent="0.3">
      <c r="C35" s="95">
        <v>363.3</v>
      </c>
      <c r="D35" s="88">
        <f t="shared" si="0"/>
        <v>2.3797206414897863E-3</v>
      </c>
      <c r="E35" s="53"/>
    </row>
    <row r="36" spans="1:7" ht="15.75" customHeight="1" x14ac:dyDescent="0.3">
      <c r="C36" s="95">
        <v>361.33</v>
      </c>
      <c r="D36" s="88">
        <f t="shared" si="0"/>
        <v>-3.0556992584930441E-3</v>
      </c>
      <c r="E36" s="53"/>
    </row>
    <row r="37" spans="1:7" ht="15.75" customHeight="1" x14ac:dyDescent="0.3">
      <c r="C37" s="95">
        <v>361.42</v>
      </c>
      <c r="D37" s="88">
        <f t="shared" si="0"/>
        <v>-2.8073805828592261E-3</v>
      </c>
      <c r="E37" s="53"/>
    </row>
    <row r="38" spans="1:7" ht="15.75" customHeight="1" x14ac:dyDescent="0.3">
      <c r="C38" s="95">
        <v>366.14</v>
      </c>
      <c r="D38" s="88">
        <f t="shared" si="0"/>
        <v>1.0215554405931861E-2</v>
      </c>
      <c r="E38" s="53"/>
    </row>
    <row r="39" spans="1:7" ht="15.75" customHeight="1" x14ac:dyDescent="0.3">
      <c r="C39" s="95">
        <v>363.37</v>
      </c>
      <c r="D39" s="88">
        <f t="shared" si="0"/>
        <v>2.5728573892048905E-3</v>
      </c>
      <c r="E39" s="53"/>
    </row>
    <row r="40" spans="1:7" ht="15.75" customHeight="1" x14ac:dyDescent="0.3">
      <c r="C40" s="95">
        <v>357.73</v>
      </c>
      <c r="D40" s="88">
        <f t="shared" si="0"/>
        <v>-1.2988446283842147E-2</v>
      </c>
      <c r="E40" s="53"/>
    </row>
    <row r="41" spans="1:7" ht="15.75" customHeight="1" x14ac:dyDescent="0.3">
      <c r="C41" s="95">
        <v>362.79</v>
      </c>
      <c r="D41" s="88">
        <f t="shared" si="0"/>
        <v>9.7258147956534179E-4</v>
      </c>
      <c r="E41" s="53"/>
    </row>
    <row r="42" spans="1:7" ht="15.75" customHeight="1" x14ac:dyDescent="0.3">
      <c r="C42" s="95">
        <v>362.97</v>
      </c>
      <c r="D42" s="88">
        <f t="shared" si="0"/>
        <v>1.4692188308328205E-3</v>
      </c>
      <c r="E42" s="53"/>
    </row>
    <row r="43" spans="1:7" ht="16.5" customHeight="1" x14ac:dyDescent="0.3">
      <c r="C43" s="96">
        <v>356.78</v>
      </c>
      <c r="D43" s="89">
        <f t="shared" si="0"/>
        <v>-1.5609587859976088E-2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7248.7500000000009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362.43750000000006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362.43750000000006</v>
      </c>
      <c r="C49" s="93">
        <f>-IF(C46&lt;=80,10%,IF(C46&lt;250,7.5%,5%))</f>
        <v>-0.05</v>
      </c>
      <c r="D49" s="81">
        <f>IF(C46&lt;=80,C46*0.9,IF(C46&lt;250,C46*0.925,C46*0.95))</f>
        <v>344.31562500000001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380.5593750000001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2" zoomScale="50" zoomScaleNormal="40" zoomScalePageLayoutView="50" workbookViewId="0">
      <selection activeCell="F104" sqref="F10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47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69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1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6" t="s">
        <v>125</v>
      </c>
      <c r="C26" s="296"/>
    </row>
    <row r="27" spans="1:14" ht="26.25" customHeight="1" x14ac:dyDescent="0.4">
      <c r="A27" s="109" t="s">
        <v>48</v>
      </c>
      <c r="B27" s="297"/>
      <c r="C27" s="297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4" t="s">
        <v>59</v>
      </c>
      <c r="E36" s="305"/>
      <c r="F36" s="304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56665914</v>
      </c>
      <c r="E38" s="133">
        <f>IF(ISBLANK(D38),"-",$D$48/$D$45*D38)</f>
        <v>50809371.763661548</v>
      </c>
      <c r="F38" s="132">
        <v>56566672</v>
      </c>
      <c r="G38" s="134">
        <f>IF(ISBLANK(F38),"-",$D$48/$F$45*F38)</f>
        <v>52143543.757247716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56803877</v>
      </c>
      <c r="E39" s="138">
        <f>IF(ISBLANK(D39),"-",$D$48/$D$45*D39)</f>
        <v>50933075.995391227</v>
      </c>
      <c r="F39" s="137">
        <v>56691658</v>
      </c>
      <c r="G39" s="139">
        <f>IF(ISBLANK(F39),"-",$D$48/$F$45*F39)</f>
        <v>52258756.703840069</v>
      </c>
      <c r="I39" s="308">
        <f>ABS((F43/D43*D42)-F42)/D42</f>
        <v>2.6548394079278583E-2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56844394</v>
      </c>
      <c r="E40" s="138">
        <f>IF(ISBLANK(D40),"-",$D$48/$D$45*D40)</f>
        <v>50969405.477621906</v>
      </c>
      <c r="F40" s="137">
        <v>56929027</v>
      </c>
      <c r="G40" s="139">
        <f>IF(ISBLANK(F40),"-",$D$48/$F$45*F40)</f>
        <v>52477565.065734051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56771395</v>
      </c>
      <c r="E42" s="148">
        <f>AVERAGE(E38:E40)</f>
        <v>50903951.078891568</v>
      </c>
      <c r="F42" s="147">
        <f>AVERAGE(F38:F41)</f>
        <v>56729119</v>
      </c>
      <c r="G42" s="149">
        <f>AVERAGE(G38:G40)</f>
        <v>52293288.508940615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22.35</v>
      </c>
      <c r="E43" s="140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22.35</v>
      </c>
      <c r="E44" s="155"/>
      <c r="F44" s="154">
        <f>F43*$B$34</f>
        <v>21.74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22.305300000000003</v>
      </c>
      <c r="E45" s="158"/>
      <c r="F45" s="157">
        <f>F44*$B$30/100</f>
        <v>21.696519999999996</v>
      </c>
      <c r="H45" s="150"/>
    </row>
    <row r="46" spans="1:14" ht="19.5" customHeight="1" x14ac:dyDescent="0.3">
      <c r="A46" s="309" t="s">
        <v>78</v>
      </c>
      <c r="B46" s="310"/>
      <c r="C46" s="153" t="s">
        <v>79</v>
      </c>
      <c r="D46" s="159">
        <f>D45/$B$45</f>
        <v>0.22305300000000003</v>
      </c>
      <c r="E46" s="160"/>
      <c r="F46" s="161">
        <f>F45/$B$45</f>
        <v>0.21696519999999997</v>
      </c>
      <c r="H46" s="150"/>
    </row>
    <row r="47" spans="1:14" ht="27" customHeight="1" x14ac:dyDescent="0.4">
      <c r="A47" s="311"/>
      <c r="B47" s="312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AVERAGE(E38:E40,G38:G40)</f>
        <v>51598619.793916084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1.4929269686697961E-2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  <c r="G52" s="331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film coated tablet contains: Nevirapine USP 200mg 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88</v>
      </c>
      <c r="B57" s="270">
        <f>Uniformity!C46</f>
        <v>362.43750000000006</v>
      </c>
      <c r="H57" s="179"/>
    </row>
    <row r="58" spans="1:12" ht="19.5" customHeight="1" x14ac:dyDescent="0.3">
      <c r="D58" s="2" t="s">
        <v>126</v>
      </c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3" t="s">
        <v>94</v>
      </c>
      <c r="D60" s="316">
        <v>368.39</v>
      </c>
      <c r="E60" s="182">
        <v>1</v>
      </c>
      <c r="F60" s="183">
        <v>54031807</v>
      </c>
      <c r="G60" s="272">
        <f>IF(ISBLANK(F60),"-",(F60/$D$50*$D$47*$B$68)*($B$57/$D$60))</f>
        <v>206.0471900174374</v>
      </c>
      <c r="H60" s="330"/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4"/>
      <c r="D61" s="317"/>
      <c r="E61" s="184">
        <v>2</v>
      </c>
      <c r="F61" s="137">
        <v>54737554</v>
      </c>
      <c r="G61" s="273">
        <f>IF(ISBLANK(F61),"-",(F61/$D$50*$D$47*$B$68)*($B$57/$D$60))</f>
        <v>208.73851563261135</v>
      </c>
      <c r="H61" s="185"/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4">
        <v>3</v>
      </c>
      <c r="F62" s="186">
        <v>54214208</v>
      </c>
      <c r="G62" s="273">
        <f>IF(ISBLANK(F62),"-",(F62/$D$50*$D$47*$B$68)*($B$57/$D$60))</f>
        <v>206.74276574575558</v>
      </c>
      <c r="H62" s="185"/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18"/>
      <c r="E63" s="187">
        <v>4</v>
      </c>
      <c r="F63" s="188"/>
      <c r="G63" s="273" t="str">
        <f>IF(ISBLANK(F63),"-",(F63/$D$50*$D$47*$B$68)*($B$57/$D$60))</f>
        <v>-</v>
      </c>
      <c r="H63" s="185" t="str">
        <f t="shared" ref="H60:H71" si="0">IF(ISBLANK(F63),"-",G63/$B$56)</f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372.5</v>
      </c>
      <c r="E64" s="182">
        <v>1</v>
      </c>
      <c r="F64" s="183">
        <v>57012038</v>
      </c>
      <c r="G64" s="274">
        <f>IF(ISBLANK(F64),"-",(F64/$D$50*$D$47*$B$68)*($B$57/$D$64))</f>
        <v>215.01330048477612</v>
      </c>
      <c r="H64" s="189">
        <f t="shared" si="0"/>
        <v>1.0750665024238806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4">
        <v>2</v>
      </c>
      <c r="F65" s="137">
        <v>55027895</v>
      </c>
      <c r="G65" s="275">
        <f>IF(ISBLANK(F65),"-",(F65/$D$50*$D$47*$B$68)*($B$57/$D$64))</f>
        <v>207.53036968577948</v>
      </c>
      <c r="H65" s="190">
        <f t="shared" si="0"/>
        <v>1.0376518484288975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4">
        <v>3</v>
      </c>
      <c r="F66" s="137">
        <v>57617881</v>
      </c>
      <c r="G66" s="275">
        <f>IF(ISBLANK(F66),"-",(F66/$D$50*$D$47*$B$68)*($B$57/$D$64))</f>
        <v>217.2981565884221</v>
      </c>
      <c r="H66" s="190">
        <f t="shared" si="0"/>
        <v>1.0864907829421104</v>
      </c>
    </row>
    <row r="67" spans="1:8" ht="27" customHeight="1" x14ac:dyDescent="0.4">
      <c r="A67" s="124" t="s">
        <v>102</v>
      </c>
      <c r="B67" s="125">
        <v>1</v>
      </c>
      <c r="C67" s="315"/>
      <c r="D67" s="318"/>
      <c r="E67" s="187">
        <v>4</v>
      </c>
      <c r="F67" s="188"/>
      <c r="G67" s="276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313" t="s">
        <v>104</v>
      </c>
      <c r="D68" s="316">
        <v>375.42</v>
      </c>
      <c r="E68" s="182">
        <v>1</v>
      </c>
      <c r="F68" s="183">
        <v>57697962</v>
      </c>
      <c r="G68" s="274">
        <f>IF(ISBLANK(F68),"-",(F68/$D$50*$D$47*$B$68)*($B$57/$D$68))</f>
        <v>215.90768698476114</v>
      </c>
      <c r="H68" s="185">
        <f t="shared" si="0"/>
        <v>1.0795384349238057</v>
      </c>
    </row>
    <row r="69" spans="1:8" ht="27" customHeight="1" x14ac:dyDescent="0.4">
      <c r="A69" s="172" t="s">
        <v>105</v>
      </c>
      <c r="B69" s="193">
        <f>(D47*B68)/B56*B57</f>
        <v>362.43750000000006</v>
      </c>
      <c r="C69" s="314"/>
      <c r="D69" s="317"/>
      <c r="E69" s="184">
        <v>2</v>
      </c>
      <c r="F69" s="137">
        <v>57316736</v>
      </c>
      <c r="G69" s="275">
        <f>IF(ISBLANK(F69),"-",(F69/$D$50*$D$47*$B$68)*($B$57/$D$68))</f>
        <v>214.48112665185974</v>
      </c>
      <c r="H69" s="185">
        <f t="shared" si="0"/>
        <v>1.0724056332592986</v>
      </c>
    </row>
    <row r="70" spans="1:8" ht="26.25" customHeight="1" x14ac:dyDescent="0.4">
      <c r="A70" s="326" t="s">
        <v>78</v>
      </c>
      <c r="B70" s="327"/>
      <c r="C70" s="314"/>
      <c r="D70" s="317"/>
      <c r="E70" s="184">
        <v>3</v>
      </c>
      <c r="F70" s="137">
        <v>55598705</v>
      </c>
      <c r="G70" s="275">
        <f>IF(ISBLANK(F70),"-",(F70/$D$50*$D$47*$B$68)*($B$57/$D$68))</f>
        <v>208.05219768244282</v>
      </c>
      <c r="H70" s="185">
        <f>IF(ISBLANK(F70),"-",G70/$B$56)</f>
        <v>1.040260988412214</v>
      </c>
    </row>
    <row r="71" spans="1:8" ht="27" customHeight="1" x14ac:dyDescent="0.4">
      <c r="A71" s="328"/>
      <c r="B71" s="329"/>
      <c r="C71" s="325"/>
      <c r="D71" s="318"/>
      <c r="E71" s="187">
        <v>4</v>
      </c>
      <c r="F71" s="188"/>
      <c r="G71" s="276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71</v>
      </c>
      <c r="H72" s="198">
        <f>AVERAGE(H60:H71)</f>
        <v>1.065235698398368</v>
      </c>
    </row>
    <row r="73" spans="1:8" ht="26.25" customHeight="1" x14ac:dyDescent="0.4">
      <c r="C73" s="195"/>
      <c r="D73" s="195"/>
      <c r="E73" s="195"/>
      <c r="F73" s="196"/>
      <c r="G73" s="199" t="s">
        <v>84</v>
      </c>
      <c r="H73" s="277">
        <f>STDEV(H60:H71)/H72</f>
        <v>1.9642312271425055E-2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20</v>
      </c>
      <c r="H74" s="202">
        <f>COUNT(H60:H71)</f>
        <v>6</v>
      </c>
    </row>
    <row r="76" spans="1:8" ht="26.25" customHeight="1" x14ac:dyDescent="0.4">
      <c r="A76" s="108" t="s">
        <v>106</v>
      </c>
      <c r="B76" s="203" t="s">
        <v>107</v>
      </c>
      <c r="C76" s="321" t="str">
        <f>B20</f>
        <v>Nevirapine USP</v>
      </c>
      <c r="D76" s="321"/>
      <c r="E76" s="204" t="s">
        <v>108</v>
      </c>
      <c r="F76" s="204"/>
      <c r="G76" s="205">
        <f>H72</f>
        <v>1.065235698398368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>Nevirapine Anhydrous</v>
      </c>
      <c r="C79" s="307"/>
    </row>
    <row r="80" spans="1:8" ht="26.25" customHeight="1" x14ac:dyDescent="0.4">
      <c r="A80" s="109" t="s">
        <v>48</v>
      </c>
      <c r="B80" s="307">
        <f>B27</f>
        <v>0</v>
      </c>
      <c r="C80" s="307"/>
    </row>
    <row r="81" spans="1:12" ht="27" customHeight="1" x14ac:dyDescent="0.4">
      <c r="A81" s="109" t="s">
        <v>6</v>
      </c>
      <c r="B81" s="207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8" t="s">
        <v>59</v>
      </c>
      <c r="E89" s="209"/>
      <c r="F89" s="304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2">
        <v>1</v>
      </c>
      <c r="D91" s="132">
        <v>106477611</v>
      </c>
      <c r="E91" s="133">
        <f>IF(ISBLANK(D91),"-",$D$101/$D$98*D91)</f>
        <v>115428965.68859889</v>
      </c>
      <c r="F91" s="132">
        <v>99657875</v>
      </c>
      <c r="G91" s="134">
        <f>IF(ISBLANK(F91),"-",$D$101/$F$98*F91)</f>
        <v>115575914.56060268</v>
      </c>
      <c r="I91" s="135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137">
        <v>106972937</v>
      </c>
      <c r="E92" s="138">
        <f>IF(ISBLANK(D92),"-",$D$101/$D$98*D92)</f>
        <v>115965932.73098181</v>
      </c>
      <c r="F92" s="137">
        <v>100367466</v>
      </c>
      <c r="G92" s="139">
        <f>IF(ISBLANK(F92),"-",$D$101/$F$98*F92)</f>
        <v>116398846.30371855</v>
      </c>
      <c r="I92" s="308">
        <f>ABS((F96/D96*D95)-F95)/D95</f>
        <v>4.2332917923445833E-3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137">
        <v>106868892</v>
      </c>
      <c r="E93" s="138">
        <f>IF(ISBLANK(D93),"-",$D$101/$D$98*D93)</f>
        <v>115853140.88091795</v>
      </c>
      <c r="F93" s="137">
        <v>100752926</v>
      </c>
      <c r="G93" s="139">
        <f>IF(ISBLANK(F93),"-",$D$101/$F$98*F93)</f>
        <v>116845874.61960959</v>
      </c>
      <c r="I93" s="308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2"/>
      <c r="E94" s="143" t="str">
        <f>IF(ISBLANK(D94),"-",$D$101/$D$98*D94)</f>
        <v>-</v>
      </c>
      <c r="F94" s="214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106773146.66666667</v>
      </c>
      <c r="E95" s="148">
        <f>AVERAGE(E91:E94)</f>
        <v>115749346.43349956</v>
      </c>
      <c r="F95" s="217">
        <f>AVERAGE(F91:F94)</f>
        <v>100259422.33333333</v>
      </c>
      <c r="G95" s="218">
        <f>AVERAGE(G91:G94)</f>
        <v>116273545.16131027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20.54</v>
      </c>
      <c r="E96" s="140"/>
      <c r="F96" s="152">
        <v>19.2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20.54</v>
      </c>
      <c r="E97" s="155"/>
      <c r="F97" s="154">
        <f>F96*$B$87</f>
        <v>19.2</v>
      </c>
    </row>
    <row r="98" spans="1:10" ht="19.5" customHeight="1" x14ac:dyDescent="0.3">
      <c r="A98" s="124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20.498919999999998</v>
      </c>
      <c r="E98" s="158"/>
      <c r="F98" s="157">
        <f>F97*$B$83/100</f>
        <v>19.1616</v>
      </c>
    </row>
    <row r="99" spans="1:10" ht="19.5" customHeight="1" x14ac:dyDescent="0.3">
      <c r="A99" s="309" t="s">
        <v>78</v>
      </c>
      <c r="B99" s="323"/>
      <c r="C99" s="221" t="s">
        <v>116</v>
      </c>
      <c r="D99" s="225">
        <f>D98/$B$98</f>
        <v>0.20498919999999998</v>
      </c>
      <c r="E99" s="158"/>
      <c r="F99" s="161">
        <f>F98/$B$98</f>
        <v>0.19161600000000001</v>
      </c>
      <c r="G99" s="226"/>
      <c r="H99" s="150"/>
    </row>
    <row r="100" spans="1:10" ht="19.5" customHeight="1" x14ac:dyDescent="0.3">
      <c r="A100" s="311"/>
      <c r="B100" s="324"/>
      <c r="C100" s="221" t="s">
        <v>80</v>
      </c>
      <c r="D100" s="227">
        <f>$B$56/$B$116</f>
        <v>0.22222222222222221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22.222222222222221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22.222222222222221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116011445.7974049</v>
      </c>
      <c r="F103" s="170"/>
      <c r="G103" s="234"/>
      <c r="H103" s="150"/>
      <c r="J103" s="235"/>
    </row>
    <row r="104" spans="1:10" ht="18.75" x14ac:dyDescent="0.3">
      <c r="C104" s="199" t="s">
        <v>84</v>
      </c>
      <c r="D104" s="236">
        <f>STDEV(E91:E94,G91:G94)/D103</f>
        <v>4.5651843687351396E-3</v>
      </c>
      <c r="F104" s="170"/>
      <c r="G104" s="226"/>
      <c r="H104" s="150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97101219</v>
      </c>
      <c r="E108" s="278">
        <f t="shared" ref="E108:E113" si="1">IF(ISBLANK(D108),"-",D108/$D$103*$D$100*$B$116)</f>
        <v>167.39937741931337</v>
      </c>
      <c r="F108" s="244">
        <f t="shared" ref="F108:F113" si="2">IF(ISBLANK(D108), "-", E108/$B$56)</f>
        <v>0.83699688709656683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101178924</v>
      </c>
      <c r="E109" s="279">
        <f t="shared" si="1"/>
        <v>174.4292096431459</v>
      </c>
      <c r="F109" s="245">
        <f t="shared" si="2"/>
        <v>0.8721460482157295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102623931</v>
      </c>
      <c r="E110" s="279">
        <f t="shared" si="1"/>
        <v>176.92035521945996</v>
      </c>
      <c r="F110" s="245">
        <f t="shared" si="2"/>
        <v>0.88460177609729984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102933435</v>
      </c>
      <c r="E111" s="279">
        <f t="shared" si="1"/>
        <v>177.45393015747169</v>
      </c>
      <c r="F111" s="245">
        <f t="shared" si="2"/>
        <v>0.88726965078735842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102893548</v>
      </c>
      <c r="E112" s="279">
        <f t="shared" si="1"/>
        <v>177.38516625279684</v>
      </c>
      <c r="F112" s="245">
        <f t="shared" si="2"/>
        <v>0.88692583126398417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121774470</v>
      </c>
      <c r="E113" s="280">
        <f t="shared" si="1"/>
        <v>209.93526830561058</v>
      </c>
      <c r="F113" s="248">
        <f>IF(ISBLANK(D113), "-", E113/$B$56)</f>
        <v>1.0496763415280528</v>
      </c>
    </row>
    <row r="114" spans="1:10" ht="26.25" customHeight="1" x14ac:dyDescent="0.4">
      <c r="A114" s="124" t="s">
        <v>101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/>
      <c r="E115" s="251" t="s">
        <v>71</v>
      </c>
      <c r="F115" s="252">
        <f>AVERAGE(F108:F113)</f>
        <v>0.90293608916483192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54"/>
      <c r="E116" s="215" t="s">
        <v>84</v>
      </c>
      <c r="F116" s="255">
        <f>STDEV(F108:F113)/F115</f>
        <v>8.2382702331868451E-2</v>
      </c>
      <c r="I116" s="98"/>
    </row>
    <row r="117" spans="1:10" ht="27" customHeight="1" x14ac:dyDescent="0.4">
      <c r="A117" s="309" t="s">
        <v>78</v>
      </c>
      <c r="B117" s="310"/>
      <c r="C117" s="256"/>
      <c r="D117" s="257"/>
      <c r="E117" s="258" t="s">
        <v>20</v>
      </c>
      <c r="F117" s="259">
        <f>COUNT(F108:F113)</f>
        <v>6</v>
      </c>
      <c r="I117" s="98"/>
      <c r="J117" s="235"/>
    </row>
    <row r="118" spans="1:10" ht="19.5" customHeight="1" x14ac:dyDescent="0.3">
      <c r="A118" s="311"/>
      <c r="B118" s="312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8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321" t="str">
        <f>B20</f>
        <v>Nevirapine USP</v>
      </c>
      <c r="D120" s="321"/>
      <c r="E120" s="204" t="s">
        <v>124</v>
      </c>
      <c r="F120" s="204"/>
      <c r="G120" s="205">
        <f>F115</f>
        <v>0.90293608916483192</v>
      </c>
      <c r="H120" s="98"/>
      <c r="I120" s="98"/>
    </row>
    <row r="121" spans="1:10" ht="19.5" customHeight="1" x14ac:dyDescent="0.3">
      <c r="A121" s="260"/>
      <c r="B121" s="260"/>
      <c r="C121" s="261"/>
      <c r="D121" s="261"/>
      <c r="E121" s="261"/>
      <c r="F121" s="261"/>
      <c r="G121" s="261"/>
      <c r="H121" s="261"/>
    </row>
    <row r="122" spans="1:10" ht="18.75" x14ac:dyDescent="0.3">
      <c r="B122" s="322" t="s">
        <v>26</v>
      </c>
      <c r="C122" s="322"/>
      <c r="E122" s="210" t="s">
        <v>27</v>
      </c>
      <c r="F122" s="262"/>
      <c r="G122" s="322" t="s">
        <v>28</v>
      </c>
      <c r="H122" s="322"/>
    </row>
    <row r="123" spans="1:10" ht="69.95" customHeight="1" x14ac:dyDescent="0.3">
      <c r="A123" s="263" t="s">
        <v>29</v>
      </c>
      <c r="B123" s="264"/>
      <c r="C123" s="264"/>
      <c r="E123" s="264"/>
      <c r="F123" s="98"/>
      <c r="G123" s="265"/>
      <c r="H123" s="265"/>
    </row>
    <row r="124" spans="1:10" ht="69.95" customHeight="1" x14ac:dyDescent="0.3">
      <c r="A124" s="263" t="s">
        <v>30</v>
      </c>
      <c r="B124" s="266"/>
      <c r="C124" s="266"/>
      <c r="E124" s="266"/>
      <c r="F124" s="98"/>
      <c r="G124" s="267"/>
      <c r="H124" s="267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Lab</cp:lastModifiedBy>
  <dcterms:created xsi:type="dcterms:W3CDTF">2005-07-05T10:19:27Z</dcterms:created>
  <dcterms:modified xsi:type="dcterms:W3CDTF">2015-07-03T16:33:28Z</dcterms:modified>
  <cp:category/>
</cp:coreProperties>
</file>