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20775" windowHeight="11445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70" i="3" l="1"/>
  <c r="F112" i="3"/>
  <c r="C120" i="3"/>
  <c r="B116" i="3"/>
  <c r="D100" i="3" s="1"/>
  <c r="B98" i="3"/>
  <c r="F95" i="3"/>
  <c r="D95" i="3"/>
  <c r="B87" i="3"/>
  <c r="D97" i="3" s="1"/>
  <c r="B83" i="3"/>
  <c r="B81" i="3"/>
  <c r="B80" i="3"/>
  <c r="B79" i="3"/>
  <c r="C76" i="3"/>
  <c r="B68" i="3"/>
  <c r="B57" i="3"/>
  <c r="C56" i="3"/>
  <c r="B55" i="3"/>
  <c r="B45" i="3"/>
  <c r="D48" i="3" s="1"/>
  <c r="F44" i="3"/>
  <c r="F42" i="3"/>
  <c r="D42" i="3"/>
  <c r="I39" i="3" s="1"/>
  <c r="B34" i="3"/>
  <c r="D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F97" i="3"/>
  <c r="I92" i="3"/>
  <c r="D101" i="3"/>
  <c r="F98" i="3"/>
  <c r="F99" i="3" s="1"/>
  <c r="D98" i="3"/>
  <c r="D99" i="3" s="1"/>
  <c r="F45" i="3"/>
  <c r="G38" i="3" s="1"/>
  <c r="D45" i="3"/>
  <c r="D46" i="3" s="1"/>
  <c r="G93" i="3"/>
  <c r="E92" i="3"/>
  <c r="G94" i="3"/>
  <c r="G40" i="3"/>
  <c r="D49" i="3"/>
  <c r="E41" i="3"/>
  <c r="C50" i="2"/>
  <c r="D34" i="2"/>
  <c r="D38" i="2"/>
  <c r="D42" i="2"/>
  <c r="B49" i="2"/>
  <c r="G91" i="3" l="1"/>
  <c r="G92" i="3"/>
  <c r="G95" i="3" s="1"/>
  <c r="D102" i="3"/>
  <c r="F46" i="3"/>
  <c r="G39" i="3"/>
  <c r="G42" i="3" s="1"/>
  <c r="G41" i="3"/>
  <c r="E39" i="3"/>
  <c r="E38" i="3"/>
  <c r="E40" i="3"/>
  <c r="E91" i="3"/>
  <c r="E93" i="3"/>
  <c r="E94" i="3"/>
  <c r="D103" i="3" l="1"/>
  <c r="E113" i="3" s="1"/>
  <c r="F113" i="3" s="1"/>
  <c r="D105" i="3"/>
  <c r="D50" i="3"/>
  <c r="G65" i="3" s="1"/>
  <c r="H65" i="3" s="1"/>
  <c r="E42" i="3"/>
  <c r="D52" i="3"/>
  <c r="E95" i="3"/>
  <c r="G67" i="3"/>
  <c r="H67" i="3" s="1"/>
  <c r="D104" i="3" l="1"/>
  <c r="E108" i="3"/>
  <c r="F108" i="3" s="1"/>
  <c r="E111" i="3"/>
  <c r="F111" i="3" s="1"/>
  <c r="E110" i="3"/>
  <c r="F110" i="3" s="1"/>
  <c r="E109" i="3"/>
  <c r="F109" i="3" s="1"/>
  <c r="E112" i="3"/>
  <c r="D51" i="3"/>
  <c r="G64" i="3"/>
  <c r="H64" i="3" s="1"/>
  <c r="G70" i="3"/>
  <c r="G66" i="3"/>
  <c r="H66" i="3" s="1"/>
  <c r="G68" i="3"/>
  <c r="H68" i="3" s="1"/>
  <c r="G61" i="3"/>
  <c r="H61" i="3" s="1"/>
  <c r="G60" i="3"/>
  <c r="G69" i="3"/>
  <c r="G63" i="3"/>
  <c r="H63" i="3" s="1"/>
  <c r="G62" i="3"/>
  <c r="H62" i="3" s="1"/>
  <c r="G71" i="3"/>
  <c r="F117" i="3" l="1"/>
  <c r="F115" i="3"/>
  <c r="F116" i="3" s="1"/>
  <c r="H74" i="3"/>
  <c r="H72" i="3"/>
  <c r="G76" i="3" s="1"/>
  <c r="G120" i="3" l="1"/>
  <c r="H73" i="3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<sst xmlns="http://schemas.openxmlformats.org/spreadsheetml/2006/main" count="233" uniqueCount="128">
  <si>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</si>
  <si>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</si>
  <si>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</si>
  <si>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</si>
  <si>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</si>
  <si>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</si>
  <si>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</si>
  <si>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NDQB201505259</t>
  </si>
  <si>
    <t>Weight (mg):</t>
  </si>
  <si>
    <t>Nevirapine USP</t>
  </si>
  <si>
    <t>Standard Conc (mg/mL):</t>
  </si>
  <si>
    <t xml:space="preserve">Each film coated tablet contains: Nevirapine USP 200mg </t>
  </si>
  <si>
    <t>2015-05-27 07:47:13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</si>
  <si>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</si>
  <si>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</si>
  <si>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</si>
  <si>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</si>
  <si>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</si>
  <si>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</si>
  <si>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</si>
  <si>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</si>
  <si>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</si>
  <si>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</si>
  <si>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</si>
  <si>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</si>
  <si>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</si>
  <si>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</si>
  <si>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</si>
  <si>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</si>
  <si>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</si>
  <si>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</si>
  <si>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</si>
  <si>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</si>
  <si>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</si>
  <si>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</si>
  <si>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</si>
  <si>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</si>
  <si>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</si>
  <si>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</si>
  <si>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</si>
  <si>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</si>
  <si>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</si>
  <si>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</si>
  <si>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</si>
  <si>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</si>
  <si>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</si>
  <si>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</si>
  <si>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</si>
  <si>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</si>
  <si>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</si>
  <si>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</si>
  <si>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</si>
  <si>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</si>
  <si>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</si>
  <si>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</si>
  <si>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</si>
  <si>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</si>
  <si>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</si>
  <si>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</si>
  <si>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</si>
  <si>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</si>
  <si>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</si>
  <si>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</si>
  <si>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</si>
  <si>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</si>
  <si>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</si>
  <si>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</si>
  <si>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</si>
  <si>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</si>
  <si>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</si>
  <si>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</si>
  <si>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</si>
  <si>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</si>
  <si>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</si>
  <si>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</si>
  <si>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</si>
  <si>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</si>
  <si>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</si>
  <si>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</si>
  <si>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</si>
  <si>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</si>
  <si>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</si>
  <si>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</si>
  <si>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</si>
  <si>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</si>
  <si>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</si>
  <si>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</si>
  <si>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</si>
  <si>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</si>
  <si>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</si>
  <si>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</si>
  <si>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</si>
  <si>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</si>
  <si>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</si>
  <si>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</si>
  <si>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</si>
  <si>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</si>
  <si>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</si>
  <si>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</si>
  <si>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</si>
  <si>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</si>
  <si>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</si>
  <si>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</si>
  <si>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</si>
  <si>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</si>
  <si>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</si>
  <si>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</si>
  <si>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</si>
  <si>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</si>
  <si>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</si>
  <si>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</si>
  <si>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</si>
  <si>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</si>
  <si>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</si>
  <si>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</si>
  <si>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</si>
  <si>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</si>
  <si>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</si>
  <si>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</si>
  <si>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</si>
  <si>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</si>
  <si>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</si>
  <si>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</si>
  <si>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</si>
  <si>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</si>
  <si>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</si>
  <si>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 xml:space="preserve">   </t>
  </si>
  <si>
    <t>NEVIRAPINE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</si>
</sst>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7" workbookViewId="0">
      <selection activeCell="D20" sqref="D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22.35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56809584</v>
      </c>
      <c r="C24" s="18">
        <v>8319.4</v>
      </c>
      <c r="D24" s="19">
        <v>1.08</v>
      </c>
      <c r="E24" s="20">
        <v>4.91</v>
      </c>
    </row>
    <row r="25" spans="1:6" ht="16.5" customHeight="1" x14ac:dyDescent="0.3">
      <c r="A25" s="17">
        <v>2</v>
      </c>
      <c r="B25" s="18">
        <v>56870474</v>
      </c>
      <c r="C25" s="18">
        <v>8294.1</v>
      </c>
      <c r="D25" s="19">
        <v>1.07</v>
      </c>
      <c r="E25" s="19">
        <v>4.91</v>
      </c>
    </row>
    <row r="26" spans="1:6" ht="16.5" customHeight="1" x14ac:dyDescent="0.3">
      <c r="A26" s="17">
        <v>3</v>
      </c>
      <c r="B26" s="18">
        <v>57023885</v>
      </c>
      <c r="C26" s="18">
        <v>8320.7999999999993</v>
      </c>
      <c r="D26" s="19">
        <v>1.0900000000000001</v>
      </c>
      <c r="E26" s="19">
        <v>4.92</v>
      </c>
    </row>
    <row r="27" spans="1:6" ht="16.5" customHeight="1" x14ac:dyDescent="0.3">
      <c r="A27" s="17">
        <v>4</v>
      </c>
      <c r="B27" s="18">
        <v>56816363</v>
      </c>
      <c r="C27" s="18">
        <v>8264</v>
      </c>
      <c r="D27" s="19">
        <v>1.1000000000000001</v>
      </c>
      <c r="E27" s="19">
        <v>4.91</v>
      </c>
    </row>
    <row r="28" spans="1:6" ht="16.5" customHeight="1" x14ac:dyDescent="0.3">
      <c r="A28" s="17">
        <v>5</v>
      </c>
      <c r="B28" s="18">
        <v>56860742</v>
      </c>
      <c r="C28" s="18">
        <v>8271</v>
      </c>
      <c r="D28" s="19">
        <v>1.07</v>
      </c>
      <c r="E28" s="19">
        <v>4.91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AVERAGE(B24:B29)</f>
        <v>56876209.600000001</v>
      </c>
      <c r="C30" s="25">
        <f>AVERAGE(C24:C29)</f>
        <v>8293.86</v>
      </c>
      <c r="D30" s="26">
        <f>AVERAGE(D24:D29)</f>
        <v>1.0820000000000001</v>
      </c>
      <c r="E30" s="26">
        <f>AVERAGE(E24:E29)</f>
        <v>4.9119999999999999</v>
      </c>
    </row>
    <row r="31" spans="1:6" ht="16.5" customHeight="1" x14ac:dyDescent="0.3">
      <c r="A31" s="27" t="s">
        <v>19</v>
      </c>
      <c r="B31" s="28">
        <f>(STDEV(B24:B29)/B30)</f>
        <v>1.5252043768281187E-3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18.63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25030094</v>
      </c>
      <c r="C45" s="18">
        <v>8236.9</v>
      </c>
      <c r="D45" s="19">
        <v>1.0900000000000001</v>
      </c>
      <c r="E45" s="20">
        <v>5.1100000000000003</v>
      </c>
    </row>
    <row r="46" spans="1:6" ht="16.5" customHeight="1" x14ac:dyDescent="0.3">
      <c r="A46" s="17">
        <v>2</v>
      </c>
      <c r="B46" s="18">
        <v>25149323</v>
      </c>
      <c r="C46" s="18">
        <v>8230.7000000000007</v>
      </c>
      <c r="D46" s="19">
        <v>1.06</v>
      </c>
      <c r="E46" s="19">
        <v>5.1100000000000003</v>
      </c>
    </row>
    <row r="47" spans="1:6" ht="16.5" customHeight="1" x14ac:dyDescent="0.3">
      <c r="A47" s="17">
        <v>3</v>
      </c>
      <c r="B47" s="18">
        <v>25926175</v>
      </c>
      <c r="C47" s="18">
        <v>8194.5</v>
      </c>
      <c r="D47" s="19">
        <v>1.08</v>
      </c>
      <c r="E47" s="19">
        <v>5.1100000000000003</v>
      </c>
    </row>
    <row r="48" spans="1:6" ht="16.5" customHeight="1" x14ac:dyDescent="0.3">
      <c r="A48" s="17">
        <v>4</v>
      </c>
      <c r="B48" s="18">
        <v>25854089</v>
      </c>
      <c r="C48" s="18">
        <v>8112.2</v>
      </c>
      <c r="D48" s="19">
        <v>1.0900000000000001</v>
      </c>
      <c r="E48" s="19">
        <v>5.1100000000000003</v>
      </c>
    </row>
    <row r="49" spans="1:7" ht="16.5" customHeight="1" x14ac:dyDescent="0.3">
      <c r="A49" s="17">
        <v>5</v>
      </c>
      <c r="B49" s="18">
        <v>25890875</v>
      </c>
      <c r="C49" s="18">
        <v>8165.5</v>
      </c>
      <c r="D49" s="19">
        <v>1.08</v>
      </c>
      <c r="E49" s="19">
        <v>5.1100000000000003</v>
      </c>
    </row>
    <row r="50" spans="1:7" ht="16.5" customHeight="1" x14ac:dyDescent="0.3">
      <c r="A50" s="17">
        <v>6</v>
      </c>
      <c r="B50" s="21">
        <v>25944445</v>
      </c>
      <c r="C50" s="21">
        <v>8197.9</v>
      </c>
      <c r="D50" s="22">
        <v>1.07</v>
      </c>
      <c r="E50" s="22">
        <v>5.12</v>
      </c>
    </row>
    <row r="51" spans="1:7" ht="16.5" customHeight="1" x14ac:dyDescent="0.3">
      <c r="A51" s="23" t="s">
        <v>18</v>
      </c>
      <c r="B51" s="24">
        <f>AVERAGE(B45:B50)</f>
        <v>25632500.166666668</v>
      </c>
      <c r="C51" s="25">
        <f>AVERAGE(C45:C50)</f>
        <v>8189.6166666666659</v>
      </c>
      <c r="D51" s="26">
        <f>AVERAGE(D45:D50)</f>
        <v>1.0783333333333334</v>
      </c>
      <c r="E51" s="26">
        <f>AVERAGE(E45:E50)</f>
        <v>5.1116666666666672</v>
      </c>
    </row>
    <row r="52" spans="1:7" ht="16.5" customHeight="1" x14ac:dyDescent="0.3">
      <c r="A52" s="27" t="s">
        <v>19</v>
      </c>
      <c r="B52" s="28">
        <f>(STDEV(B45:B50)/B51)</f>
        <v>1.6512831999549418E-2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363.75</v>
      </c>
      <c r="D24" s="87">
        <f t="shared" ref="D24:D43" si="0">(C24-$C$46)/$C$46</f>
        <v>3.3666225783005673E-3</v>
      </c>
      <c r="E24" s="53"/>
    </row>
    <row r="25" spans="1:5" ht="15.75" customHeight="1" x14ac:dyDescent="0.3">
      <c r="C25" s="95">
        <v>362.29</v>
      </c>
      <c r="D25" s="88">
        <f t="shared" si="0"/>
        <v>-6.6063589307894686E-4</v>
      </c>
      <c r="E25" s="53"/>
    </row>
    <row r="26" spans="1:5" ht="15.75" customHeight="1" x14ac:dyDescent="0.3">
      <c r="C26" s="95">
        <v>361.79</v>
      </c>
      <c r="D26" s="88">
        <f t="shared" si="0"/>
        <v>-2.0398339997157863E-3</v>
      </c>
      <c r="E26" s="53"/>
    </row>
    <row r="27" spans="1:5" ht="15.75" customHeight="1" x14ac:dyDescent="0.3">
      <c r="C27" s="95">
        <v>355.83</v>
      </c>
      <c r="D27" s="88">
        <f t="shared" si="0"/>
        <v>-1.8479875430827009E-2</v>
      </c>
      <c r="E27" s="53"/>
    </row>
    <row r="28" spans="1:5" ht="15.75" customHeight="1" x14ac:dyDescent="0.3">
      <c r="C28" s="95">
        <v>369.65</v>
      </c>
      <c r="D28" s="88">
        <f t="shared" si="0"/>
        <v>1.9641160236615208E-2</v>
      </c>
      <c r="E28" s="53"/>
    </row>
    <row r="29" spans="1:5" ht="15.75" customHeight="1" x14ac:dyDescent="0.3">
      <c r="C29" s="95">
        <v>366.31</v>
      </c>
      <c r="D29" s="88">
        <f t="shared" si="0"/>
        <v>1.0428116884281191E-2</v>
      </c>
      <c r="E29" s="53"/>
    </row>
    <row r="30" spans="1:5" ht="15.75" customHeight="1" x14ac:dyDescent="0.3">
      <c r="C30" s="95">
        <v>361.1</v>
      </c>
      <c r="D30" s="88">
        <f t="shared" si="0"/>
        <v>-3.9431273868746177E-3</v>
      </c>
      <c r="E30" s="53"/>
    </row>
    <row r="31" spans="1:5" ht="15.75" customHeight="1" x14ac:dyDescent="0.3">
      <c r="C31" s="95">
        <v>364.04</v>
      </c>
      <c r="D31" s="88">
        <f t="shared" si="0"/>
        <v>4.1665574801499905E-3</v>
      </c>
      <c r="E31" s="53"/>
    </row>
    <row r="32" spans="1:5" ht="15.75" customHeight="1" x14ac:dyDescent="0.3">
      <c r="C32" s="95">
        <v>361.84</v>
      </c>
      <c r="D32" s="88">
        <f t="shared" si="0"/>
        <v>-1.9019141890522276E-3</v>
      </c>
      <c r="E32" s="53"/>
    </row>
    <row r="33" spans="1:7" ht="15.75" customHeight="1" x14ac:dyDescent="0.3">
      <c r="C33" s="95">
        <v>361.56</v>
      </c>
      <c r="D33" s="88">
        <f t="shared" si="0"/>
        <v>-2.6742651287687824E-3</v>
      </c>
      <c r="E33" s="53"/>
    </row>
    <row r="34" spans="1:7" ht="15.75" customHeight="1" x14ac:dyDescent="0.3">
      <c r="C34" s="95">
        <v>366.2</v>
      </c>
      <c r="D34" s="88">
        <f t="shared" si="0"/>
        <v>1.0124693300821049E-2</v>
      </c>
      <c r="E34" s="53"/>
    </row>
    <row r="35" spans="1:7" ht="15.75" customHeight="1" x14ac:dyDescent="0.3">
      <c r="C35" s="95">
        <v>356.31</v>
      </c>
      <c r="D35" s="88">
        <f t="shared" si="0"/>
        <v>-1.7155845248455596E-2</v>
      </c>
      <c r="E35" s="53"/>
    </row>
    <row r="36" spans="1:7" ht="15.75" customHeight="1" x14ac:dyDescent="0.3">
      <c r="C36" s="95">
        <v>361.06</v>
      </c>
      <c r="D36" s="88">
        <f t="shared" si="0"/>
        <v>-4.0534632354056214E-3</v>
      </c>
      <c r="E36" s="53"/>
    </row>
    <row r="37" spans="1:7" ht="15.75" customHeight="1" x14ac:dyDescent="0.3">
      <c r="C37" s="95">
        <v>359.71</v>
      </c>
      <c r="D37" s="88">
        <f t="shared" si="0"/>
        <v>-7.7772981233251506E-3</v>
      </c>
      <c r="E37" s="53"/>
    </row>
    <row r="38" spans="1:7" ht="15.75" customHeight="1" x14ac:dyDescent="0.3">
      <c r="C38" s="95">
        <v>367.24</v>
      </c>
      <c r="D38" s="88">
        <f t="shared" si="0"/>
        <v>1.2993425362625731E-2</v>
      </c>
      <c r="E38" s="53"/>
    </row>
    <row r="39" spans="1:7" ht="15.75" customHeight="1" x14ac:dyDescent="0.3">
      <c r="C39" s="95">
        <v>366.09</v>
      </c>
      <c r="D39" s="88">
        <f t="shared" si="0"/>
        <v>9.8212697173609056E-3</v>
      </c>
      <c r="E39" s="53"/>
    </row>
    <row r="40" spans="1:7" ht="15.75" customHeight="1" x14ac:dyDescent="0.3">
      <c r="C40" s="95">
        <v>366.57</v>
      </c>
      <c r="D40" s="88">
        <f t="shared" si="0"/>
        <v>1.1145299899732323E-2</v>
      </c>
      <c r="E40" s="53"/>
    </row>
    <row r="41" spans="1:7" ht="15.75" customHeight="1" x14ac:dyDescent="0.3">
      <c r="C41" s="95">
        <v>361.05</v>
      </c>
      <c r="D41" s="88">
        <f t="shared" si="0"/>
        <v>-4.0810471975383338E-3</v>
      </c>
      <c r="E41" s="53"/>
    </row>
    <row r="42" spans="1:7" ht="15.75" customHeight="1" x14ac:dyDescent="0.3">
      <c r="C42" s="95">
        <v>359.18</v>
      </c>
      <c r="D42" s="88">
        <f t="shared" si="0"/>
        <v>-9.2392481163601249E-3</v>
      </c>
      <c r="E42" s="53"/>
    </row>
    <row r="43" spans="1:7" ht="16.5" customHeight="1" x14ac:dyDescent="0.3">
      <c r="C43" s="96">
        <v>359.02</v>
      </c>
      <c r="D43" s="89">
        <f t="shared" si="0"/>
        <v>-9.680591510483982E-3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7250.59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362.52949999999998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362.52949999999998</v>
      </c>
      <c r="C49" s="93">
        <f>-IF(C46&lt;=80,10%,IF(C46&lt;250,7.5%,5%))</f>
        <v>-0.05</v>
      </c>
      <c r="D49" s="81">
        <f>IF(C46&lt;=80,C46*0.9,IF(C46&lt;250,C46*0.925,C46*0.95))</f>
        <v>344.40302499999996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380.65597500000001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3" zoomScale="50" zoomScaleNormal="40" zoomScalePageLayoutView="50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45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46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33</v>
      </c>
      <c r="B18" s="292" t="s">
        <v>5</v>
      </c>
      <c r="C18" s="292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7" t="s">
        <v>9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7" t="s">
        <v>11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7" t="s">
        <v>125</v>
      </c>
      <c r="C26" s="297"/>
    </row>
    <row r="27" spans="1:14" ht="26.25" customHeight="1" x14ac:dyDescent="0.4">
      <c r="A27" s="109" t="s">
        <v>48</v>
      </c>
      <c r="B27" s="298"/>
      <c r="C27" s="298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5" t="s">
        <v>59</v>
      </c>
      <c r="E36" s="306"/>
      <c r="F36" s="305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56665914</v>
      </c>
      <c r="E38" s="133">
        <f>IF(ISBLANK(D38),"-",$D$48/$D$45*D38)</f>
        <v>50809371.763661548</v>
      </c>
      <c r="F38" s="132">
        <v>56566672</v>
      </c>
      <c r="G38" s="134">
        <f>IF(ISBLANK(F38),"-",$D$48/$F$45*F38)</f>
        <v>52143543.757247716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56803877</v>
      </c>
      <c r="E39" s="138">
        <f>IF(ISBLANK(D39),"-",$D$48/$D$45*D39)</f>
        <v>50933075.995391227</v>
      </c>
      <c r="F39" s="137">
        <v>56691658</v>
      </c>
      <c r="G39" s="139">
        <f>IF(ISBLANK(F39),"-",$D$48/$F$45*F39)</f>
        <v>52258756.703840069</v>
      </c>
      <c r="I39" s="309">
        <f>ABS((F43/D43*D42)-F42)/D42</f>
        <v>2.6548394079278583E-2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56844394</v>
      </c>
      <c r="E40" s="138">
        <f>IF(ISBLANK(D40),"-",$D$48/$D$45*D40)</f>
        <v>50969405.477621906</v>
      </c>
      <c r="F40" s="137">
        <v>56929027</v>
      </c>
      <c r="G40" s="139">
        <f>IF(ISBLANK(F40),"-",$D$48/$F$45*F40)</f>
        <v>52477565.065734051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56771395</v>
      </c>
      <c r="E42" s="148">
        <f>AVERAGE(E38:E41)</f>
        <v>50903951.078891568</v>
      </c>
      <c r="F42" s="147">
        <f>AVERAGE(F38:F41)</f>
        <v>56729119</v>
      </c>
      <c r="G42" s="149">
        <f>AVERAGE(G38:G41)</f>
        <v>52293288.508940615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22.35</v>
      </c>
      <c r="E43" s="140"/>
      <c r="F43" s="152">
        <v>21.74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22.35</v>
      </c>
      <c r="E44" s="155"/>
      <c r="F44" s="154">
        <f>F43*$B$34</f>
        <v>21.74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22.305300000000003</v>
      </c>
      <c r="E45" s="158"/>
      <c r="F45" s="157">
        <f>F44*$B$30/100</f>
        <v>21.696519999999996</v>
      </c>
      <c r="H45" s="150"/>
    </row>
    <row r="46" spans="1:14" ht="19.5" customHeight="1" x14ac:dyDescent="0.3">
      <c r="A46" s="310" t="s">
        <v>78</v>
      </c>
      <c r="B46" s="311"/>
      <c r="C46" s="153" t="s">
        <v>79</v>
      </c>
      <c r="D46" s="159">
        <f>D45/$B$45</f>
        <v>0.22305300000000003</v>
      </c>
      <c r="E46" s="160"/>
      <c r="F46" s="161">
        <f>F45/$B$45</f>
        <v>0.21696519999999997</v>
      </c>
      <c r="H46" s="150"/>
    </row>
    <row r="47" spans="1:14" ht="27" customHeight="1" x14ac:dyDescent="0.4">
      <c r="A47" s="312"/>
      <c r="B47" s="313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51598619.793916084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1.4929269686697961E-2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film coated tablet contains: Nevirapine USP 200mg 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Nevirapine USP</v>
      </c>
      <c r="H56" s="179"/>
    </row>
    <row r="57" spans="1:12" ht="18.75" x14ac:dyDescent="0.3">
      <c r="A57" s="176" t="s">
        <v>88</v>
      </c>
      <c r="B57" s="271">
        <f>Uniformity!C46</f>
        <v>362.52949999999998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4" t="s">
        <v>94</v>
      </c>
      <c r="D60" s="317">
        <v>372.5</v>
      </c>
      <c r="E60" s="182">
        <v>1</v>
      </c>
      <c r="F60" s="183">
        <v>56281261</v>
      </c>
      <c r="G60" s="273">
        <f>IF(ISBLANK(F60),"-",(F60/$D$50*$D$47*$B$68)*($B$57/$D$60))</f>
        <v>212.31115117764401</v>
      </c>
      <c r="H60" s="184"/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5"/>
      <c r="D61" s="318"/>
      <c r="E61" s="185">
        <v>2</v>
      </c>
      <c r="F61" s="137">
        <v>55064546</v>
      </c>
      <c r="G61" s="274">
        <f>IF(ISBLANK(F61),"-",(F61/$D$50*$D$47*$B$68)*($B$57/$D$60))</f>
        <v>207.72130799155929</v>
      </c>
      <c r="H61" s="186">
        <f t="shared" ref="H60:H71" si="0">IF(ISBLANK(F61),"-",G61/$B$56)</f>
        <v>1.0386065399577964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5">
        <v>3</v>
      </c>
      <c r="F62" s="187">
        <v>54761490</v>
      </c>
      <c r="G62" s="274">
        <f>IF(ISBLANK(F62),"-",(F62/$D$50*$D$47*$B$68)*($B$57/$D$60))</f>
        <v>206.57808257180025</v>
      </c>
      <c r="H62" s="186">
        <f t="shared" si="0"/>
        <v>1.0328904128590013</v>
      </c>
      <c r="L62" s="112"/>
    </row>
    <row r="63" spans="1:12" ht="27" customHeight="1" x14ac:dyDescent="0.4">
      <c r="A63" s="124" t="s">
        <v>97</v>
      </c>
      <c r="B63" s="125">
        <v>1</v>
      </c>
      <c r="C63" s="316"/>
      <c r="D63" s="319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368.39</v>
      </c>
      <c r="E64" s="182">
        <v>1</v>
      </c>
      <c r="F64" s="183">
        <v>52866003</v>
      </c>
      <c r="G64" s="275">
        <f>IF(ISBLANK(F64),"-",(F64/$D$50*$D$47*$B$68)*($B$57/$D$64))</f>
        <v>201.65263736294733</v>
      </c>
      <c r="H64" s="190">
        <f t="shared" si="0"/>
        <v>1.0082631868147367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5">
        <v>2</v>
      </c>
      <c r="F65" s="137">
        <v>52682694</v>
      </c>
      <c r="G65" s="276">
        <f>IF(ISBLANK(F65),"-",(F65/$D$50*$D$47*$B$68)*($B$57/$D$64))</f>
        <v>200.95342158712319</v>
      </c>
      <c r="H65" s="191">
        <f t="shared" si="0"/>
        <v>1.004767107935616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5">
        <v>3</v>
      </c>
      <c r="F66" s="137">
        <v>53660424</v>
      </c>
      <c r="G66" s="276">
        <f>IF(ISBLANK(F66),"-",(F66/$D$50*$D$47*$B$68)*($B$57/$D$64))</f>
        <v>204.6828851731801</v>
      </c>
      <c r="H66" s="191">
        <f t="shared" si="0"/>
        <v>1.0234144258659006</v>
      </c>
    </row>
    <row r="67" spans="1:8" ht="27" customHeight="1" x14ac:dyDescent="0.4">
      <c r="A67" s="124" t="s">
        <v>102</v>
      </c>
      <c r="B67" s="125">
        <v>1</v>
      </c>
      <c r="C67" s="316"/>
      <c r="D67" s="319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4" t="s">
        <v>104</v>
      </c>
      <c r="D68" s="317">
        <v>375.42</v>
      </c>
      <c r="E68" s="182">
        <v>1</v>
      </c>
      <c r="F68" s="183">
        <v>53406254</v>
      </c>
      <c r="G68" s="275">
        <f>IF(ISBLANK(F68),"-",(F68/$D$50*$D$47*$B$68)*($B$57/$D$68))</f>
        <v>199.89870212566083</v>
      </c>
      <c r="H68" s="186">
        <f t="shared" si="0"/>
        <v>0.99949351062830416</v>
      </c>
    </row>
    <row r="69" spans="1:8" ht="27" customHeight="1" x14ac:dyDescent="0.4">
      <c r="A69" s="172" t="s">
        <v>105</v>
      </c>
      <c r="B69" s="194">
        <f>(D47*B68)/B56*B57</f>
        <v>362.52949999999998</v>
      </c>
      <c r="C69" s="315"/>
      <c r="D69" s="318"/>
      <c r="E69" s="185">
        <v>2</v>
      </c>
      <c r="F69" s="137">
        <v>59482645</v>
      </c>
      <c r="G69" s="276">
        <f>IF(ISBLANK(F69),"-",(F69/$D$50*$D$47*$B$68)*($B$57/$D$68))</f>
        <v>222.64253048905903</v>
      </c>
      <c r="H69" s="186"/>
    </row>
    <row r="70" spans="1:8" ht="26.25" customHeight="1" x14ac:dyDescent="0.4">
      <c r="A70" s="327" t="s">
        <v>78</v>
      </c>
      <c r="B70" s="328"/>
      <c r="C70" s="315"/>
      <c r="D70" s="318"/>
      <c r="E70" s="185">
        <v>3</v>
      </c>
      <c r="F70" s="137">
        <v>53927043</v>
      </c>
      <c r="G70" s="276">
        <f>IF(ISBLANK(F70),"-",(F70/$D$50*$D$47*$B$68)*($B$57/$D$68))</f>
        <v>201.8480065120221</v>
      </c>
      <c r="H70" s="186">
        <f>IF(ISBLANK(F70),"-",G70/$B$56)</f>
        <v>1.0092400325601105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7" t="str">
        <f>IF(ISBLANK(F71),"-",(F71/$D$50*$D$47*$B$68)*($B$57/$D$68))</f>
        <v>-</v>
      </c>
      <c r="H71" s="195" t="s">
        <v>126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1.0166678880887807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8">
        <f>STDEV(H60:H71)/H72</f>
        <v>1.4767137019448524E-2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7</v>
      </c>
    </row>
    <row r="76" spans="1:8" ht="26.25" customHeight="1" x14ac:dyDescent="0.4">
      <c r="A76" s="108" t="s">
        <v>106</v>
      </c>
      <c r="B76" s="204" t="s">
        <v>107</v>
      </c>
      <c r="C76" s="322" t="str">
        <f>B20</f>
        <v>Nevirapine USP</v>
      </c>
      <c r="D76" s="322"/>
      <c r="E76" s="205" t="s">
        <v>108</v>
      </c>
      <c r="F76" s="205"/>
      <c r="G76" s="206">
        <f>H72</f>
        <v>1.0166678880887807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tr">
        <f>B26</f>
        <v>Nevirapine</v>
      </c>
      <c r="C79" s="308"/>
    </row>
    <row r="80" spans="1:8" ht="26.25" customHeight="1" x14ac:dyDescent="0.4">
      <c r="A80" s="109" t="s">
        <v>48</v>
      </c>
      <c r="B80" s="308">
        <f>B27</f>
        <v>0</v>
      </c>
      <c r="C80" s="308"/>
    </row>
    <row r="81" spans="1:12" ht="27" customHeight="1" x14ac:dyDescent="0.4">
      <c r="A81" s="109" t="s">
        <v>6</v>
      </c>
      <c r="B81" s="208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5" t="s">
        <v>60</v>
      </c>
      <c r="G89" s="307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24973644</v>
      </c>
      <c r="E91" s="133">
        <f>IF(ISBLANK(D91),"-",$D$101/$D$98*D91)</f>
        <v>29848740.243055444</v>
      </c>
      <c r="F91" s="132">
        <v>23442665</v>
      </c>
      <c r="G91" s="134">
        <f>IF(ISBLANK(F91),"-",$D$101/$F$98*F91)</f>
        <v>29879341.459743246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24955976</v>
      </c>
      <c r="E92" s="138">
        <f>IF(ISBLANK(D92),"-",$D$101/$D$98*D92)</f>
        <v>29827623.279002689</v>
      </c>
      <c r="F92" s="137">
        <v>23291465</v>
      </c>
      <c r="G92" s="139">
        <f>IF(ISBLANK(F92),"-",$D$101/$F$98*F92)</f>
        <v>29686626.321395572</v>
      </c>
      <c r="I92" s="309">
        <f>ABS((F96/D96*D95)-F95)/D95</f>
        <v>1.4244794564205895E-3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24939994</v>
      </c>
      <c r="E93" s="138">
        <f>IF(ISBLANK(D93),"-",$D$101/$D$98*D93)</f>
        <v>29808521.438415688</v>
      </c>
      <c r="F93" s="137"/>
      <c r="G93" s="139" t="str">
        <f>IF(ISBLANK(F93),"-",$D$101/$F$98*F93)</f>
        <v>-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24956538</v>
      </c>
      <c r="E95" s="148">
        <f>AVERAGE(E91:E94)</f>
        <v>29828294.986824606</v>
      </c>
      <c r="F95" s="218">
        <f>AVERAGE(F91:F94)</f>
        <v>23367065</v>
      </c>
      <c r="G95" s="219">
        <f>AVERAGE(G91:G94)</f>
        <v>29782983.890569411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18.63</v>
      </c>
      <c r="E96" s="140"/>
      <c r="F96" s="152">
        <v>17.47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18.63</v>
      </c>
      <c r="E97" s="155"/>
      <c r="F97" s="154">
        <f>F96*$B$87</f>
        <v>17.47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18.592739999999999</v>
      </c>
      <c r="E98" s="158"/>
      <c r="F98" s="157">
        <f>F97*$B$83/100</f>
        <v>17.43506</v>
      </c>
    </row>
    <row r="99" spans="1:10" ht="19.5" customHeight="1" x14ac:dyDescent="0.3">
      <c r="A99" s="310" t="s">
        <v>78</v>
      </c>
      <c r="B99" s="324"/>
      <c r="C99" s="222" t="s">
        <v>116</v>
      </c>
      <c r="D99" s="226">
        <f>D98/$B$98</f>
        <v>0.18592739999999999</v>
      </c>
      <c r="E99" s="158"/>
      <c r="F99" s="161">
        <f>F98/$B$98</f>
        <v>0.17435059999999999</v>
      </c>
      <c r="G99" s="227"/>
      <c r="H99" s="150"/>
    </row>
    <row r="100" spans="1:10" ht="19.5" customHeight="1" x14ac:dyDescent="0.3">
      <c r="A100" s="312"/>
      <c r="B100" s="325"/>
      <c r="C100" s="222" t="s">
        <v>80</v>
      </c>
      <c r="D100" s="228">
        <f>$B$56/$B$116</f>
        <v>0.22222222222222221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29810170.548322529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2.4788999547490516E-3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5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24939760</v>
      </c>
      <c r="E108" s="279">
        <f t="shared" ref="E108:E113" si="1">IF(ISBLANK(D108),"-",D108/$D$103*$D$100*$B$116)</f>
        <v>167.32383304934433</v>
      </c>
      <c r="F108" s="245">
        <f t="shared" ref="F108:F113" si="2">IF(ISBLANK(D108), "-", E108/$B$56)</f>
        <v>0.83661916524672164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24804834</v>
      </c>
      <c r="E109" s="280">
        <f t="shared" si="1"/>
        <v>166.4185983759547</v>
      </c>
      <c r="F109" s="246">
        <f t="shared" si="2"/>
        <v>0.83209299187977348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24733767</v>
      </c>
      <c r="E110" s="280">
        <f t="shared" si="1"/>
        <v>165.94180137216165</v>
      </c>
      <c r="F110" s="246">
        <f t="shared" si="2"/>
        <v>0.82970900686080828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24821213</v>
      </c>
      <c r="E111" s="280">
        <f t="shared" si="1"/>
        <v>166.52848704615502</v>
      </c>
      <c r="F111" s="246">
        <f t="shared" si="2"/>
        <v>0.83264243523077508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24910553</v>
      </c>
      <c r="E112" s="280">
        <f t="shared" si="1"/>
        <v>167.12787979270223</v>
      </c>
      <c r="F112" s="246">
        <f>IF(ISBLANK(D112), "-", E112/$B$56)</f>
        <v>0.83563939896351114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/>
      <c r="E113" s="281" t="str">
        <f t="shared" si="1"/>
        <v>-</v>
      </c>
      <c r="F113" s="249" t="str">
        <f t="shared" si="2"/>
        <v>-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0.8333405996363179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4"/>
      <c r="D116" s="255"/>
      <c r="E116" s="216" t="s">
        <v>84</v>
      </c>
      <c r="F116" s="256">
        <f>STDEV(F108:F113)/F115</f>
        <v>3.3549256488755561E-3</v>
      </c>
      <c r="I116" s="98"/>
    </row>
    <row r="117" spans="1:10" ht="27" customHeight="1" x14ac:dyDescent="0.4">
      <c r="A117" s="310" t="s">
        <v>78</v>
      </c>
      <c r="B117" s="311"/>
      <c r="C117" s="257"/>
      <c r="D117" s="258"/>
      <c r="E117" s="259" t="s">
        <v>20</v>
      </c>
      <c r="F117" s="260">
        <f>COUNT(F108:F113)</f>
        <v>5</v>
      </c>
      <c r="I117" s="98"/>
      <c r="J117" s="236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2" t="str">
        <f>B20</f>
        <v>Nevirapine USP</v>
      </c>
      <c r="D120" s="322"/>
      <c r="E120" s="205" t="s">
        <v>124</v>
      </c>
      <c r="F120" s="205"/>
      <c r="G120" s="206">
        <f>F115</f>
        <v>0.8333405996363179</v>
      </c>
      <c r="H120" s="98"/>
      <c r="I120" s="98"/>
    </row>
    <row r="121" spans="1:10" ht="19.5" customHeight="1" x14ac:dyDescent="0.3">
      <c r="A121" s="261"/>
      <c r="B121" s="261"/>
      <c r="C121" s="262"/>
      <c r="D121" s="262"/>
      <c r="E121" s="262"/>
      <c r="F121" s="262"/>
      <c r="G121" s="262"/>
      <c r="H121" s="262"/>
    </row>
    <row r="122" spans="1:10" ht="18.75" x14ac:dyDescent="0.3">
      <c r="B122" s="323" t="s">
        <v>26</v>
      </c>
      <c r="C122" s="323"/>
      <c r="E122" s="211" t="s">
        <v>27</v>
      </c>
      <c r="F122" s="263"/>
      <c r="G122" s="323" t="s">
        <v>28</v>
      </c>
      <c r="H122" s="323"/>
    </row>
    <row r="123" spans="1:10" ht="69.95" customHeight="1" x14ac:dyDescent="0.3">
      <c r="A123" s="264" t="s">
        <v>29</v>
      </c>
      <c r="B123" s="265"/>
      <c r="C123" s="265"/>
      <c r="E123" s="265"/>
      <c r="F123" s="98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Lab</cp:lastModifiedBy>
  <dcterms:created xsi:type="dcterms:W3CDTF">2005-07-05T10:19:27Z</dcterms:created>
  <dcterms:modified xsi:type="dcterms:W3CDTF">2015-07-03T16:23:04Z</dcterms:modified>
  <cp:category/>
</cp:coreProperties>
</file>