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3"/>
  </bookViews>
  <sheets>
    <sheet name="SST" sheetId="1" r:id="rId1"/>
    <sheet name="Uniformity" sheetId="2" r:id="rId2"/>
    <sheet name="SULPHAMETHOXAZOLE" sheetId="3" r:id="rId3"/>
    <sheet name="TRIMETHOPRIM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76" i="4" l="1"/>
  <c r="C120" i="4"/>
  <c r="C76" i="3"/>
  <c r="G60" i="3"/>
  <c r="H60" i="3"/>
  <c r="C45" i="2"/>
  <c r="B42" i="1" l="1"/>
  <c r="B21" i="1"/>
  <c r="B116" i="4"/>
  <c r="D100" i="4"/>
  <c r="B98" i="4"/>
  <c r="F95" i="4"/>
  <c r="D95" i="4"/>
  <c r="B87" i="4"/>
  <c r="F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B68" i="3"/>
  <c r="B57" i="3"/>
  <c r="C56" i="3"/>
  <c r="B55" i="3"/>
  <c r="B45" i="3"/>
  <c r="D48" i="3" s="1"/>
  <c r="F42" i="3"/>
  <c r="D42" i="3"/>
  <c r="B34" i="3"/>
  <c r="D44" i="3" s="1"/>
  <c r="D45" i="3" s="1"/>
  <c r="B30" i="3"/>
  <c r="D49" i="2"/>
  <c r="C49" i="2"/>
  <c r="C46" i="2"/>
  <c r="D50" i="2" s="1"/>
  <c r="D43" i="2"/>
  <c r="D40" i="2"/>
  <c r="D39" i="2"/>
  <c r="D36" i="2"/>
  <c r="D35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G93" i="4" s="1"/>
  <c r="D45" i="4"/>
  <c r="D46" i="4" s="1"/>
  <c r="I39" i="4"/>
  <c r="I92" i="3"/>
  <c r="D101" i="3"/>
  <c r="B69" i="3"/>
  <c r="I39" i="3"/>
  <c r="D46" i="3"/>
  <c r="G94" i="4"/>
  <c r="D49" i="3"/>
  <c r="E40" i="3"/>
  <c r="E38" i="3"/>
  <c r="E41" i="3"/>
  <c r="E39" i="3"/>
  <c r="F98" i="3"/>
  <c r="F99" i="3" s="1"/>
  <c r="D49" i="4"/>
  <c r="E40" i="4"/>
  <c r="E41" i="4"/>
  <c r="F98" i="4"/>
  <c r="F99" i="4" s="1"/>
  <c r="F44" i="3"/>
  <c r="F45" i="3" s="1"/>
  <c r="F46" i="3" s="1"/>
  <c r="F44" i="4"/>
  <c r="F45" i="4" s="1"/>
  <c r="F46" i="4" s="1"/>
  <c r="B57" i="4"/>
  <c r="B69" i="4" s="1"/>
  <c r="D33" i="2"/>
  <c r="D37" i="2"/>
  <c r="D41" i="2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D102" i="4" l="1"/>
  <c r="E38" i="4"/>
  <c r="G39" i="4"/>
  <c r="E39" i="4"/>
  <c r="G38" i="4"/>
  <c r="G93" i="3"/>
  <c r="E91" i="3"/>
  <c r="G92" i="3"/>
  <c r="D102" i="3"/>
  <c r="G94" i="3"/>
  <c r="E92" i="3"/>
  <c r="G41" i="3"/>
  <c r="G40" i="3"/>
  <c r="G39" i="3"/>
  <c r="G92" i="4"/>
  <c r="G91" i="4"/>
  <c r="G38" i="3"/>
  <c r="E94" i="4"/>
  <c r="E93" i="4"/>
  <c r="E93" i="3"/>
  <c r="G40" i="4"/>
  <c r="G41" i="4"/>
  <c r="E42" i="3"/>
  <c r="E91" i="4"/>
  <c r="E92" i="4"/>
  <c r="E94" i="3"/>
  <c r="G91" i="3"/>
  <c r="D50" i="4" l="1"/>
  <c r="G66" i="4" s="1"/>
  <c r="H66" i="4" s="1"/>
  <c r="E42" i="4"/>
  <c r="G42" i="4"/>
  <c r="D52" i="4"/>
  <c r="G95" i="4"/>
  <c r="E95" i="3"/>
  <c r="D52" i="3"/>
  <c r="D103" i="3"/>
  <c r="E112" i="3" s="1"/>
  <c r="F112" i="3" s="1"/>
  <c r="G95" i="3"/>
  <c r="G42" i="3"/>
  <c r="D50" i="3"/>
  <c r="G71" i="3" s="1"/>
  <c r="H71" i="3" s="1"/>
  <c r="D105" i="3"/>
  <c r="E95" i="4"/>
  <c r="D105" i="4"/>
  <c r="D103" i="4"/>
  <c r="G68" i="4" l="1"/>
  <c r="H68" i="4" s="1"/>
  <c r="G61" i="4"/>
  <c r="H61" i="4" s="1"/>
  <c r="G62" i="4"/>
  <c r="H62" i="4" s="1"/>
  <c r="G71" i="4"/>
  <c r="H71" i="4" s="1"/>
  <c r="G65" i="4"/>
  <c r="H65" i="4" s="1"/>
  <c r="G60" i="4"/>
  <c r="H60" i="4" s="1"/>
  <c r="G67" i="4"/>
  <c r="H67" i="4" s="1"/>
  <c r="G64" i="4"/>
  <c r="H64" i="4" s="1"/>
  <c r="G70" i="4"/>
  <c r="H70" i="4" s="1"/>
  <c r="G69" i="4"/>
  <c r="H69" i="4" s="1"/>
  <c r="G63" i="4"/>
  <c r="H63" i="4" s="1"/>
  <c r="D51" i="4"/>
  <c r="D104" i="3"/>
  <c r="E113" i="3"/>
  <c r="F113" i="3" s="1"/>
  <c r="E108" i="3"/>
  <c r="F108" i="3" s="1"/>
  <c r="G65" i="3"/>
  <c r="H65" i="3" s="1"/>
  <c r="G68" i="3"/>
  <c r="H68" i="3" s="1"/>
  <c r="G67" i="3"/>
  <c r="H67" i="3" s="1"/>
  <c r="G66" i="3"/>
  <c r="H66" i="3" s="1"/>
  <c r="G63" i="3"/>
  <c r="H63" i="3" s="1"/>
  <c r="G69" i="3"/>
  <c r="H69" i="3" s="1"/>
  <c r="G62" i="3"/>
  <c r="H62" i="3" s="1"/>
  <c r="G61" i="3"/>
  <c r="H61" i="3" s="1"/>
  <c r="G70" i="3"/>
  <c r="H70" i="3" s="1"/>
  <c r="D51" i="3"/>
  <c r="G64" i="3"/>
  <c r="H64" i="3" s="1"/>
  <c r="E110" i="3"/>
  <c r="F110" i="3" s="1"/>
  <c r="E109" i="3"/>
  <c r="F109" i="3" s="1"/>
  <c r="E111" i="3"/>
  <c r="F111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3"/>
  <c r="E116" i="3" s="1"/>
  <c r="G74" i="3"/>
  <c r="G72" i="3"/>
  <c r="G73" i="3" s="1"/>
  <c r="H72" i="3"/>
  <c r="E117" i="3"/>
  <c r="H74" i="4"/>
  <c r="H72" i="4"/>
  <c r="E115" i="4"/>
  <c r="E116" i="4" s="1"/>
  <c r="E117" i="4"/>
  <c r="F108" i="4"/>
  <c r="F117" i="3"/>
  <c r="F115" i="3"/>
  <c r="H74" i="3" l="1"/>
  <c r="G120" i="3"/>
  <c r="F116" i="3"/>
  <c r="G76" i="4"/>
  <c r="H73" i="4"/>
  <c r="F117" i="4"/>
  <c r="F115" i="4"/>
  <c r="G76" i="3"/>
  <c r="H73" i="3"/>
  <c r="G120" i="4" l="1"/>
  <c r="F116" i="4"/>
</calcChain>
</file>

<file path=xl/sharedStrings.xml><?xml version="1.0" encoding="utf-8"?>
<sst xmlns="http://schemas.openxmlformats.org/spreadsheetml/2006/main" count="396" uniqueCount="136">
  <si>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</si>
  <si>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</si>
  <si>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</si>
  <si>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</si>
  <si>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</si>
  <si>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</si>
  <si>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</si>
  <si>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NDQB201512623</t>
  </si>
  <si>
    <t>Weight (mg):</t>
  </si>
  <si>
    <t>Standard Conc (mg/mL):</t>
  </si>
  <si>
    <t>2015-12-09 09:47:49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</si>
  <si>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</si>
  <si>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</si>
  <si>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</si>
  <si>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</si>
  <si>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</si>
  <si>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</si>
  <si>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</si>
  <si>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</si>
  <si>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</si>
  <si>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</si>
  <si>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</si>
  <si>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</si>
  <si>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</si>
  <si>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</si>
  <si>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</si>
  <si>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</si>
  <si>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</si>
  <si>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</si>
  <si>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</si>
  <si>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</si>
  <si>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</si>
  <si>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</si>
  <si>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</si>
  <si>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</si>
  <si>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</si>
  <si>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</si>
  <si>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</si>
  <si>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</si>
  <si>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</si>
  <si>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</si>
  <si>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</si>
  <si>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</si>
  <si>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</si>
  <si>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</si>
  <si>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</si>
  <si>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</si>
  <si>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</si>
  <si>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</si>
  <si>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</si>
  <si>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</si>
  <si>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</si>
  <si>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</si>
  <si>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</si>
  <si>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</si>
  <si>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</si>
  <si>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</si>
  <si>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</si>
  <si>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</si>
  <si>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</si>
  <si>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</si>
  <si>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</si>
  <si>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</si>
  <si>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</si>
  <si>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</si>
  <si>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</si>
  <si>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</si>
  <si>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</si>
  <si>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</si>
  <si>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</si>
  <si>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</si>
  <si>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</si>
  <si>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</si>
  <si>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</si>
  <si>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</si>
  <si>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</si>
  <si>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</si>
  <si>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</si>
  <si>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</si>
  <si>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</si>
  <si>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</si>
  <si>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</si>
  <si>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</si>
  <si>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</si>
  <si>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</si>
  <si>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</si>
  <si>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</si>
  <si>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</si>
  <si>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</si>
  <si>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</si>
  <si>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</si>
  <si>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</si>
  <si>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</si>
  <si>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</si>
  <si>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</si>
  <si>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</si>
  <si>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</si>
  <si>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</si>
  <si>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</si>
  <si>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</si>
  <si>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</si>
  <si>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</si>
  <si>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</si>
  <si>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</si>
  <si>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</si>
  <si>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</si>
  <si>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</si>
  <si>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</si>
  <si>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</si>
  <si>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</si>
  <si>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</si>
  <si>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</si>
  <si>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</si>
  <si>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</si>
  <si>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</si>
  <si>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</si>
  <si>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</si>
  <si>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</si>
  <si>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</si>
  <si>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</si>
  <si>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</si>
  <si>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</si>
  <si>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</si>
  <si>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</si>
  <si>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>S 12 4</t>
  </si>
  <si>
    <t>T14 9</t>
  </si>
  <si>
    <t>Each tablet contains sulphamethoxazole 800mg Trimethoprim 160mg.</t>
  </si>
  <si>
    <t>Trimethoprim 160 mg per tablet</t>
  </si>
  <si>
    <t>Resolution</t>
  </si>
  <si>
    <t>N. MWAURA</t>
  </si>
  <si>
    <t>Sulphamethoxazole 800mg and Trimethoprim 160 per tablets</t>
  </si>
  <si>
    <t>Each tablet contains Sulphamethoxazole 800 mg and Trimethoprim 160 mg.</t>
  </si>
  <si>
    <t xml:space="preserve">Sulphamethoxazole 800 mg </t>
  </si>
  <si>
    <t>Average Tablet Weight (mg):</t>
  </si>
  <si>
    <t>Each tablet contains sulphamethoxazole 800 mg and Trimethoprim 160 mg.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</si>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</sst>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4" formatCode="d\-mmmm\-yyyy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5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vertical="center" wrapText="1"/>
    </xf>
    <xf numFmtId="0" fontId="18" fillId="2" borderId="0" xfId="0" applyFont="1" applyFill="1" applyBorder="1"/>
    <xf numFmtId="0" fontId="11" fillId="2" borderId="0" xfId="0" applyFont="1" applyFill="1" applyBorder="1"/>
    <xf numFmtId="0" fontId="0" fillId="2" borderId="0" xfId="0" applyFill="1" applyBorder="1"/>
    <xf numFmtId="0" fontId="14" fillId="3" borderId="0" xfId="0" applyFont="1" applyFill="1" applyAlignment="1" applyProtection="1">
      <protection locked="0"/>
    </xf>
    <xf numFmtId="2" fontId="5" fillId="4" borderId="4" xfId="0" applyNumberFormat="1" applyFont="1" applyFill="1" applyBorder="1" applyAlignment="1">
      <alignment horizontal="center"/>
    </xf>
    <xf numFmtId="10" fontId="5" fillId="5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165" fontId="5" fillId="2" borderId="61" xfId="0" applyNumberFormat="1" applyFont="1" applyFill="1" applyBorder="1" applyAlignment="1">
      <alignment horizontal="center"/>
    </xf>
    <xf numFmtId="165" fontId="5" fillId="2" borderId="62" xfId="0" applyNumberFormat="1" applyFont="1" applyFill="1" applyBorder="1" applyAlignment="1">
      <alignment horizontal="center"/>
    </xf>
    <xf numFmtId="0" fontId="6" fillId="2" borderId="62" xfId="0" applyFont="1" applyFill="1" applyBorder="1"/>
    <xf numFmtId="0" fontId="6" fillId="2" borderId="63" xfId="0" applyFont="1" applyFill="1" applyBorder="1"/>
    <xf numFmtId="0" fontId="5" fillId="2" borderId="64" xfId="0" applyFont="1" applyFill="1" applyBorder="1" applyAlignment="1">
      <alignment horizontal="center"/>
    </xf>
    <xf numFmtId="0" fontId="6" fillId="2" borderId="59" xfId="0" applyFont="1" applyFill="1" applyBorder="1"/>
    <xf numFmtId="0" fontId="6" fillId="2" borderId="60" xfId="0" applyFont="1" applyFill="1" applyBorder="1"/>
    <xf numFmtId="2" fontId="6" fillId="3" borderId="14" xfId="0" applyNumberFormat="1" applyFont="1" applyFill="1" applyBorder="1" applyAlignment="1" applyProtection="1">
      <alignment horizontal="center"/>
      <protection locked="0"/>
    </xf>
    <xf numFmtId="174" fontId="12" fillId="2" borderId="11" xfId="1" applyNumberFormat="1" applyFont="1" applyFill="1" applyBorder="1" applyAlignment="1">
      <alignment horizontal="center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Alignment="1" applyProtection="1">
      <protection locked="0"/>
    </xf>
    <xf numFmtId="0" fontId="11" fillId="2" borderId="45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3" fillId="0" borderId="0" xfId="0" applyFont="1" applyFill="1" applyAlignment="1" applyProtection="1"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61" sqref="E6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71" t="s">
        <v>122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20.49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B20/25*10/50</f>
        <v>0.16391999999999995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  <c r="F23" s="16" t="s">
        <v>128</v>
      </c>
    </row>
    <row r="24" spans="1:6" ht="16.5" customHeight="1" x14ac:dyDescent="0.3">
      <c r="A24" s="17">
        <v>1</v>
      </c>
      <c r="B24" s="18">
        <v>128878758</v>
      </c>
      <c r="C24" s="18">
        <v>11212.5</v>
      </c>
      <c r="D24" s="19">
        <v>1</v>
      </c>
      <c r="E24" s="20">
        <v>7.8</v>
      </c>
      <c r="F24" s="20">
        <v>15.6</v>
      </c>
    </row>
    <row r="25" spans="1:6" ht="16.5" customHeight="1" x14ac:dyDescent="0.3">
      <c r="A25" s="17">
        <v>2</v>
      </c>
      <c r="B25" s="18">
        <v>129078980</v>
      </c>
      <c r="C25" s="18">
        <v>11206.3</v>
      </c>
      <c r="D25" s="19">
        <v>1</v>
      </c>
      <c r="E25" s="19">
        <v>7.8</v>
      </c>
      <c r="F25" s="19">
        <v>15.7</v>
      </c>
    </row>
    <row r="26" spans="1:6" ht="16.5" customHeight="1" x14ac:dyDescent="0.3">
      <c r="A26" s="17">
        <v>3</v>
      </c>
      <c r="B26" s="18">
        <v>129419325</v>
      </c>
      <c r="C26" s="18">
        <v>11213.7</v>
      </c>
      <c r="D26" s="19">
        <v>1</v>
      </c>
      <c r="E26" s="19">
        <v>7.8</v>
      </c>
      <c r="F26" s="19">
        <v>15.6</v>
      </c>
    </row>
    <row r="27" spans="1:6" ht="16.5" customHeight="1" x14ac:dyDescent="0.3">
      <c r="A27" s="17">
        <v>4</v>
      </c>
      <c r="B27" s="18">
        <v>129453116</v>
      </c>
      <c r="C27" s="18">
        <v>11225.3</v>
      </c>
      <c r="D27" s="19">
        <v>1</v>
      </c>
      <c r="E27" s="19">
        <v>7.8</v>
      </c>
      <c r="F27" s="19">
        <v>15.7</v>
      </c>
    </row>
    <row r="28" spans="1:6" ht="16.5" customHeight="1" x14ac:dyDescent="0.3">
      <c r="A28" s="17">
        <v>5</v>
      </c>
      <c r="B28" s="18">
        <v>129436794</v>
      </c>
      <c r="C28" s="18">
        <v>11227</v>
      </c>
      <c r="D28" s="19">
        <v>1</v>
      </c>
      <c r="E28" s="19">
        <v>7.8</v>
      </c>
      <c r="F28" s="19">
        <v>15.6</v>
      </c>
    </row>
    <row r="29" spans="1:6" ht="16.5" customHeight="1" x14ac:dyDescent="0.3">
      <c r="A29" s="17">
        <v>6</v>
      </c>
      <c r="B29" s="21">
        <v>129462891</v>
      </c>
      <c r="C29" s="21">
        <v>11223.9</v>
      </c>
      <c r="D29" s="22">
        <v>1</v>
      </c>
      <c r="E29" s="22">
        <v>7.8</v>
      </c>
      <c r="F29" s="22">
        <v>15.7</v>
      </c>
    </row>
    <row r="30" spans="1:6" ht="16.5" customHeight="1" x14ac:dyDescent="0.3">
      <c r="A30" s="23" t="s">
        <v>16</v>
      </c>
      <c r="B30" s="24">
        <f>AVERAGE(B24:B29)</f>
        <v>129288310.66666667</v>
      </c>
      <c r="C30" s="514">
        <f>AVERAGE(C24:C29)</f>
        <v>11218.116666666667</v>
      </c>
      <c r="D30" s="511">
        <f>AVERAGE(D24:D29)</f>
        <v>1</v>
      </c>
      <c r="E30" s="511">
        <f>AVERAGE(E24:E29)</f>
        <v>7.8</v>
      </c>
      <c r="F30" s="511">
        <v>15.7</v>
      </c>
    </row>
    <row r="31" spans="1:6" ht="16.5" customHeight="1" x14ac:dyDescent="0.3">
      <c r="A31" s="27" t="s">
        <v>17</v>
      </c>
      <c r="B31" s="512">
        <f>(STDEV(B24:B29)/B30)</f>
        <v>1.9209481404733305E-3</v>
      </c>
      <c r="C31" s="515"/>
      <c r="D31" s="516"/>
      <c r="E31" s="517"/>
      <c r="F31" s="518"/>
    </row>
    <row r="32" spans="1:6" s="2" customFormat="1" ht="16.5" customHeight="1" x14ac:dyDescent="0.3">
      <c r="A32" s="31" t="s">
        <v>18</v>
      </c>
      <c r="B32" s="513">
        <f>COUNT(B24:B29)</f>
        <v>6</v>
      </c>
      <c r="C32" s="519"/>
      <c r="D32" s="520"/>
      <c r="E32" s="520"/>
      <c r="F32" s="521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9" t="s">
        <v>123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26.55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B41/25*2/50</f>
        <v>4.2480000000000004E-2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12754878</v>
      </c>
      <c r="C45" s="18">
        <v>8286.1</v>
      </c>
      <c r="D45" s="19">
        <v>1.1000000000000001</v>
      </c>
      <c r="E45" s="20">
        <v>4.0999999999999996</v>
      </c>
    </row>
    <row r="46" spans="1:6" ht="16.5" customHeight="1" x14ac:dyDescent="0.3">
      <c r="A46" s="17">
        <v>2</v>
      </c>
      <c r="B46" s="18">
        <v>12768826</v>
      </c>
      <c r="C46" s="18">
        <v>8355.2000000000007</v>
      </c>
      <c r="D46" s="19">
        <v>1.2</v>
      </c>
      <c r="E46" s="19">
        <v>4.0999999999999996</v>
      </c>
    </row>
    <row r="47" spans="1:6" ht="16.5" customHeight="1" x14ac:dyDescent="0.3">
      <c r="A47" s="17">
        <v>3</v>
      </c>
      <c r="B47" s="18">
        <v>12797469</v>
      </c>
      <c r="C47" s="18">
        <v>8279.5</v>
      </c>
      <c r="D47" s="19">
        <v>1.1000000000000001</v>
      </c>
      <c r="E47" s="19">
        <v>4.0999999999999996</v>
      </c>
    </row>
    <row r="48" spans="1:6" ht="16.5" customHeight="1" x14ac:dyDescent="0.3">
      <c r="A48" s="17">
        <v>4</v>
      </c>
      <c r="B48" s="18">
        <v>12804055</v>
      </c>
      <c r="C48" s="18">
        <v>8362</v>
      </c>
      <c r="D48" s="19">
        <v>1.2</v>
      </c>
      <c r="E48" s="19">
        <v>4.0999999999999996</v>
      </c>
    </row>
    <row r="49" spans="1:7" ht="16.5" customHeight="1" x14ac:dyDescent="0.3">
      <c r="A49" s="17">
        <v>5</v>
      </c>
      <c r="B49" s="18">
        <v>12796383</v>
      </c>
      <c r="C49" s="18">
        <v>8284.2999999999993</v>
      </c>
      <c r="D49" s="19">
        <v>1.1000000000000001</v>
      </c>
      <c r="E49" s="19">
        <v>4.0999999999999996</v>
      </c>
    </row>
    <row r="50" spans="1:7" ht="16.5" customHeight="1" x14ac:dyDescent="0.3">
      <c r="A50" s="17">
        <v>6</v>
      </c>
      <c r="B50" s="21">
        <v>12795080</v>
      </c>
      <c r="C50" s="21">
        <v>8298.2000000000007</v>
      </c>
      <c r="D50" s="22">
        <v>1.1000000000000001</v>
      </c>
      <c r="E50" s="22">
        <v>4.0999999999999996</v>
      </c>
    </row>
    <row r="51" spans="1:7" ht="16.5" customHeight="1" x14ac:dyDescent="0.3">
      <c r="A51" s="23" t="s">
        <v>16</v>
      </c>
      <c r="B51" s="24">
        <f>AVERAGE(B45:B50)</f>
        <v>12786115.166666666</v>
      </c>
      <c r="C51" s="25">
        <f>AVERAGE(C45:C50)</f>
        <v>8310.8833333333332</v>
      </c>
      <c r="D51" s="26">
        <f>AVERAGE(D45:D50)</f>
        <v>1.1333333333333331</v>
      </c>
      <c r="E51" s="26">
        <f>AVERAGE(E45:E50)</f>
        <v>4.1000000000000005</v>
      </c>
    </row>
    <row r="52" spans="1:7" ht="16.5" customHeight="1" x14ac:dyDescent="0.3">
      <c r="A52" s="27" t="s">
        <v>17</v>
      </c>
      <c r="B52" s="28">
        <f>(STDEV(B45:B50)/B51)</f>
        <v>1.5290852093817445E-3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458" t="s">
        <v>23</v>
      </c>
      <c r="C59" s="458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27" customHeight="1" x14ac:dyDescent="0.35">
      <c r="A61" s="47" t="s">
        <v>27</v>
      </c>
      <c r="B61" s="50"/>
      <c r="C61" s="50" t="s">
        <v>129</v>
      </c>
      <c r="E61" s="523">
        <v>42366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F49" sqref="F49:F50"/>
    </sheetView>
  </sheetViews>
  <sheetFormatPr defaultRowHeight="13.8" x14ac:dyDescent="0.3"/>
  <cols>
    <col min="1" max="1" width="17.5546875" style="1" customWidth="1"/>
    <col min="2" max="2" width="18.44140625" style="1" customWidth="1"/>
    <col min="3" max="3" width="14.33203125" style="1" customWidth="1"/>
    <col min="4" max="4" width="23.109375" style="1" bestFit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62" t="s">
        <v>28</v>
      </c>
      <c r="B11" s="463"/>
      <c r="C11" s="463"/>
      <c r="D11" s="463"/>
      <c r="E11" s="463"/>
      <c r="F11" s="464"/>
      <c r="G11" s="90"/>
    </row>
    <row r="12" spans="1:7" ht="16.5" customHeight="1" x14ac:dyDescent="0.3">
      <c r="A12" s="461" t="s">
        <v>29</v>
      </c>
      <c r="B12" s="461"/>
      <c r="C12" s="461"/>
      <c r="D12" s="461"/>
      <c r="E12" s="461"/>
      <c r="F12" s="461"/>
      <c r="G12" s="89"/>
    </row>
    <row r="14" spans="1:7" ht="16.5" customHeight="1" x14ac:dyDescent="0.3">
      <c r="A14" s="466" t="s">
        <v>30</v>
      </c>
      <c r="B14" s="466"/>
      <c r="C14" s="60" t="s">
        <v>5</v>
      </c>
    </row>
    <row r="15" spans="1:7" ht="16.5" customHeight="1" x14ac:dyDescent="0.3">
      <c r="A15" s="466" t="s">
        <v>31</v>
      </c>
      <c r="B15" s="466"/>
      <c r="C15" s="60" t="s">
        <v>7</v>
      </c>
    </row>
    <row r="16" spans="1:7" ht="16.5" customHeight="1" x14ac:dyDescent="0.3">
      <c r="A16" s="466" t="s">
        <v>32</v>
      </c>
      <c r="B16" s="466"/>
      <c r="C16" s="60" t="s">
        <v>126</v>
      </c>
    </row>
    <row r="17" spans="1:5" ht="16.5" customHeight="1" x14ac:dyDescent="0.3">
      <c r="A17" s="466" t="s">
        <v>33</v>
      </c>
      <c r="B17" s="466"/>
      <c r="C17" s="60" t="s">
        <v>130</v>
      </c>
    </row>
    <row r="18" spans="1:5" ht="16.5" customHeight="1" x14ac:dyDescent="0.3">
      <c r="A18" s="466" t="s">
        <v>34</v>
      </c>
      <c r="B18" s="466"/>
      <c r="C18" s="94" t="s">
        <v>10</v>
      </c>
    </row>
    <row r="19" spans="1:5" ht="16.5" customHeight="1" x14ac:dyDescent="0.3">
      <c r="A19" s="466" t="s">
        <v>35</v>
      </c>
      <c r="B19" s="466"/>
      <c r="C19" s="94" t="e">
        <f>#REF!</f>
        <v>#REF!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461" t="s">
        <v>1</v>
      </c>
      <c r="B21" s="461"/>
      <c r="C21" s="59" t="s">
        <v>36</v>
      </c>
      <c r="D21" s="66"/>
    </row>
    <row r="22" spans="1:5" ht="15.75" customHeight="1" x14ac:dyDescent="0.3">
      <c r="A22" s="465"/>
      <c r="B22" s="465"/>
      <c r="C22" s="57"/>
      <c r="D22" s="465"/>
      <c r="E22" s="465"/>
    </row>
    <row r="23" spans="1:5" ht="33.75" customHeight="1" x14ac:dyDescent="0.3">
      <c r="C23" s="85" t="s">
        <v>37</v>
      </c>
      <c r="D23" s="84" t="s">
        <v>38</v>
      </c>
      <c r="E23" s="52"/>
    </row>
    <row r="24" spans="1:5" ht="15.75" customHeight="1" x14ac:dyDescent="0.3">
      <c r="C24" s="522">
        <v>1045.01</v>
      </c>
      <c r="D24" s="86">
        <f t="shared" ref="D24:D43" si="0">(C24-$C$46)/$C$46</f>
        <v>-2.3994688424649135E-3</v>
      </c>
      <c r="E24" s="53"/>
    </row>
    <row r="25" spans="1:5" ht="15.75" customHeight="1" x14ac:dyDescent="0.3">
      <c r="C25" s="522">
        <v>1048.02</v>
      </c>
      <c r="D25" s="87">
        <f t="shared" si="0"/>
        <v>4.7397504686071151E-4</v>
      </c>
      <c r="E25" s="53"/>
    </row>
    <row r="26" spans="1:5" ht="15.75" customHeight="1" x14ac:dyDescent="0.3">
      <c r="C26" s="522">
        <v>1050.6199999999999</v>
      </c>
      <c r="D26" s="87">
        <f t="shared" si="0"/>
        <v>2.9560196024242952E-3</v>
      </c>
      <c r="E26" s="53"/>
    </row>
    <row r="27" spans="1:5" ht="15.75" customHeight="1" x14ac:dyDescent="0.3">
      <c r="C27" s="522">
        <v>1056.55</v>
      </c>
      <c r="D27" s="87">
        <f t="shared" si="0"/>
        <v>8.6169904541522659E-3</v>
      </c>
      <c r="E27" s="53"/>
    </row>
    <row r="28" spans="1:5" ht="15.75" customHeight="1" x14ac:dyDescent="0.3">
      <c r="C28" s="522">
        <v>1044.67</v>
      </c>
      <c r="D28" s="87">
        <f t="shared" si="0"/>
        <v>-2.7240438997308538E-3</v>
      </c>
      <c r="E28" s="53"/>
    </row>
    <row r="29" spans="1:5" ht="15.75" customHeight="1" x14ac:dyDescent="0.3">
      <c r="C29" s="522">
        <v>1047.45</v>
      </c>
      <c r="D29" s="87">
        <f t="shared" si="0"/>
        <v>-7.0165490320493913E-5</v>
      </c>
      <c r="E29" s="53"/>
    </row>
    <row r="30" spans="1:5" ht="15.75" customHeight="1" x14ac:dyDescent="0.3">
      <c r="C30" s="522">
        <v>1044.5999999999999</v>
      </c>
      <c r="D30" s="87">
        <f t="shared" si="0"/>
        <v>-2.7908681762269551E-3</v>
      </c>
      <c r="E30" s="53"/>
    </row>
    <row r="31" spans="1:5" ht="15.75" customHeight="1" x14ac:dyDescent="0.3">
      <c r="C31" s="522">
        <v>1045.48</v>
      </c>
      <c r="D31" s="87">
        <f t="shared" si="0"/>
        <v>-1.9507915574206857E-3</v>
      </c>
      <c r="E31" s="53"/>
    </row>
    <row r="32" spans="1:5" ht="15.75" customHeight="1" x14ac:dyDescent="0.3">
      <c r="C32" s="522">
        <v>1053.1199999999999</v>
      </c>
      <c r="D32" s="87">
        <f t="shared" si="0"/>
        <v>5.3426009058509015E-3</v>
      </c>
      <c r="E32" s="53"/>
    </row>
    <row r="33" spans="1:7" ht="15.75" customHeight="1" x14ac:dyDescent="0.3">
      <c r="C33" s="522">
        <v>1053.22</v>
      </c>
      <c r="D33" s="87">
        <f t="shared" si="0"/>
        <v>5.438064157988096E-3</v>
      </c>
      <c r="E33" s="53"/>
    </row>
    <row r="34" spans="1:7" ht="15.75" customHeight="1" x14ac:dyDescent="0.3">
      <c r="C34" s="522">
        <v>1043.3800000000001</v>
      </c>
      <c r="D34" s="87">
        <f t="shared" si="0"/>
        <v>-3.9555198522989478E-3</v>
      </c>
      <c r="E34" s="53"/>
    </row>
    <row r="35" spans="1:7" ht="15.75" customHeight="1" x14ac:dyDescent="0.3">
      <c r="C35" s="522">
        <v>1044.1099999999999</v>
      </c>
      <c r="D35" s="87">
        <f t="shared" si="0"/>
        <v>-3.2586381116985787E-3</v>
      </c>
      <c r="E35" s="53"/>
    </row>
    <row r="36" spans="1:7" ht="15.75" customHeight="1" x14ac:dyDescent="0.3">
      <c r="C36" s="522">
        <v>1051.76</v>
      </c>
      <c r="D36" s="87">
        <f t="shared" si="0"/>
        <v>4.0443006767869232E-3</v>
      </c>
      <c r="E36" s="53"/>
    </row>
    <row r="37" spans="1:7" ht="15.75" customHeight="1" x14ac:dyDescent="0.3">
      <c r="C37" s="522">
        <v>1040.32</v>
      </c>
      <c r="D37" s="87">
        <f t="shared" si="0"/>
        <v>-6.876695367693279E-3</v>
      </c>
      <c r="E37" s="53"/>
    </row>
    <row r="38" spans="1:7" ht="15.75" customHeight="1" x14ac:dyDescent="0.3">
      <c r="C38" s="522">
        <v>1044.3499999999999</v>
      </c>
      <c r="D38" s="87">
        <f t="shared" si="0"/>
        <v>-3.0295263065696159E-3</v>
      </c>
      <c r="E38" s="53"/>
    </row>
    <row r="39" spans="1:7" ht="15.75" customHeight="1" x14ac:dyDescent="0.3">
      <c r="C39" s="522">
        <v>1043.26</v>
      </c>
      <c r="D39" s="87">
        <f t="shared" si="0"/>
        <v>-4.0700757548635383E-3</v>
      </c>
      <c r="E39" s="53"/>
    </row>
    <row r="40" spans="1:7" ht="15.75" customHeight="1" x14ac:dyDescent="0.3">
      <c r="C40" s="522">
        <v>1046.04</v>
      </c>
      <c r="D40" s="87">
        <f t="shared" si="0"/>
        <v>-1.4161973454531779E-3</v>
      </c>
      <c r="E40" s="53"/>
    </row>
    <row r="41" spans="1:7" ht="15.75" customHeight="1" x14ac:dyDescent="0.3">
      <c r="C41" s="522">
        <v>1055.94</v>
      </c>
      <c r="D41" s="87">
        <f t="shared" si="0"/>
        <v>8.0346646161162695E-3</v>
      </c>
      <c r="E41" s="53"/>
    </row>
    <row r="42" spans="1:7" ht="15.75" customHeight="1" x14ac:dyDescent="0.3">
      <c r="C42" s="522">
        <v>1041.95</v>
      </c>
      <c r="D42" s="87">
        <f t="shared" si="0"/>
        <v>-5.3206443578590274E-3</v>
      </c>
      <c r="E42" s="53"/>
    </row>
    <row r="43" spans="1:7" ht="16.5" customHeight="1" x14ac:dyDescent="0.3">
      <c r="C43" s="524">
        <v>1050.6199999999999</v>
      </c>
      <c r="D43" s="88">
        <f t="shared" si="0"/>
        <v>2.9560196024242952E-3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39</v>
      </c>
      <c r="C45" s="82">
        <f>SUM(C24:C43)</f>
        <v>20950.469999999998</v>
      </c>
      <c r="D45" s="77"/>
      <c r="E45" s="54"/>
    </row>
    <row r="46" spans="1:7" ht="17.25" customHeight="1" x14ac:dyDescent="0.3">
      <c r="B46" s="81" t="s">
        <v>40</v>
      </c>
      <c r="C46" s="83">
        <f>AVERAGE(C24:C44)</f>
        <v>1047.5234999999998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40</v>
      </c>
      <c r="C48" s="84" t="s">
        <v>41</v>
      </c>
      <c r="D48" s="79"/>
      <c r="G48" s="58"/>
    </row>
    <row r="49" spans="1:6" ht="17.25" customHeight="1" x14ac:dyDescent="0.3">
      <c r="B49" s="459">
        <f>C46</f>
        <v>1047.5234999999998</v>
      </c>
      <c r="C49" s="92">
        <f>-IF(C46&lt;=80,10%,IF(C46&lt;250,7.5%,5%))</f>
        <v>-0.05</v>
      </c>
      <c r="D49" s="80">
        <f>IF(C46&lt;=80,C46*0.9,IF(C46&lt;250,C46*0.925,C46*0.95))</f>
        <v>995.1473249999998</v>
      </c>
    </row>
    <row r="50" spans="1:6" ht="17.25" customHeight="1" x14ac:dyDescent="0.3">
      <c r="B50" s="460"/>
      <c r="C50" s="93">
        <f>IF(C46&lt;=80, 10%, IF(C46&lt;250, 7.5%, 5%))</f>
        <v>0.05</v>
      </c>
      <c r="D50" s="80">
        <f>IF(C46&lt;=80, C46*1.1, IF(C46&lt;250, C46*1.075, C46*1.05))</f>
        <v>1099.8996749999999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23</v>
      </c>
      <c r="C52" s="67"/>
      <c r="D52" s="68" t="s">
        <v>24</v>
      </c>
      <c r="E52" s="69"/>
      <c r="F52" s="68" t="s">
        <v>25</v>
      </c>
    </row>
    <row r="53" spans="1:6" ht="34.5" customHeight="1" x14ac:dyDescent="0.3">
      <c r="A53" s="8" t="s">
        <v>26</v>
      </c>
      <c r="B53" s="70"/>
      <c r="C53" s="71"/>
      <c r="D53" s="70"/>
      <c r="E53" s="61"/>
      <c r="F53" s="72"/>
    </row>
    <row r="54" spans="1:6" ht="34.5" customHeight="1" x14ac:dyDescent="0.35">
      <c r="A54" s="8" t="s">
        <v>27</v>
      </c>
      <c r="B54" s="73" t="s">
        <v>129</v>
      </c>
      <c r="C54" s="74"/>
      <c r="D54" s="523">
        <v>42366</v>
      </c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13" zoomScale="70" zoomScaleNormal="70" zoomScalePageLayoutView="80" workbookViewId="0">
      <selection activeCell="F115" sqref="F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94" t="s">
        <v>42</v>
      </c>
      <c r="B1" s="494"/>
      <c r="C1" s="494"/>
      <c r="D1" s="494"/>
      <c r="E1" s="494"/>
      <c r="F1" s="494"/>
      <c r="G1" s="494"/>
      <c r="H1" s="494"/>
      <c r="I1" s="494"/>
    </row>
    <row r="2" spans="1:9" ht="18.75" customHeight="1" x14ac:dyDescent="0.3">
      <c r="A2" s="494"/>
      <c r="B2" s="494"/>
      <c r="C2" s="494"/>
      <c r="D2" s="494"/>
      <c r="E2" s="494"/>
      <c r="F2" s="494"/>
      <c r="G2" s="494"/>
      <c r="H2" s="494"/>
      <c r="I2" s="494"/>
    </row>
    <row r="3" spans="1:9" ht="18.75" customHeight="1" x14ac:dyDescent="0.3">
      <c r="A3" s="494"/>
      <c r="B3" s="494"/>
      <c r="C3" s="494"/>
      <c r="D3" s="494"/>
      <c r="E3" s="494"/>
      <c r="F3" s="494"/>
      <c r="G3" s="494"/>
      <c r="H3" s="494"/>
      <c r="I3" s="494"/>
    </row>
    <row r="4" spans="1:9" ht="18.75" customHeight="1" x14ac:dyDescent="0.3">
      <c r="A4" s="494"/>
      <c r="B4" s="494"/>
      <c r="C4" s="494"/>
      <c r="D4" s="494"/>
      <c r="E4" s="494"/>
      <c r="F4" s="494"/>
      <c r="G4" s="494"/>
      <c r="H4" s="494"/>
      <c r="I4" s="494"/>
    </row>
    <row r="5" spans="1:9" ht="18.75" customHeight="1" x14ac:dyDescent="0.3">
      <c r="A5" s="494"/>
      <c r="B5" s="494"/>
      <c r="C5" s="494"/>
      <c r="D5" s="494"/>
      <c r="E5" s="494"/>
      <c r="F5" s="494"/>
      <c r="G5" s="494"/>
      <c r="H5" s="494"/>
      <c r="I5" s="494"/>
    </row>
    <row r="6" spans="1:9" ht="18.75" customHeight="1" x14ac:dyDescent="0.3">
      <c r="A6" s="494"/>
      <c r="B6" s="494"/>
      <c r="C6" s="494"/>
      <c r="D6" s="494"/>
      <c r="E6" s="494"/>
      <c r="F6" s="494"/>
      <c r="G6" s="494"/>
      <c r="H6" s="494"/>
      <c r="I6" s="494"/>
    </row>
    <row r="7" spans="1:9" ht="18.75" customHeight="1" x14ac:dyDescent="0.3">
      <c r="A7" s="494"/>
      <c r="B7" s="494"/>
      <c r="C7" s="494"/>
      <c r="D7" s="494"/>
      <c r="E7" s="494"/>
      <c r="F7" s="494"/>
      <c r="G7" s="494"/>
      <c r="H7" s="494"/>
      <c r="I7" s="494"/>
    </row>
    <row r="8" spans="1:9" x14ac:dyDescent="0.3">
      <c r="A8" s="495" t="s">
        <v>43</v>
      </c>
      <c r="B8" s="495"/>
      <c r="C8" s="495"/>
      <c r="D8" s="495"/>
      <c r="E8" s="495"/>
      <c r="F8" s="495"/>
      <c r="G8" s="495"/>
      <c r="H8" s="495"/>
      <c r="I8" s="495"/>
    </row>
    <row r="9" spans="1:9" x14ac:dyDescent="0.3">
      <c r="A9" s="495"/>
      <c r="B9" s="495"/>
      <c r="C9" s="495"/>
      <c r="D9" s="495"/>
      <c r="E9" s="495"/>
      <c r="F9" s="495"/>
      <c r="G9" s="495"/>
      <c r="H9" s="495"/>
      <c r="I9" s="495"/>
    </row>
    <row r="10" spans="1:9" x14ac:dyDescent="0.3">
      <c r="A10" s="495"/>
      <c r="B10" s="495"/>
      <c r="C10" s="495"/>
      <c r="D10" s="495"/>
      <c r="E10" s="495"/>
      <c r="F10" s="495"/>
      <c r="G10" s="495"/>
      <c r="H10" s="495"/>
      <c r="I10" s="495"/>
    </row>
    <row r="11" spans="1:9" x14ac:dyDescent="0.3">
      <c r="A11" s="495"/>
      <c r="B11" s="495"/>
      <c r="C11" s="495"/>
      <c r="D11" s="495"/>
      <c r="E11" s="495"/>
      <c r="F11" s="495"/>
      <c r="G11" s="495"/>
      <c r="H11" s="495"/>
      <c r="I11" s="495"/>
    </row>
    <row r="12" spans="1:9" x14ac:dyDescent="0.3">
      <c r="A12" s="495"/>
      <c r="B12" s="495"/>
      <c r="C12" s="495"/>
      <c r="D12" s="495"/>
      <c r="E12" s="495"/>
      <c r="F12" s="495"/>
      <c r="G12" s="495"/>
      <c r="H12" s="495"/>
      <c r="I12" s="495"/>
    </row>
    <row r="13" spans="1:9" x14ac:dyDescent="0.3">
      <c r="A13" s="495"/>
      <c r="B13" s="495"/>
      <c r="C13" s="495"/>
      <c r="D13" s="495"/>
      <c r="E13" s="495"/>
      <c r="F13" s="495"/>
      <c r="G13" s="495"/>
      <c r="H13" s="495"/>
      <c r="I13" s="495"/>
    </row>
    <row r="14" spans="1:9" x14ac:dyDescent="0.3">
      <c r="A14" s="495"/>
      <c r="B14" s="495"/>
      <c r="C14" s="495"/>
      <c r="D14" s="495"/>
      <c r="E14" s="495"/>
      <c r="F14" s="495"/>
      <c r="G14" s="495"/>
      <c r="H14" s="495"/>
      <c r="I14" s="495"/>
    </row>
    <row r="15" spans="1:9" ht="19.5" customHeight="1" x14ac:dyDescent="0.35">
      <c r="A15" s="95"/>
    </row>
    <row r="16" spans="1:9" ht="19.5" customHeight="1" x14ac:dyDescent="0.35">
      <c r="A16" s="468" t="s">
        <v>28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3">
      <c r="A17" s="471" t="s">
        <v>44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5">
      <c r="A18" s="97" t="s">
        <v>30</v>
      </c>
      <c r="B18" s="467" t="s">
        <v>5</v>
      </c>
      <c r="C18" s="467"/>
      <c r="D18" s="260"/>
      <c r="E18" s="98"/>
      <c r="F18" s="99"/>
      <c r="G18" s="99"/>
      <c r="H18" s="99"/>
    </row>
    <row r="19" spans="1:14" ht="26.25" customHeight="1" x14ac:dyDescent="0.5">
      <c r="A19" s="97" t="s">
        <v>31</v>
      </c>
      <c r="B19" s="100" t="s">
        <v>7</v>
      </c>
      <c r="C19" s="273">
        <v>29</v>
      </c>
      <c r="D19" s="99"/>
      <c r="E19" s="99"/>
      <c r="F19" s="99"/>
      <c r="G19" s="99"/>
      <c r="H19" s="99"/>
    </row>
    <row r="20" spans="1:14" ht="26.25" customHeight="1" x14ac:dyDescent="0.5">
      <c r="A20" s="97" t="s">
        <v>32</v>
      </c>
      <c r="B20" s="510" t="s">
        <v>131</v>
      </c>
      <c r="C20" s="510"/>
      <c r="D20" s="99"/>
      <c r="E20" s="99"/>
      <c r="F20" s="99"/>
      <c r="G20" s="99"/>
      <c r="H20" s="99"/>
    </row>
    <row r="21" spans="1:14" ht="26.25" customHeight="1" x14ac:dyDescent="0.5">
      <c r="A21" s="97" t="s">
        <v>33</v>
      </c>
      <c r="B21" s="472" t="s">
        <v>132</v>
      </c>
      <c r="C21" s="472"/>
      <c r="D21" s="472"/>
      <c r="E21" s="472"/>
      <c r="F21" s="472"/>
      <c r="G21" s="472"/>
      <c r="H21" s="472"/>
      <c r="I21" s="101"/>
    </row>
    <row r="22" spans="1:14" ht="26.25" customHeight="1" x14ac:dyDescent="0.5">
      <c r="A22" s="97" t="s">
        <v>34</v>
      </c>
      <c r="B22" s="102" t="s">
        <v>10</v>
      </c>
      <c r="C22" s="99"/>
      <c r="D22" s="99"/>
      <c r="E22" s="99"/>
      <c r="F22" s="99"/>
      <c r="G22" s="99"/>
      <c r="H22" s="99"/>
    </row>
    <row r="23" spans="1:14" ht="26.25" customHeight="1" x14ac:dyDescent="0.5">
      <c r="A23" s="97" t="s">
        <v>35</v>
      </c>
      <c r="B23" s="102"/>
      <c r="C23" s="99"/>
      <c r="D23" s="99"/>
      <c r="E23" s="99"/>
      <c r="F23" s="99"/>
      <c r="G23" s="99"/>
      <c r="H23" s="99"/>
    </row>
    <row r="24" spans="1:14" ht="18" x14ac:dyDescent="0.35">
      <c r="A24" s="97"/>
      <c r="B24" s="103"/>
    </row>
    <row r="25" spans="1:14" ht="18" x14ac:dyDescent="0.35">
      <c r="A25" s="104" t="s">
        <v>1</v>
      </c>
      <c r="B25" s="103"/>
    </row>
    <row r="26" spans="1:14" ht="26.25" customHeight="1" x14ac:dyDescent="0.45">
      <c r="A26" s="105" t="s">
        <v>4</v>
      </c>
      <c r="B26" s="467" t="s">
        <v>122</v>
      </c>
      <c r="C26" s="467"/>
    </row>
    <row r="27" spans="1:14" ht="26.25" customHeight="1" x14ac:dyDescent="0.5">
      <c r="A27" s="106" t="s">
        <v>45</v>
      </c>
      <c r="B27" s="287" t="s">
        <v>124</v>
      </c>
      <c r="C27" s="525"/>
    </row>
    <row r="28" spans="1:14" ht="27" customHeight="1" thickBot="1" x14ac:dyDescent="0.5">
      <c r="A28" s="106" t="s">
        <v>6</v>
      </c>
      <c r="B28" s="107">
        <v>99.65</v>
      </c>
    </row>
    <row r="29" spans="1:14" s="505" customFormat="1" ht="27" customHeight="1" x14ac:dyDescent="0.5">
      <c r="A29" s="106" t="s">
        <v>46</v>
      </c>
      <c r="B29" s="108">
        <v>0</v>
      </c>
      <c r="C29" s="473" t="s">
        <v>47</v>
      </c>
      <c r="D29" s="474"/>
      <c r="E29" s="474"/>
      <c r="F29" s="474"/>
      <c r="G29" s="475"/>
      <c r="H29" s="14"/>
      <c r="I29" s="109"/>
      <c r="J29" s="109"/>
      <c r="K29" s="109"/>
      <c r="L29" s="109"/>
    </row>
    <row r="30" spans="1:14" s="505" customFormat="1" ht="19.5" customHeight="1" x14ac:dyDescent="0.35">
      <c r="A30" s="106" t="s">
        <v>48</v>
      </c>
      <c r="B30" s="110">
        <f>B28-B29</f>
        <v>99.65</v>
      </c>
      <c r="C30" s="111"/>
      <c r="D30" s="111"/>
      <c r="E30" s="111"/>
      <c r="F30" s="111"/>
      <c r="G30" s="112"/>
      <c r="H30" s="14"/>
      <c r="I30" s="109"/>
      <c r="J30" s="109"/>
      <c r="K30" s="109"/>
      <c r="L30" s="109"/>
    </row>
    <row r="31" spans="1:14" s="505" customFormat="1" ht="27" customHeight="1" x14ac:dyDescent="0.45">
      <c r="A31" s="106" t="s">
        <v>49</v>
      </c>
      <c r="B31" s="113">
        <v>1</v>
      </c>
      <c r="C31" s="476" t="s">
        <v>50</v>
      </c>
      <c r="D31" s="477"/>
      <c r="E31" s="477"/>
      <c r="F31" s="477"/>
      <c r="G31" s="477"/>
      <c r="H31" s="478"/>
      <c r="I31" s="109"/>
      <c r="J31" s="109"/>
      <c r="K31" s="109"/>
      <c r="L31" s="109"/>
    </row>
    <row r="32" spans="1:14" s="505" customFormat="1" ht="27" customHeight="1" x14ac:dyDescent="0.45">
      <c r="A32" s="106" t="s">
        <v>51</v>
      </c>
      <c r="B32" s="113">
        <v>1</v>
      </c>
      <c r="C32" s="476" t="s">
        <v>52</v>
      </c>
      <c r="D32" s="477"/>
      <c r="E32" s="477"/>
      <c r="F32" s="477"/>
      <c r="G32" s="477"/>
      <c r="H32" s="478"/>
      <c r="I32" s="109"/>
      <c r="J32" s="109"/>
      <c r="K32" s="109"/>
      <c r="L32" s="114"/>
      <c r="M32" s="506"/>
      <c r="N32" s="507"/>
    </row>
    <row r="33" spans="1:14" s="505" customFormat="1" ht="17.25" customHeight="1" x14ac:dyDescent="0.35">
      <c r="A33" s="106"/>
      <c r="B33" s="115"/>
      <c r="C33" s="116"/>
      <c r="D33" s="116"/>
      <c r="E33" s="116"/>
      <c r="F33" s="116"/>
      <c r="G33" s="116"/>
      <c r="H33" s="116"/>
      <c r="I33" s="109"/>
      <c r="J33" s="109"/>
      <c r="K33" s="109"/>
      <c r="L33" s="114"/>
      <c r="M33" s="506"/>
      <c r="N33" s="507"/>
    </row>
    <row r="34" spans="1:14" s="505" customFormat="1" ht="18" x14ac:dyDescent="0.35">
      <c r="A34" s="106" t="s">
        <v>53</v>
      </c>
      <c r="B34" s="117">
        <f>B31/B32</f>
        <v>1</v>
      </c>
      <c r="C34" s="96" t="s">
        <v>54</v>
      </c>
      <c r="D34" s="96"/>
      <c r="E34" s="96"/>
      <c r="F34" s="96"/>
      <c r="G34" s="96"/>
      <c r="H34" s="14"/>
      <c r="I34" s="109"/>
      <c r="J34" s="109"/>
      <c r="K34" s="109"/>
      <c r="L34" s="114"/>
      <c r="M34" s="506"/>
      <c r="N34" s="507"/>
    </row>
    <row r="35" spans="1:14" s="505" customFormat="1" ht="19.5" customHeight="1" x14ac:dyDescent="0.35">
      <c r="A35" s="106"/>
      <c r="B35" s="110"/>
      <c r="C35" s="14"/>
      <c r="D35" s="14"/>
      <c r="E35" s="14"/>
      <c r="F35" s="14"/>
      <c r="G35" s="96"/>
      <c r="H35" s="14"/>
      <c r="I35" s="109"/>
      <c r="J35" s="109"/>
      <c r="K35" s="109"/>
      <c r="L35" s="114"/>
      <c r="M35" s="506"/>
      <c r="N35" s="507"/>
    </row>
    <row r="36" spans="1:14" s="505" customFormat="1" ht="27" customHeight="1" x14ac:dyDescent="0.45">
      <c r="A36" s="118" t="s">
        <v>55</v>
      </c>
      <c r="B36" s="119">
        <v>25</v>
      </c>
      <c r="C36" s="96"/>
      <c r="D36" s="479" t="s">
        <v>56</v>
      </c>
      <c r="E36" s="480"/>
      <c r="F36" s="479" t="s">
        <v>57</v>
      </c>
      <c r="G36" s="481"/>
      <c r="H36" s="14"/>
      <c r="I36" s="14"/>
      <c r="J36" s="109"/>
      <c r="K36" s="109"/>
      <c r="L36" s="114"/>
      <c r="M36" s="506"/>
      <c r="N36" s="507"/>
    </row>
    <row r="37" spans="1:14" s="505" customFormat="1" ht="27" customHeight="1" x14ac:dyDescent="0.45">
      <c r="A37" s="120" t="s">
        <v>58</v>
      </c>
      <c r="B37" s="121">
        <v>10</v>
      </c>
      <c r="C37" s="122" t="s">
        <v>59</v>
      </c>
      <c r="D37" s="123" t="s">
        <v>60</v>
      </c>
      <c r="E37" s="124" t="s">
        <v>61</v>
      </c>
      <c r="F37" s="123" t="s">
        <v>60</v>
      </c>
      <c r="G37" s="125" t="s">
        <v>61</v>
      </c>
      <c r="H37" s="14"/>
      <c r="I37" s="126" t="s">
        <v>62</v>
      </c>
      <c r="J37" s="109"/>
      <c r="K37" s="109"/>
      <c r="L37" s="114"/>
      <c r="M37" s="506"/>
      <c r="N37" s="507"/>
    </row>
    <row r="38" spans="1:14" s="505" customFormat="1" ht="26.25" customHeight="1" x14ac:dyDescent="0.45">
      <c r="A38" s="120" t="s">
        <v>63</v>
      </c>
      <c r="B38" s="121">
        <v>50</v>
      </c>
      <c r="C38" s="127">
        <v>1</v>
      </c>
      <c r="D38" s="307">
        <v>129551375</v>
      </c>
      <c r="E38" s="128">
        <f>IF(ISBLANK(D38),"-",$D$48/$D$45*D38)</f>
        <v>126897410.82563989</v>
      </c>
      <c r="F38" s="307">
        <v>133260156</v>
      </c>
      <c r="G38" s="129">
        <f>IF(ISBLANK(F38),"-",$D$48/$F$45*F38)</f>
        <v>129518842.34044337</v>
      </c>
      <c r="H38" s="14"/>
      <c r="I38" s="130"/>
      <c r="J38" s="109"/>
      <c r="K38" s="109"/>
      <c r="L38" s="114"/>
      <c r="M38" s="506"/>
      <c r="N38" s="507"/>
    </row>
    <row r="39" spans="1:14" s="505" customFormat="1" ht="26.25" customHeight="1" x14ac:dyDescent="0.45">
      <c r="A39" s="120" t="s">
        <v>64</v>
      </c>
      <c r="B39" s="121">
        <v>1</v>
      </c>
      <c r="C39" s="131">
        <v>2</v>
      </c>
      <c r="D39" s="312">
        <v>129546709</v>
      </c>
      <c r="E39" s="133">
        <f>IF(ISBLANK(D39),"-",$D$48/$D$45*D39)</f>
        <v>126892840.41240488</v>
      </c>
      <c r="F39" s="312">
        <v>133790103</v>
      </c>
      <c r="G39" s="134">
        <f>IF(ISBLANK(F39),"-",$D$48/$F$45*F39)</f>
        <v>130033910.94010635</v>
      </c>
      <c r="H39" s="14"/>
      <c r="I39" s="483">
        <f>ABS((F43/D43*D42)-F42)/D42</f>
        <v>2.3613431960707823E-2</v>
      </c>
      <c r="J39" s="109"/>
      <c r="K39" s="109"/>
      <c r="L39" s="114"/>
      <c r="M39" s="506"/>
      <c r="N39" s="507"/>
    </row>
    <row r="40" spans="1:14" s="509" customFormat="1" ht="26.25" customHeight="1" x14ac:dyDescent="0.45">
      <c r="A40" s="120" t="s">
        <v>65</v>
      </c>
      <c r="B40" s="121">
        <v>1</v>
      </c>
      <c r="C40" s="131">
        <v>3</v>
      </c>
      <c r="D40" s="312">
        <v>129319131</v>
      </c>
      <c r="E40" s="133">
        <f>IF(ISBLANK(D40),"-",$D$48/$D$45*D40)</f>
        <v>126669924.53088006</v>
      </c>
      <c r="F40" s="312">
        <v>133571848</v>
      </c>
      <c r="G40" s="134">
        <f>IF(ISBLANK(F40),"-",$D$48/$F$45*F40)</f>
        <v>129821783.5061942</v>
      </c>
      <c r="H40" s="2"/>
      <c r="I40" s="483"/>
      <c r="J40" s="2"/>
      <c r="K40" s="2"/>
      <c r="L40" s="114"/>
      <c r="M40" s="506"/>
      <c r="N40" s="508"/>
    </row>
    <row r="41" spans="1:14" s="509" customFormat="1" ht="27" customHeight="1" x14ac:dyDescent="0.45">
      <c r="A41" s="120" t="s">
        <v>66</v>
      </c>
      <c r="B41" s="121">
        <v>1</v>
      </c>
      <c r="C41" s="136">
        <v>4</v>
      </c>
      <c r="D41" s="137"/>
      <c r="E41" s="138" t="str">
        <f>IF(ISBLANK(D41),"-",$D$48/$D$45*D41)</f>
        <v>-</v>
      </c>
      <c r="F41" s="137"/>
      <c r="G41" s="139" t="str">
        <f>IF(ISBLANK(F41),"-",$D$48/$F$45*F41)</f>
        <v>-</v>
      </c>
      <c r="H41" s="2"/>
      <c r="I41" s="140"/>
      <c r="J41" s="2"/>
      <c r="K41" s="2"/>
      <c r="L41" s="114"/>
      <c r="M41" s="506"/>
      <c r="N41" s="508"/>
    </row>
    <row r="42" spans="1:14" s="509" customFormat="1" ht="27" customHeight="1" x14ac:dyDescent="0.45">
      <c r="A42" s="120" t="s">
        <v>67</v>
      </c>
      <c r="B42" s="121">
        <v>1</v>
      </c>
      <c r="C42" s="141" t="s">
        <v>68</v>
      </c>
      <c r="D42" s="142">
        <f>AVERAGE(D38:D41)</f>
        <v>129472405</v>
      </c>
      <c r="E42" s="143">
        <f>AVERAGE(E38:E41)</f>
        <v>126820058.58964162</v>
      </c>
      <c r="F42" s="142">
        <f>AVERAGE(F38:F41)</f>
        <v>133540702.33333333</v>
      </c>
      <c r="G42" s="144">
        <f>AVERAGE(G38:G41)</f>
        <v>129791512.26224796</v>
      </c>
      <c r="H42" s="145"/>
      <c r="I42" s="2"/>
      <c r="J42" s="2"/>
      <c r="K42" s="2"/>
      <c r="L42" s="2"/>
    </row>
    <row r="43" spans="1:14" s="509" customFormat="1" ht="26.25" customHeight="1" x14ac:dyDescent="0.45">
      <c r="A43" s="120" t="s">
        <v>69</v>
      </c>
      <c r="B43" s="121">
        <v>1</v>
      </c>
      <c r="C43" s="146" t="s">
        <v>70</v>
      </c>
      <c r="D43" s="147">
        <v>20.49</v>
      </c>
      <c r="E43" s="135"/>
      <c r="F43" s="147">
        <v>20.65</v>
      </c>
      <c r="G43" s="2"/>
      <c r="H43" s="145"/>
      <c r="I43" s="2"/>
      <c r="J43" s="2"/>
      <c r="K43" s="2"/>
      <c r="L43" s="2"/>
    </row>
    <row r="44" spans="1:14" s="509" customFormat="1" ht="26.25" customHeight="1" x14ac:dyDescent="0.45">
      <c r="A44" s="120" t="s">
        <v>71</v>
      </c>
      <c r="B44" s="121">
        <v>1</v>
      </c>
      <c r="C44" s="148" t="s">
        <v>72</v>
      </c>
      <c r="D44" s="149">
        <f>D43*$B$34</f>
        <v>20.49</v>
      </c>
      <c r="E44" s="150"/>
      <c r="F44" s="149">
        <f>F43*$B$34</f>
        <v>20.65</v>
      </c>
      <c r="G44" s="2"/>
      <c r="H44" s="145"/>
      <c r="I44" s="2"/>
      <c r="J44" s="2"/>
      <c r="K44" s="2"/>
      <c r="L44" s="2"/>
    </row>
    <row r="45" spans="1:14" s="509" customFormat="1" ht="19.5" customHeight="1" x14ac:dyDescent="0.35">
      <c r="A45" s="120" t="s">
        <v>73</v>
      </c>
      <c r="B45" s="151">
        <f>(B44/B43)*(B42/B41)*(B40/B39)*(B38/B37)*B36</f>
        <v>125</v>
      </c>
      <c r="C45" s="148" t="s">
        <v>74</v>
      </c>
      <c r="D45" s="152">
        <f>D44*$B$30/100</f>
        <v>20.418284999999997</v>
      </c>
      <c r="E45" s="153"/>
      <c r="F45" s="152">
        <f>F44*$B$30/100</f>
        <v>20.577725000000001</v>
      </c>
      <c r="G45" s="2"/>
      <c r="H45" s="145"/>
      <c r="I45" s="2"/>
      <c r="J45" s="2"/>
      <c r="K45" s="2"/>
      <c r="L45" s="2"/>
    </row>
    <row r="46" spans="1:14" s="509" customFormat="1" ht="19.5" customHeight="1" x14ac:dyDescent="0.35">
      <c r="A46" s="484" t="s">
        <v>75</v>
      </c>
      <c r="B46" s="485"/>
      <c r="C46" s="148" t="s">
        <v>76</v>
      </c>
      <c r="D46" s="154">
        <f>D45/$B$45</f>
        <v>0.16334627999999998</v>
      </c>
      <c r="E46" s="155"/>
      <c r="F46" s="156">
        <f>F45/$B$45</f>
        <v>0.16462180000000001</v>
      </c>
      <c r="G46" s="2"/>
      <c r="H46" s="145"/>
      <c r="I46" s="2"/>
      <c r="J46" s="2"/>
      <c r="K46" s="2"/>
      <c r="L46" s="2"/>
    </row>
    <row r="47" spans="1:14" s="509" customFormat="1" ht="27" customHeight="1" x14ac:dyDescent="0.45">
      <c r="A47" s="486"/>
      <c r="B47" s="487"/>
      <c r="C47" s="157" t="s">
        <v>77</v>
      </c>
      <c r="D47" s="158">
        <v>0.16</v>
      </c>
      <c r="E47" s="159"/>
      <c r="F47" s="155"/>
      <c r="G47" s="2"/>
      <c r="H47" s="145"/>
      <c r="I47" s="2"/>
      <c r="J47" s="2"/>
      <c r="K47" s="2"/>
      <c r="L47" s="2"/>
    </row>
    <row r="48" spans="1:14" s="509" customFormat="1" ht="18" x14ac:dyDescent="0.35">
      <c r="A48" s="2"/>
      <c r="B48" s="2"/>
      <c r="C48" s="160" t="s">
        <v>78</v>
      </c>
      <c r="D48" s="152">
        <f>D47*$B$45</f>
        <v>20</v>
      </c>
      <c r="E48" s="2"/>
      <c r="F48" s="161"/>
      <c r="G48" s="2"/>
      <c r="H48" s="145"/>
      <c r="I48" s="2"/>
      <c r="J48" s="2"/>
      <c r="K48" s="2"/>
      <c r="L48" s="2"/>
    </row>
    <row r="49" spans="1:12" s="509" customFormat="1" ht="19.5" customHeight="1" x14ac:dyDescent="0.35">
      <c r="A49" s="2"/>
      <c r="B49" s="2"/>
      <c r="C49" s="162" t="s">
        <v>79</v>
      </c>
      <c r="D49" s="163">
        <f>D48/B34</f>
        <v>20</v>
      </c>
      <c r="E49" s="2"/>
      <c r="F49" s="161"/>
      <c r="G49" s="2"/>
      <c r="H49" s="145"/>
      <c r="I49" s="2"/>
      <c r="J49" s="2"/>
      <c r="K49" s="2"/>
      <c r="L49" s="2"/>
    </row>
    <row r="50" spans="1:12" s="509" customFormat="1" ht="18" x14ac:dyDescent="0.35">
      <c r="A50" s="2"/>
      <c r="B50" s="2"/>
      <c r="C50" s="118" t="s">
        <v>80</v>
      </c>
      <c r="D50" s="164">
        <f>AVERAGE(E38:E41,G38:G41)</f>
        <v>128305785.42594481</v>
      </c>
      <c r="E50" s="2"/>
      <c r="F50" s="165"/>
      <c r="G50" s="2"/>
      <c r="H50" s="145"/>
      <c r="I50" s="2"/>
      <c r="J50" s="2"/>
      <c r="K50" s="2"/>
      <c r="L50" s="2"/>
    </row>
    <row r="51" spans="1:12" s="509" customFormat="1" ht="18" x14ac:dyDescent="0.35">
      <c r="A51" s="2"/>
      <c r="B51" s="2"/>
      <c r="C51" s="120" t="s">
        <v>81</v>
      </c>
      <c r="D51" s="166">
        <f>STDEV(E38:E41,G38:G41)/D50</f>
        <v>1.2764915247168614E-2</v>
      </c>
      <c r="E51" s="2"/>
      <c r="F51" s="165"/>
      <c r="G51" s="2"/>
      <c r="H51" s="145"/>
      <c r="I51" s="2"/>
      <c r="J51" s="2"/>
      <c r="K51" s="2"/>
      <c r="L51" s="2"/>
    </row>
    <row r="52" spans="1:12" s="509" customFormat="1" ht="19.5" customHeight="1" x14ac:dyDescent="0.35">
      <c r="A52" s="2"/>
      <c r="B52" s="2"/>
      <c r="C52" s="167" t="s">
        <v>18</v>
      </c>
      <c r="D52" s="168">
        <f>COUNT(E38:E41,G38:G41)</f>
        <v>6</v>
      </c>
      <c r="E52" s="2"/>
      <c r="F52" s="165"/>
      <c r="G52" s="2"/>
      <c r="H52" s="2"/>
      <c r="I52" s="2"/>
      <c r="J52" s="2"/>
      <c r="K52" s="2"/>
      <c r="L52" s="2"/>
    </row>
    <row r="53" spans="1:12" s="509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s="509" customFormat="1" ht="18" x14ac:dyDescent="0.35">
      <c r="A54" s="169" t="s">
        <v>1</v>
      </c>
      <c r="B54" s="170" t="s">
        <v>82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s="509" customFormat="1" ht="18" x14ac:dyDescent="0.35">
      <c r="A55" s="96" t="s">
        <v>83</v>
      </c>
      <c r="B55" s="171" t="str">
        <f>B21</f>
        <v xml:space="preserve">Sulphamethoxazole 800 mg 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s="509" customFormat="1" ht="26.25" customHeight="1" x14ac:dyDescent="0.45">
      <c r="A56" s="172" t="s">
        <v>84</v>
      </c>
      <c r="B56" s="173">
        <v>800</v>
      </c>
      <c r="C56" s="96" t="str">
        <f>B20</f>
        <v>Each tablet contains Sulphamethoxazole 800 mg and Trimethoprim 160 mg.</v>
      </c>
      <c r="D56" s="2"/>
      <c r="E56" s="2"/>
      <c r="F56" s="2"/>
      <c r="G56" s="2"/>
      <c r="H56" s="174"/>
      <c r="I56" s="2"/>
      <c r="J56" s="2"/>
      <c r="K56" s="2"/>
      <c r="L56" s="2"/>
    </row>
    <row r="57" spans="1:12" s="509" customFormat="1" ht="18" x14ac:dyDescent="0.35">
      <c r="A57" s="171" t="s">
        <v>133</v>
      </c>
      <c r="B57" s="261">
        <f>Uniformity!C46</f>
        <v>1047.5234999999998</v>
      </c>
      <c r="C57" s="2"/>
      <c r="D57" s="2"/>
      <c r="E57" s="2"/>
      <c r="F57" s="2"/>
      <c r="G57" s="2"/>
      <c r="H57" s="174"/>
      <c r="I57" s="2"/>
      <c r="J57" s="2"/>
      <c r="K57" s="2"/>
      <c r="L57" s="2"/>
    </row>
    <row r="58" spans="1:12" s="509" customFormat="1" ht="19.5" customHeight="1" x14ac:dyDescent="0.35">
      <c r="A58" s="2"/>
      <c r="B58" s="2"/>
      <c r="C58" s="2"/>
      <c r="D58" s="2"/>
      <c r="E58" s="2"/>
      <c r="F58" s="2"/>
      <c r="G58" s="2"/>
      <c r="H58" s="174"/>
      <c r="I58" s="2"/>
      <c r="J58" s="2"/>
      <c r="K58" s="2"/>
      <c r="L58" s="2"/>
    </row>
    <row r="59" spans="1:12" s="505" customFormat="1" ht="27" customHeight="1" x14ac:dyDescent="0.45">
      <c r="A59" s="118" t="s">
        <v>86</v>
      </c>
      <c r="B59" s="119">
        <v>200</v>
      </c>
      <c r="C59" s="96"/>
      <c r="D59" s="175" t="s">
        <v>87</v>
      </c>
      <c r="E59" s="176" t="s">
        <v>59</v>
      </c>
      <c r="F59" s="176" t="s">
        <v>60</v>
      </c>
      <c r="G59" s="176" t="s">
        <v>88</v>
      </c>
      <c r="H59" s="122" t="s">
        <v>89</v>
      </c>
      <c r="I59" s="14"/>
      <c r="J59" s="14"/>
      <c r="K59" s="14"/>
      <c r="L59" s="109"/>
    </row>
    <row r="60" spans="1:12" s="505" customFormat="1" ht="26.25" customHeight="1" x14ac:dyDescent="0.45">
      <c r="A60" s="120" t="s">
        <v>90</v>
      </c>
      <c r="B60" s="121">
        <v>2</v>
      </c>
      <c r="C60" s="488" t="s">
        <v>91</v>
      </c>
      <c r="D60" s="491">
        <v>1046.32</v>
      </c>
      <c r="E60" s="177">
        <v>1</v>
      </c>
      <c r="F60" s="178">
        <v>127703728</v>
      </c>
      <c r="G60" s="262">
        <f>IF(ISBLANK(F60),"-",(F60/$D$50*$D$47*$B$68)*($B$57/$D$60))</f>
        <v>797.16196851731172</v>
      </c>
      <c r="H60" s="179">
        <f>IF(ISBLANK(F60),"-",G60/$B$56)</f>
        <v>0.99645246064663962</v>
      </c>
      <c r="I60" s="14"/>
      <c r="J60" s="14"/>
      <c r="K60" s="14"/>
      <c r="L60" s="109"/>
    </row>
    <row r="61" spans="1:12" s="505" customFormat="1" ht="26.25" customHeight="1" x14ac:dyDescent="0.45">
      <c r="A61" s="120" t="s">
        <v>92</v>
      </c>
      <c r="B61" s="121">
        <v>50</v>
      </c>
      <c r="C61" s="489"/>
      <c r="D61" s="492"/>
      <c r="E61" s="180">
        <v>2</v>
      </c>
      <c r="F61" s="132">
        <v>128131246</v>
      </c>
      <c r="G61" s="263">
        <f>IF(ISBLANK(F61),"-",(F61/$D$50*$D$47*$B$68)*($B$57/$D$60))</f>
        <v>799.83065404273805</v>
      </c>
      <c r="H61" s="181">
        <f t="shared" ref="H60:H71" si="0">IF(ISBLANK(F61),"-",G61/$B$56)</f>
        <v>0.99978831755342257</v>
      </c>
      <c r="I61" s="14"/>
      <c r="J61" s="14"/>
      <c r="K61" s="14"/>
      <c r="L61" s="109"/>
    </row>
    <row r="62" spans="1:12" s="505" customFormat="1" ht="26.25" customHeight="1" x14ac:dyDescent="0.45">
      <c r="A62" s="120" t="s">
        <v>93</v>
      </c>
      <c r="B62" s="121">
        <v>1</v>
      </c>
      <c r="C62" s="489"/>
      <c r="D62" s="492"/>
      <c r="E62" s="180">
        <v>3</v>
      </c>
      <c r="F62" s="182">
        <v>127937127</v>
      </c>
      <c r="G62" s="263">
        <f>IF(ISBLANK(F62),"-",(F62/$D$50*$D$47*$B$68)*($B$57/$D$60))</f>
        <v>798.61890958867946</v>
      </c>
      <c r="H62" s="181">
        <f t="shared" si="0"/>
        <v>0.99827363698584937</v>
      </c>
      <c r="I62" s="14"/>
      <c r="J62" s="14"/>
      <c r="K62" s="14"/>
      <c r="L62" s="109"/>
    </row>
    <row r="63" spans="1:12" s="509" customFormat="1" ht="27" customHeight="1" thickBot="1" x14ac:dyDescent="0.5">
      <c r="A63" s="120" t="s">
        <v>94</v>
      </c>
      <c r="B63" s="121">
        <v>1</v>
      </c>
      <c r="C63" s="490"/>
      <c r="D63" s="493"/>
      <c r="E63" s="183">
        <v>4</v>
      </c>
      <c r="F63" s="184"/>
      <c r="G63" s="263" t="str">
        <f>IF(ISBLANK(F63),"-",(F63/$D$50*$D$47*$B$68)*($B$57/$D$60))</f>
        <v>-</v>
      </c>
      <c r="H63" s="181" t="str">
        <f t="shared" si="0"/>
        <v>-</v>
      </c>
      <c r="I63" s="2"/>
      <c r="J63" s="2"/>
      <c r="K63" s="2"/>
      <c r="L63" s="2"/>
    </row>
    <row r="64" spans="1:12" s="509" customFormat="1" ht="26.25" customHeight="1" x14ac:dyDescent="0.45">
      <c r="A64" s="120" t="s">
        <v>95</v>
      </c>
      <c r="B64" s="121">
        <v>1</v>
      </c>
      <c r="C64" s="488" t="s">
        <v>96</v>
      </c>
      <c r="D64" s="491">
        <v>1053.96</v>
      </c>
      <c r="E64" s="177">
        <v>1</v>
      </c>
      <c r="F64" s="178">
        <v>128408363</v>
      </c>
      <c r="G64" s="264">
        <f>IF(ISBLANK(F64),"-",(F64/$D$50*$D$47*$B$68)*($B$57/$D$64))</f>
        <v>795.75010159815213</v>
      </c>
      <c r="H64" s="185">
        <f t="shared" si="0"/>
        <v>0.9946876269976902</v>
      </c>
      <c r="I64" s="2"/>
      <c r="J64" s="2"/>
      <c r="K64" s="2"/>
      <c r="L64" s="2"/>
    </row>
    <row r="65" spans="1:12" s="509" customFormat="1" ht="26.25" customHeight="1" x14ac:dyDescent="0.45">
      <c r="A65" s="120" t="s">
        <v>97</v>
      </c>
      <c r="B65" s="121">
        <v>1</v>
      </c>
      <c r="C65" s="489"/>
      <c r="D65" s="492"/>
      <c r="E65" s="180">
        <v>2</v>
      </c>
      <c r="F65" s="132">
        <v>128497583</v>
      </c>
      <c r="G65" s="265">
        <f>IF(ISBLANK(F65),"-",(F65/$D$50*$D$47*$B$68)*($B$57/$D$64))</f>
        <v>796.30300035338814</v>
      </c>
      <c r="H65" s="186">
        <f t="shared" si="0"/>
        <v>0.99537875044173518</v>
      </c>
      <c r="I65" s="2"/>
      <c r="J65" s="2"/>
      <c r="K65" s="2"/>
      <c r="L65" s="2"/>
    </row>
    <row r="66" spans="1:12" s="509" customFormat="1" ht="26.25" customHeight="1" x14ac:dyDescent="0.45">
      <c r="A66" s="120" t="s">
        <v>98</v>
      </c>
      <c r="B66" s="121">
        <v>1</v>
      </c>
      <c r="C66" s="489"/>
      <c r="D66" s="492"/>
      <c r="E66" s="180">
        <v>3</v>
      </c>
      <c r="F66" s="132">
        <v>128548220</v>
      </c>
      <c r="G66" s="265">
        <f>IF(ISBLANK(F66),"-",(F66/$D$50*$D$47*$B$68)*($B$57/$D$64))</f>
        <v>796.61679921316033</v>
      </c>
      <c r="H66" s="186">
        <f t="shared" si="0"/>
        <v>0.99577099901645039</v>
      </c>
      <c r="I66" s="2"/>
      <c r="J66" s="2"/>
      <c r="K66" s="2"/>
      <c r="L66" s="2"/>
    </row>
    <row r="67" spans="1:12" s="509" customFormat="1" ht="27" customHeight="1" thickBot="1" x14ac:dyDescent="0.5">
      <c r="A67" s="120" t="s">
        <v>99</v>
      </c>
      <c r="B67" s="121">
        <v>1</v>
      </c>
      <c r="C67" s="490"/>
      <c r="D67" s="493"/>
      <c r="E67" s="183">
        <v>4</v>
      </c>
      <c r="F67" s="184"/>
      <c r="G67" s="266" t="str">
        <f>IF(ISBLANK(F67),"-",(F67/$D$50*$D$47*$B$68)*($B$57/$D$64))</f>
        <v>-</v>
      </c>
      <c r="H67" s="187" t="str">
        <f t="shared" si="0"/>
        <v>-</v>
      </c>
      <c r="I67" s="2"/>
      <c r="J67" s="2"/>
      <c r="K67" s="2"/>
      <c r="L67" s="2"/>
    </row>
    <row r="68" spans="1:12" s="509" customFormat="1" ht="26.25" customHeight="1" x14ac:dyDescent="0.5">
      <c r="A68" s="120" t="s">
        <v>100</v>
      </c>
      <c r="B68" s="188">
        <f>(B67/B66)*(B65/B64)*(B63/B62)*(B61/B60)*B59</f>
        <v>5000</v>
      </c>
      <c r="C68" s="488" t="s">
        <v>101</v>
      </c>
      <c r="D68" s="491">
        <v>1045.25</v>
      </c>
      <c r="E68" s="177">
        <v>1</v>
      </c>
      <c r="F68" s="178">
        <v>127515538</v>
      </c>
      <c r="G68" s="264">
        <f>IF(ISBLANK(F68),"-",(F68/$D$50*$D$47*$B$68)*($B$57/$D$68))</f>
        <v>796.80206957478742</v>
      </c>
      <c r="H68" s="181">
        <f t="shared" si="0"/>
        <v>0.99600258696848432</v>
      </c>
      <c r="I68" s="2"/>
      <c r="J68" s="2"/>
      <c r="K68" s="2"/>
      <c r="L68" s="2"/>
    </row>
    <row r="69" spans="1:12" s="509" customFormat="1" ht="27" customHeight="1" thickBot="1" x14ac:dyDescent="0.55000000000000004">
      <c r="A69" s="167" t="s">
        <v>102</v>
      </c>
      <c r="B69" s="189">
        <f>(D47*B68)/B56*B57</f>
        <v>1047.5234999999998</v>
      </c>
      <c r="C69" s="489"/>
      <c r="D69" s="492"/>
      <c r="E69" s="180">
        <v>2</v>
      </c>
      <c r="F69" s="132">
        <v>127484364</v>
      </c>
      <c r="G69" s="265">
        <f>IF(ISBLANK(F69),"-",(F69/$D$50*$D$47*$B$68)*($B$57/$D$68))</f>
        <v>796.60727364554998</v>
      </c>
      <c r="H69" s="181">
        <f t="shared" si="0"/>
        <v>0.99575909205693747</v>
      </c>
      <c r="I69" s="2"/>
      <c r="J69" s="2"/>
      <c r="K69" s="2"/>
      <c r="L69" s="2"/>
    </row>
    <row r="70" spans="1:12" s="509" customFormat="1" ht="26.25" customHeight="1" x14ac:dyDescent="0.45">
      <c r="A70" s="501" t="s">
        <v>75</v>
      </c>
      <c r="B70" s="502"/>
      <c r="C70" s="489"/>
      <c r="D70" s="492"/>
      <c r="E70" s="180">
        <v>3</v>
      </c>
      <c r="F70" s="132">
        <v>127422898</v>
      </c>
      <c r="G70" s="265">
        <f>IF(ISBLANK(F70),"-",(F70/$D$50*$D$47*$B$68)*($B$57/$D$68))</f>
        <v>796.22319311092156</v>
      </c>
      <c r="H70" s="181">
        <f t="shared" si="0"/>
        <v>0.99527899138865195</v>
      </c>
      <c r="I70" s="2"/>
      <c r="J70" s="2"/>
      <c r="K70" s="2"/>
      <c r="L70" s="2"/>
    </row>
    <row r="71" spans="1:12" s="509" customFormat="1" ht="27" customHeight="1" thickBot="1" x14ac:dyDescent="0.5">
      <c r="A71" s="503"/>
      <c r="B71" s="504"/>
      <c r="C71" s="500"/>
      <c r="D71" s="493"/>
      <c r="E71" s="183">
        <v>4</v>
      </c>
      <c r="F71" s="184"/>
      <c r="G71" s="266" t="str">
        <f>IF(ISBLANK(F71),"-",(F71/$D$50*$D$47*$B$68)*($B$57/$D$68))</f>
        <v>-</v>
      </c>
      <c r="H71" s="190" t="str">
        <f t="shared" si="0"/>
        <v>-</v>
      </c>
      <c r="I71" s="2"/>
      <c r="J71" s="2"/>
      <c r="K71" s="2"/>
      <c r="L71" s="2"/>
    </row>
    <row r="72" spans="1:12" s="509" customFormat="1" ht="26.25" customHeight="1" x14ac:dyDescent="0.45">
      <c r="A72" s="191"/>
      <c r="B72" s="191"/>
      <c r="C72" s="191"/>
      <c r="D72" s="191"/>
      <c r="E72" s="191"/>
      <c r="F72" s="526" t="s">
        <v>68</v>
      </c>
      <c r="G72" s="271">
        <f>AVERAGE(G60:G71)</f>
        <v>797.10155218274315</v>
      </c>
      <c r="H72" s="193">
        <f>AVERAGE(H60:H71)</f>
        <v>0.99637694022842915</v>
      </c>
      <c r="I72" s="2"/>
      <c r="J72" s="2"/>
      <c r="K72" s="2"/>
      <c r="L72" s="2"/>
    </row>
    <row r="73" spans="1:12" s="509" customFormat="1" ht="26.25" customHeight="1" x14ac:dyDescent="0.45">
      <c r="A73" s="2"/>
      <c r="B73" s="2"/>
      <c r="C73" s="191"/>
      <c r="D73" s="191"/>
      <c r="E73" s="191"/>
      <c r="F73" s="527" t="s">
        <v>81</v>
      </c>
      <c r="G73" s="267">
        <f>STDEV(G60:G71)/G72</f>
        <v>1.6332369036892401E-3</v>
      </c>
      <c r="H73" s="267">
        <f>STDEV(H60:H71)/H72</f>
        <v>1.6332369036892438E-3</v>
      </c>
      <c r="I73" s="2"/>
      <c r="J73" s="2"/>
      <c r="K73" s="2"/>
      <c r="L73" s="2"/>
    </row>
    <row r="74" spans="1:12" s="509" customFormat="1" ht="27" customHeight="1" thickBot="1" x14ac:dyDescent="0.5">
      <c r="A74" s="191"/>
      <c r="B74" s="191"/>
      <c r="C74" s="192"/>
      <c r="D74" s="192"/>
      <c r="E74" s="195"/>
      <c r="F74" s="528" t="s">
        <v>18</v>
      </c>
      <c r="G74" s="197">
        <f>COUNT(G60:G71)</f>
        <v>9</v>
      </c>
      <c r="H74" s="197">
        <f>COUNT(H60:H71)</f>
        <v>9</v>
      </c>
      <c r="I74" s="2"/>
      <c r="J74" s="2"/>
      <c r="K74" s="2"/>
      <c r="L74" s="2"/>
    </row>
    <row r="75" spans="1:12" s="509" customForma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s="509" customFormat="1" ht="26.25" customHeight="1" x14ac:dyDescent="0.45">
      <c r="A76" s="105" t="s">
        <v>103</v>
      </c>
      <c r="B76" s="198" t="s">
        <v>104</v>
      </c>
      <c r="C76" s="496" t="str">
        <f>B26</f>
        <v>Sulphamethoxazole</v>
      </c>
      <c r="D76" s="496"/>
      <c r="E76" s="199" t="s">
        <v>105</v>
      </c>
      <c r="F76" s="199"/>
      <c r="G76" s="200">
        <f>H72</f>
        <v>0.99637694022842915</v>
      </c>
      <c r="H76" s="201"/>
      <c r="I76" s="2"/>
      <c r="J76" s="2"/>
      <c r="K76" s="2"/>
      <c r="L76" s="2"/>
    </row>
    <row r="77" spans="1:12" s="509" customFormat="1" ht="18" x14ac:dyDescent="0.35">
      <c r="A77" s="104" t="s">
        <v>106</v>
      </c>
      <c r="B77" s="104" t="s">
        <v>107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s="509" customFormat="1" ht="18" x14ac:dyDescent="0.35">
      <c r="A78" s="104"/>
      <c r="B78" s="104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s="509" customFormat="1" ht="26.25" customHeight="1" x14ac:dyDescent="0.45">
      <c r="A79" s="105" t="s">
        <v>4</v>
      </c>
      <c r="B79" s="482" t="str">
        <f>B26</f>
        <v>Sulphamethoxazole</v>
      </c>
      <c r="C79" s="482"/>
      <c r="D79" s="2"/>
      <c r="E79" s="2"/>
      <c r="F79" s="2"/>
      <c r="G79" s="2"/>
      <c r="H79" s="2"/>
      <c r="I79" s="2"/>
      <c r="J79" s="2"/>
      <c r="K79" s="2"/>
      <c r="L79" s="2"/>
    </row>
    <row r="80" spans="1:12" s="509" customFormat="1" ht="26.25" customHeight="1" x14ac:dyDescent="0.45">
      <c r="A80" s="106" t="s">
        <v>45</v>
      </c>
      <c r="B80" s="482" t="str">
        <f>B27</f>
        <v>S 12 4</v>
      </c>
      <c r="C80" s="482"/>
      <c r="D80" s="2"/>
      <c r="E80" s="2"/>
      <c r="F80" s="2"/>
      <c r="G80" s="2"/>
      <c r="H80" s="2"/>
      <c r="I80" s="2"/>
      <c r="J80" s="2"/>
      <c r="K80" s="2"/>
      <c r="L80" s="2"/>
    </row>
    <row r="81" spans="1:12" s="509" customFormat="1" ht="27" customHeight="1" x14ac:dyDescent="0.45">
      <c r="A81" s="106" t="s">
        <v>6</v>
      </c>
      <c r="B81" s="202">
        <f>B28</f>
        <v>99.65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s="505" customFormat="1" ht="27" customHeight="1" x14ac:dyDescent="0.5">
      <c r="A82" s="106" t="s">
        <v>46</v>
      </c>
      <c r="B82" s="108">
        <v>0</v>
      </c>
      <c r="C82" s="473" t="s">
        <v>47</v>
      </c>
      <c r="D82" s="474"/>
      <c r="E82" s="474"/>
      <c r="F82" s="474"/>
      <c r="G82" s="475"/>
      <c r="H82" s="14"/>
      <c r="I82" s="109"/>
      <c r="J82" s="109"/>
      <c r="K82" s="109"/>
      <c r="L82" s="109"/>
    </row>
    <row r="83" spans="1:12" s="505" customFormat="1" ht="19.5" customHeight="1" x14ac:dyDescent="0.35">
      <c r="A83" s="106" t="s">
        <v>48</v>
      </c>
      <c r="B83" s="110">
        <f>B81-B82</f>
        <v>99.65</v>
      </c>
      <c r="C83" s="111"/>
      <c r="D83" s="111"/>
      <c r="E83" s="111"/>
      <c r="F83" s="111"/>
      <c r="G83" s="112"/>
      <c r="H83" s="14"/>
      <c r="I83" s="109"/>
      <c r="J83" s="109"/>
      <c r="K83" s="109"/>
      <c r="L83" s="109"/>
    </row>
    <row r="84" spans="1:12" s="505" customFormat="1" ht="27" customHeight="1" x14ac:dyDescent="0.45">
      <c r="A84" s="106" t="s">
        <v>49</v>
      </c>
      <c r="B84" s="113">
        <v>1</v>
      </c>
      <c r="C84" s="476" t="s">
        <v>108</v>
      </c>
      <c r="D84" s="477"/>
      <c r="E84" s="477"/>
      <c r="F84" s="477"/>
      <c r="G84" s="477"/>
      <c r="H84" s="478"/>
      <c r="I84" s="109"/>
      <c r="J84" s="109"/>
      <c r="K84" s="109"/>
      <c r="L84" s="109"/>
    </row>
    <row r="85" spans="1:12" s="505" customFormat="1" ht="27" customHeight="1" x14ac:dyDescent="0.45">
      <c r="A85" s="106" t="s">
        <v>51</v>
      </c>
      <c r="B85" s="113">
        <v>1</v>
      </c>
      <c r="C85" s="476" t="s">
        <v>109</v>
      </c>
      <c r="D85" s="477"/>
      <c r="E85" s="477"/>
      <c r="F85" s="477"/>
      <c r="G85" s="477"/>
      <c r="H85" s="478"/>
      <c r="I85" s="109"/>
      <c r="J85" s="109"/>
      <c r="K85" s="109"/>
      <c r="L85" s="109"/>
    </row>
    <row r="86" spans="1:12" s="505" customFormat="1" ht="18" x14ac:dyDescent="0.35">
      <c r="A86" s="106"/>
      <c r="B86" s="115"/>
      <c r="C86" s="116"/>
      <c r="D86" s="116"/>
      <c r="E86" s="116"/>
      <c r="F86" s="116"/>
      <c r="G86" s="116"/>
      <c r="H86" s="116"/>
      <c r="I86" s="109"/>
      <c r="J86" s="109"/>
      <c r="K86" s="109"/>
      <c r="L86" s="109"/>
    </row>
    <row r="87" spans="1:12" s="505" customFormat="1" ht="18" x14ac:dyDescent="0.35">
      <c r="A87" s="106" t="s">
        <v>53</v>
      </c>
      <c r="B87" s="117">
        <f>B84/B85</f>
        <v>1</v>
      </c>
      <c r="C87" s="96" t="s">
        <v>54</v>
      </c>
      <c r="D87" s="96"/>
      <c r="E87" s="96"/>
      <c r="F87" s="96"/>
      <c r="G87" s="96"/>
      <c r="I87" s="109"/>
      <c r="J87" s="109"/>
      <c r="K87" s="109"/>
      <c r="L87" s="109"/>
    </row>
    <row r="88" spans="1:12" s="509" customFormat="1" ht="19.5" customHeight="1" x14ac:dyDescent="0.35">
      <c r="A88" s="104"/>
      <c r="B88" s="104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s="509" customFormat="1" ht="27" customHeight="1" x14ac:dyDescent="0.45">
      <c r="A89" s="118" t="s">
        <v>55</v>
      </c>
      <c r="B89" s="119">
        <v>25</v>
      </c>
      <c r="C89" s="2"/>
      <c r="D89" s="203" t="s">
        <v>56</v>
      </c>
      <c r="E89" s="204"/>
      <c r="F89" s="479" t="s">
        <v>57</v>
      </c>
      <c r="G89" s="481"/>
      <c r="H89" s="2"/>
      <c r="I89" s="2"/>
      <c r="J89" s="2"/>
      <c r="K89" s="2"/>
      <c r="L89" s="2"/>
    </row>
    <row r="90" spans="1:12" ht="27" customHeight="1" x14ac:dyDescent="0.45">
      <c r="A90" s="120" t="s">
        <v>58</v>
      </c>
      <c r="B90" s="121">
        <v>10</v>
      </c>
      <c r="C90" s="205" t="s">
        <v>59</v>
      </c>
      <c r="D90" s="123" t="s">
        <v>60</v>
      </c>
      <c r="E90" s="124" t="s">
        <v>61</v>
      </c>
      <c r="F90" s="123" t="s">
        <v>60</v>
      </c>
      <c r="G90" s="206" t="s">
        <v>61</v>
      </c>
      <c r="I90" s="126" t="s">
        <v>62</v>
      </c>
    </row>
    <row r="91" spans="1:12" ht="26.25" customHeight="1" x14ac:dyDescent="0.45">
      <c r="A91" s="120" t="s">
        <v>63</v>
      </c>
      <c r="B91" s="121">
        <v>50</v>
      </c>
      <c r="C91" s="207">
        <v>1</v>
      </c>
      <c r="D91" s="307">
        <v>129338659</v>
      </c>
      <c r="E91" s="128">
        <f>IF(ISBLANK(D91),"-",$D$101/$D$98*D91)</f>
        <v>140765613.87120527</v>
      </c>
      <c r="F91" s="307">
        <v>133112355</v>
      </c>
      <c r="G91" s="129">
        <f>IF(ISBLANK(F91),"-",$D$101/$F$98*F91)</f>
        <v>143750212.10232586</v>
      </c>
      <c r="I91" s="130"/>
    </row>
    <row r="92" spans="1:12" ht="26.25" customHeight="1" x14ac:dyDescent="0.45">
      <c r="A92" s="120" t="s">
        <v>64</v>
      </c>
      <c r="B92" s="121">
        <v>1</v>
      </c>
      <c r="C92" s="192">
        <v>2</v>
      </c>
      <c r="D92" s="312">
        <v>129263949</v>
      </c>
      <c r="E92" s="133">
        <f>IF(ISBLANK(D92),"-",$D$101/$D$98*D92)</f>
        <v>140684303.3095091</v>
      </c>
      <c r="F92" s="312">
        <v>133179663</v>
      </c>
      <c r="G92" s="134">
        <f>IF(ISBLANK(F92),"-",$D$101/$F$98*F92)</f>
        <v>143822899.11380711</v>
      </c>
      <c r="I92" s="483">
        <f>ABS((F96/D96*D95)-F95)/D95</f>
        <v>2.2197065576302657E-2</v>
      </c>
    </row>
    <row r="93" spans="1:12" ht="26.25" customHeight="1" x14ac:dyDescent="0.45">
      <c r="A93" s="120" t="s">
        <v>65</v>
      </c>
      <c r="B93" s="121">
        <v>1</v>
      </c>
      <c r="C93" s="192">
        <v>3</v>
      </c>
      <c r="D93" s="312">
        <v>129295976</v>
      </c>
      <c r="E93" s="133">
        <f>IF(ISBLANK(D93),"-",$D$101/$D$98*D93)</f>
        <v>140719159.86632136</v>
      </c>
      <c r="F93" s="312">
        <v>133245755</v>
      </c>
      <c r="G93" s="134">
        <f>IF(ISBLANK(F93),"-",$D$101/$F$98*F93)</f>
        <v>143894272.94697434</v>
      </c>
      <c r="I93" s="483"/>
    </row>
    <row r="94" spans="1:12" ht="27" customHeight="1" x14ac:dyDescent="0.45">
      <c r="A94" s="120" t="s">
        <v>66</v>
      </c>
      <c r="B94" s="121">
        <v>1</v>
      </c>
      <c r="C94" s="208">
        <v>4</v>
      </c>
      <c r="D94" s="137"/>
      <c r="E94" s="138" t="str">
        <f>IF(ISBLANK(D94),"-",$D$101/$D$98*D94)</f>
        <v>-</v>
      </c>
      <c r="F94" s="209"/>
      <c r="G94" s="139" t="str">
        <f>IF(ISBLANK(F94),"-",$D$101/$F$98*F94)</f>
        <v>-</v>
      </c>
      <c r="I94" s="140"/>
    </row>
    <row r="95" spans="1:12" ht="27" customHeight="1" x14ac:dyDescent="0.45">
      <c r="A95" s="120" t="s">
        <v>67</v>
      </c>
      <c r="B95" s="121">
        <v>1</v>
      </c>
      <c r="C95" s="210" t="s">
        <v>68</v>
      </c>
      <c r="D95" s="211">
        <f>AVERAGE(D91:D94)</f>
        <v>129299528</v>
      </c>
      <c r="E95" s="143">
        <f>AVERAGE(E91:E94)</f>
        <v>140723025.68234524</v>
      </c>
      <c r="F95" s="212">
        <f>AVERAGE(F91:F94)</f>
        <v>133179257.66666667</v>
      </c>
      <c r="G95" s="213">
        <f>AVERAGE(G91:G94)</f>
        <v>143822461.38770244</v>
      </c>
    </row>
    <row r="96" spans="1:12" ht="26.25" customHeight="1" x14ac:dyDescent="0.45">
      <c r="A96" s="120" t="s">
        <v>69</v>
      </c>
      <c r="B96" s="107">
        <v>1</v>
      </c>
      <c r="C96" s="214" t="s">
        <v>110</v>
      </c>
      <c r="D96" s="215">
        <v>20.49</v>
      </c>
      <c r="E96" s="135"/>
      <c r="F96" s="147">
        <v>20.65</v>
      </c>
    </row>
    <row r="97" spans="1:10" ht="26.25" customHeight="1" x14ac:dyDescent="0.45">
      <c r="A97" s="120" t="s">
        <v>71</v>
      </c>
      <c r="B97" s="107">
        <v>1</v>
      </c>
      <c r="C97" s="216" t="s">
        <v>111</v>
      </c>
      <c r="D97" s="217">
        <f>D96*$B$87</f>
        <v>20.49</v>
      </c>
      <c r="E97" s="150"/>
      <c r="F97" s="149">
        <f>F96*$B$87</f>
        <v>20.65</v>
      </c>
    </row>
    <row r="98" spans="1:10" ht="19.5" customHeight="1" x14ac:dyDescent="0.35">
      <c r="A98" s="120" t="s">
        <v>73</v>
      </c>
      <c r="B98" s="218">
        <f>(B97/B96)*(B95/B94)*(B93/B92)*(B91/B90)*B89</f>
        <v>125</v>
      </c>
      <c r="C98" s="216" t="s">
        <v>112</v>
      </c>
      <c r="D98" s="219">
        <f>D97*$B$83/100</f>
        <v>20.418284999999997</v>
      </c>
      <c r="E98" s="153"/>
      <c r="F98" s="152">
        <f>F97*$B$83/100</f>
        <v>20.577725000000001</v>
      </c>
    </row>
    <row r="99" spans="1:10" ht="19.5" customHeight="1" x14ac:dyDescent="0.35">
      <c r="A99" s="484" t="s">
        <v>75</v>
      </c>
      <c r="B99" s="498"/>
      <c r="C99" s="216" t="s">
        <v>76</v>
      </c>
      <c r="D99" s="220">
        <f>D98/$B$98</f>
        <v>0.16334627999999998</v>
      </c>
      <c r="E99" s="153"/>
      <c r="F99" s="156">
        <f>F98/$B$98</f>
        <v>0.16462180000000001</v>
      </c>
      <c r="G99" s="221"/>
      <c r="H99" s="145"/>
    </row>
    <row r="100" spans="1:10" ht="19.5" customHeight="1" x14ac:dyDescent="0.35">
      <c r="A100" s="486"/>
      <c r="B100" s="499"/>
      <c r="C100" s="216" t="s">
        <v>77</v>
      </c>
      <c r="D100" s="222">
        <f>$B$56/$B$116</f>
        <v>0.17777777777777778</v>
      </c>
      <c r="F100" s="161"/>
      <c r="G100" s="223"/>
      <c r="H100" s="145"/>
    </row>
    <row r="101" spans="1:10" ht="18" x14ac:dyDescent="0.35">
      <c r="C101" s="216" t="s">
        <v>78</v>
      </c>
      <c r="D101" s="217">
        <f>D100*$B$98</f>
        <v>22.222222222222221</v>
      </c>
      <c r="F101" s="161"/>
      <c r="G101" s="221"/>
      <c r="H101" s="145"/>
    </row>
    <row r="102" spans="1:10" ht="19.5" customHeight="1" x14ac:dyDescent="0.35">
      <c r="C102" s="224" t="s">
        <v>79</v>
      </c>
      <c r="D102" s="225">
        <f>D101/B34</f>
        <v>22.222222222222221</v>
      </c>
      <c r="F102" s="165"/>
      <c r="G102" s="221"/>
      <c r="H102" s="145"/>
      <c r="J102" s="226"/>
    </row>
    <row r="103" spans="1:10" ht="18" x14ac:dyDescent="0.35">
      <c r="C103" s="227" t="s">
        <v>114</v>
      </c>
      <c r="D103" s="228">
        <f>AVERAGE(E91:E94,G91:G94)</f>
        <v>142272743.53502384</v>
      </c>
      <c r="F103" s="165"/>
      <c r="G103" s="229"/>
      <c r="H103" s="145"/>
      <c r="J103" s="230"/>
    </row>
    <row r="104" spans="1:10" ht="18" x14ac:dyDescent="0.35">
      <c r="C104" s="194" t="s">
        <v>81</v>
      </c>
      <c r="D104" s="231">
        <f>STDEV(E91:E94,G91:G94)/D103</f>
        <v>1.1937901307929938E-2</v>
      </c>
      <c r="F104" s="165"/>
      <c r="G104" s="221"/>
      <c r="H104" s="145"/>
      <c r="J104" s="230"/>
    </row>
    <row r="105" spans="1:10" ht="19.5" customHeight="1" x14ac:dyDescent="0.35">
      <c r="C105" s="196" t="s">
        <v>18</v>
      </c>
      <c r="D105" s="232">
        <f>COUNT(E91:E94,G91:G94)</f>
        <v>6</v>
      </c>
      <c r="F105" s="165"/>
      <c r="G105" s="221"/>
      <c r="H105" s="145"/>
      <c r="J105" s="230"/>
    </row>
    <row r="106" spans="1:10" ht="19.5" customHeight="1" x14ac:dyDescent="0.35">
      <c r="A106" s="169"/>
      <c r="B106" s="169"/>
      <c r="C106" s="169"/>
      <c r="D106" s="169"/>
      <c r="E106" s="169"/>
    </row>
    <row r="107" spans="1:10" ht="26.25" customHeight="1" x14ac:dyDescent="0.45">
      <c r="A107" s="118" t="s">
        <v>115</v>
      </c>
      <c r="B107" s="119">
        <v>900</v>
      </c>
      <c r="C107" s="233" t="s">
        <v>116</v>
      </c>
      <c r="D107" s="234" t="s">
        <v>60</v>
      </c>
      <c r="E107" s="235" t="s">
        <v>117</v>
      </c>
      <c r="F107" s="236" t="s">
        <v>118</v>
      </c>
    </row>
    <row r="108" spans="1:10" ht="26.25" customHeight="1" x14ac:dyDescent="0.45">
      <c r="A108" s="120" t="s">
        <v>119</v>
      </c>
      <c r="B108" s="121">
        <v>2</v>
      </c>
      <c r="C108" s="237">
        <v>1</v>
      </c>
      <c r="D108" s="238">
        <v>134577211</v>
      </c>
      <c r="E108" s="268">
        <f t="shared" ref="E108:E113" si="1">IF(ISBLANK(D108),"-",D108/$D$103*$D$100*$B$116)</f>
        <v>756.72800091534384</v>
      </c>
      <c r="F108" s="239">
        <f t="shared" ref="F108:F113" si="2">IF(ISBLANK(D108), "-", E108/$B$56)</f>
        <v>0.94591000114417978</v>
      </c>
    </row>
    <row r="109" spans="1:10" ht="26.25" customHeight="1" x14ac:dyDescent="0.45">
      <c r="A109" s="120" t="s">
        <v>92</v>
      </c>
      <c r="B109" s="121">
        <v>10</v>
      </c>
      <c r="C109" s="237">
        <v>2</v>
      </c>
      <c r="D109" s="238">
        <v>133379733</v>
      </c>
      <c r="E109" s="269">
        <f t="shared" si="1"/>
        <v>749.99457906519046</v>
      </c>
      <c r="F109" s="240">
        <f t="shared" si="2"/>
        <v>0.93749322383148803</v>
      </c>
    </row>
    <row r="110" spans="1:10" ht="26.25" customHeight="1" x14ac:dyDescent="0.45">
      <c r="A110" s="120" t="s">
        <v>93</v>
      </c>
      <c r="B110" s="121">
        <v>1</v>
      </c>
      <c r="C110" s="237">
        <v>3</v>
      </c>
      <c r="D110" s="238">
        <v>133193524</v>
      </c>
      <c r="E110" s="269">
        <f t="shared" si="1"/>
        <v>748.94752538295563</v>
      </c>
      <c r="F110" s="240">
        <f t="shared" si="2"/>
        <v>0.93618440672869452</v>
      </c>
    </row>
    <row r="111" spans="1:10" ht="26.25" customHeight="1" x14ac:dyDescent="0.45">
      <c r="A111" s="120" t="s">
        <v>94</v>
      </c>
      <c r="B111" s="121">
        <v>1</v>
      </c>
      <c r="C111" s="237">
        <v>4</v>
      </c>
      <c r="D111" s="238">
        <v>132944810</v>
      </c>
      <c r="E111" s="269">
        <f t="shared" si="1"/>
        <v>747.54900592619811</v>
      </c>
      <c r="F111" s="240">
        <f t="shared" si="2"/>
        <v>0.93443625740774761</v>
      </c>
    </row>
    <row r="112" spans="1:10" ht="26.25" customHeight="1" x14ac:dyDescent="0.45">
      <c r="A112" s="120" t="s">
        <v>95</v>
      </c>
      <c r="B112" s="121">
        <v>1</v>
      </c>
      <c r="C112" s="237">
        <v>5</v>
      </c>
      <c r="D112" s="238">
        <v>134410914</v>
      </c>
      <c r="E112" s="269">
        <f t="shared" si="1"/>
        <v>755.79291245992749</v>
      </c>
      <c r="F112" s="240">
        <f t="shared" si="2"/>
        <v>0.94474114057490932</v>
      </c>
    </row>
    <row r="113" spans="1:10" ht="26.25" customHeight="1" x14ac:dyDescent="0.45">
      <c r="A113" s="120" t="s">
        <v>97</v>
      </c>
      <c r="B113" s="121">
        <v>1</v>
      </c>
      <c r="C113" s="241">
        <v>6</v>
      </c>
      <c r="D113" s="242">
        <v>134484456</v>
      </c>
      <c r="E113" s="270">
        <f t="shared" si="1"/>
        <v>756.20643931361838</v>
      </c>
      <c r="F113" s="243">
        <f t="shared" si="2"/>
        <v>0.94525804914202294</v>
      </c>
    </row>
    <row r="114" spans="1:10" ht="26.25" customHeight="1" x14ac:dyDescent="0.45">
      <c r="A114" s="120" t="s">
        <v>98</v>
      </c>
      <c r="B114" s="121">
        <v>1</v>
      </c>
      <c r="C114" s="237"/>
      <c r="D114" s="192"/>
      <c r="E114" s="95"/>
      <c r="F114" s="244"/>
    </row>
    <row r="115" spans="1:10" ht="26.25" customHeight="1" x14ac:dyDescent="0.45">
      <c r="A115" s="120" t="s">
        <v>99</v>
      </c>
      <c r="B115" s="121">
        <v>1</v>
      </c>
      <c r="C115" s="237"/>
      <c r="D115" s="245" t="s">
        <v>68</v>
      </c>
      <c r="E115" s="272">
        <f>AVERAGE(E108:E113)</f>
        <v>752.5364105105391</v>
      </c>
      <c r="F115" s="246">
        <f>AVERAGE(F108:F113)</f>
        <v>0.94067051313817374</v>
      </c>
    </row>
    <row r="116" spans="1:10" ht="27" customHeight="1" x14ac:dyDescent="0.45">
      <c r="A116" s="120" t="s">
        <v>100</v>
      </c>
      <c r="B116" s="151">
        <f>(B115/B114)*(B113/B112)*(B111/B110)*(B109/B108)*B107</f>
        <v>4500</v>
      </c>
      <c r="C116" s="247"/>
      <c r="D116" s="210" t="s">
        <v>81</v>
      </c>
      <c r="E116" s="248">
        <f>STDEV(E108:E113)/E115</f>
        <v>5.5065459372878904E-3</v>
      </c>
      <c r="F116" s="248">
        <f>STDEV(F108:F113)/F115</f>
        <v>5.5065459372878904E-3</v>
      </c>
      <c r="I116" s="95"/>
    </row>
    <row r="117" spans="1:10" ht="27" customHeight="1" x14ac:dyDescent="0.45">
      <c r="A117" s="484" t="s">
        <v>75</v>
      </c>
      <c r="B117" s="485"/>
      <c r="C117" s="249"/>
      <c r="D117" s="250" t="s">
        <v>18</v>
      </c>
      <c r="E117" s="251">
        <f>COUNT(E108:E113)</f>
        <v>6</v>
      </c>
      <c r="F117" s="251">
        <f>COUNT(F108:F113)</f>
        <v>6</v>
      </c>
      <c r="I117" s="95"/>
      <c r="J117" s="230"/>
    </row>
    <row r="118" spans="1:10" ht="19.5" customHeight="1" x14ac:dyDescent="0.35">
      <c r="A118" s="486"/>
      <c r="B118" s="487"/>
      <c r="C118" s="95"/>
      <c r="D118" s="95"/>
      <c r="E118" s="95"/>
      <c r="F118" s="192"/>
      <c r="G118" s="95"/>
      <c r="H118" s="95"/>
      <c r="I118" s="95"/>
    </row>
    <row r="119" spans="1:10" ht="18" x14ac:dyDescent="0.35">
      <c r="A119" s="259"/>
      <c r="B119" s="116"/>
      <c r="C119" s="95"/>
      <c r="D119" s="95"/>
      <c r="E119" s="95"/>
      <c r="F119" s="192"/>
      <c r="G119" s="95"/>
      <c r="H119" s="95"/>
      <c r="I119" s="95"/>
    </row>
    <row r="120" spans="1:10" ht="26.25" customHeight="1" x14ac:dyDescent="0.45">
      <c r="A120" s="105" t="s">
        <v>103</v>
      </c>
      <c r="B120" s="198" t="s">
        <v>120</v>
      </c>
      <c r="C120" s="496" t="str">
        <f>B20</f>
        <v>Each tablet contains Sulphamethoxazole 800 mg and Trimethoprim 160 mg.</v>
      </c>
      <c r="D120" s="496"/>
      <c r="E120" s="199" t="s">
        <v>121</v>
      </c>
      <c r="F120" s="199"/>
      <c r="G120" s="200">
        <f>F115</f>
        <v>0.94067051313817374</v>
      </c>
      <c r="H120" s="95"/>
      <c r="I120" s="95"/>
    </row>
    <row r="121" spans="1:10" ht="19.5" customHeight="1" x14ac:dyDescent="0.35">
      <c r="A121" s="252"/>
      <c r="B121" s="252"/>
      <c r="C121" s="253"/>
      <c r="D121" s="253"/>
      <c r="E121" s="253"/>
      <c r="F121" s="253"/>
      <c r="G121" s="253"/>
      <c r="H121" s="253"/>
    </row>
    <row r="122" spans="1:10" ht="18" x14ac:dyDescent="0.35">
      <c r="B122" s="497" t="s">
        <v>23</v>
      </c>
      <c r="C122" s="497"/>
      <c r="E122" s="205" t="s">
        <v>24</v>
      </c>
      <c r="F122" s="254"/>
      <c r="G122" s="497" t="s">
        <v>25</v>
      </c>
      <c r="H122" s="497"/>
    </row>
    <row r="123" spans="1:10" ht="69.900000000000006" customHeight="1" x14ac:dyDescent="0.35">
      <c r="A123" s="456" t="s">
        <v>26</v>
      </c>
      <c r="B123" s="255"/>
      <c r="C123" s="255"/>
      <c r="E123" s="255"/>
      <c r="F123" s="95"/>
      <c r="G123" s="256"/>
      <c r="H123" s="256"/>
    </row>
    <row r="124" spans="1:10" ht="69.900000000000006" customHeight="1" x14ac:dyDescent="0.35">
      <c r="A124" s="456" t="s">
        <v>27</v>
      </c>
      <c r="B124" s="257"/>
      <c r="C124" s="257"/>
      <c r="E124" s="257"/>
      <c r="F124" s="95"/>
      <c r="G124" s="258"/>
      <c r="H124" s="258"/>
    </row>
    <row r="125" spans="1:10" ht="18" x14ac:dyDescent="0.35">
      <c r="A125" s="191"/>
      <c r="B125" s="191"/>
      <c r="C125" s="192"/>
      <c r="D125" s="192"/>
      <c r="E125" s="192"/>
      <c r="F125" s="195"/>
      <c r="G125" s="192"/>
      <c r="H125" s="192"/>
      <c r="I125" s="95"/>
    </row>
    <row r="126" spans="1:10" ht="18" x14ac:dyDescent="0.35">
      <c r="A126" s="191"/>
      <c r="B126" s="191"/>
      <c r="C126" s="192"/>
      <c r="D126" s="192"/>
      <c r="E126" s="192"/>
      <c r="F126" s="195"/>
      <c r="G126" s="192"/>
      <c r="H126" s="192"/>
      <c r="I126" s="95"/>
    </row>
    <row r="127" spans="1:10" ht="18" x14ac:dyDescent="0.35">
      <c r="A127" s="191"/>
      <c r="B127" s="191"/>
      <c r="C127" s="192"/>
      <c r="D127" s="192"/>
      <c r="E127" s="192"/>
      <c r="F127" s="195"/>
      <c r="G127" s="192"/>
      <c r="H127" s="192"/>
      <c r="I127" s="95"/>
    </row>
    <row r="128" spans="1:10" ht="18" x14ac:dyDescent="0.35">
      <c r="A128" s="191"/>
      <c r="B128" s="191"/>
      <c r="C128" s="192"/>
      <c r="D128" s="192"/>
      <c r="E128" s="192"/>
      <c r="F128" s="195"/>
      <c r="G128" s="192"/>
      <c r="H128" s="192"/>
      <c r="I128" s="95"/>
    </row>
    <row r="129" spans="1:9" ht="18" x14ac:dyDescent="0.35">
      <c r="A129" s="191"/>
      <c r="B129" s="191"/>
      <c r="C129" s="192"/>
      <c r="D129" s="192"/>
      <c r="E129" s="192"/>
      <c r="F129" s="195"/>
      <c r="G129" s="192"/>
      <c r="H129" s="192"/>
      <c r="I129" s="95"/>
    </row>
    <row r="130" spans="1:9" ht="18" x14ac:dyDescent="0.35">
      <c r="A130" s="191"/>
      <c r="B130" s="191"/>
      <c r="C130" s="192"/>
      <c r="D130" s="192"/>
      <c r="E130" s="192"/>
      <c r="F130" s="195"/>
      <c r="G130" s="192"/>
      <c r="H130" s="192"/>
      <c r="I130" s="95"/>
    </row>
    <row r="131" spans="1:9" ht="18" x14ac:dyDescent="0.35">
      <c r="A131" s="191"/>
      <c r="B131" s="191"/>
      <c r="C131" s="192"/>
      <c r="D131" s="192"/>
      <c r="E131" s="192"/>
      <c r="F131" s="195"/>
      <c r="G131" s="192"/>
      <c r="H131" s="192"/>
      <c r="I131" s="95"/>
    </row>
    <row r="132" spans="1:9" ht="18" x14ac:dyDescent="0.35">
      <c r="A132" s="191"/>
      <c r="B132" s="191"/>
      <c r="C132" s="192"/>
      <c r="D132" s="192"/>
      <c r="E132" s="192"/>
      <c r="F132" s="195"/>
      <c r="G132" s="192"/>
      <c r="H132" s="192"/>
      <c r="I132" s="95"/>
    </row>
    <row r="133" spans="1:9" ht="18" x14ac:dyDescent="0.35">
      <c r="A133" s="191"/>
      <c r="B133" s="191"/>
      <c r="C133" s="192"/>
      <c r="D133" s="192"/>
      <c r="E133" s="192"/>
      <c r="F133" s="195"/>
      <c r="G133" s="192"/>
      <c r="H133" s="192"/>
      <c r="I133" s="95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4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4" zoomScale="70" zoomScaleNormal="70" zoomScalePageLayoutView="55" workbookViewId="0">
      <selection activeCell="G112" sqref="G112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94" t="s">
        <v>42</v>
      </c>
      <c r="B1" s="494"/>
      <c r="C1" s="494"/>
      <c r="D1" s="494"/>
      <c r="E1" s="494"/>
      <c r="F1" s="494"/>
      <c r="G1" s="494"/>
      <c r="H1" s="494"/>
      <c r="I1" s="494"/>
    </row>
    <row r="2" spans="1:9" ht="18.75" customHeight="1" x14ac:dyDescent="0.3">
      <c r="A2" s="494"/>
      <c r="B2" s="494"/>
      <c r="C2" s="494"/>
      <c r="D2" s="494"/>
      <c r="E2" s="494"/>
      <c r="F2" s="494"/>
      <c r="G2" s="494"/>
      <c r="H2" s="494"/>
      <c r="I2" s="494"/>
    </row>
    <row r="3" spans="1:9" ht="18.75" customHeight="1" x14ac:dyDescent="0.3">
      <c r="A3" s="494"/>
      <c r="B3" s="494"/>
      <c r="C3" s="494"/>
      <c r="D3" s="494"/>
      <c r="E3" s="494"/>
      <c r="F3" s="494"/>
      <c r="G3" s="494"/>
      <c r="H3" s="494"/>
      <c r="I3" s="494"/>
    </row>
    <row r="4" spans="1:9" ht="18.75" customHeight="1" x14ac:dyDescent="0.3">
      <c r="A4" s="494"/>
      <c r="B4" s="494"/>
      <c r="C4" s="494"/>
      <c r="D4" s="494"/>
      <c r="E4" s="494"/>
      <c r="F4" s="494"/>
      <c r="G4" s="494"/>
      <c r="H4" s="494"/>
      <c r="I4" s="494"/>
    </row>
    <row r="5" spans="1:9" ht="18.75" customHeight="1" x14ac:dyDescent="0.3">
      <c r="A5" s="494"/>
      <c r="B5" s="494"/>
      <c r="C5" s="494"/>
      <c r="D5" s="494"/>
      <c r="E5" s="494"/>
      <c r="F5" s="494"/>
      <c r="G5" s="494"/>
      <c r="H5" s="494"/>
      <c r="I5" s="494"/>
    </row>
    <row r="6" spans="1:9" ht="18.75" customHeight="1" x14ac:dyDescent="0.3">
      <c r="A6" s="494"/>
      <c r="B6" s="494"/>
      <c r="C6" s="494"/>
      <c r="D6" s="494"/>
      <c r="E6" s="494"/>
      <c r="F6" s="494"/>
      <c r="G6" s="494"/>
      <c r="H6" s="494"/>
      <c r="I6" s="494"/>
    </row>
    <row r="7" spans="1:9" ht="18.75" customHeight="1" x14ac:dyDescent="0.3">
      <c r="A7" s="494"/>
      <c r="B7" s="494"/>
      <c r="C7" s="494"/>
      <c r="D7" s="494"/>
      <c r="E7" s="494"/>
      <c r="F7" s="494"/>
      <c r="G7" s="494"/>
      <c r="H7" s="494"/>
      <c r="I7" s="494"/>
    </row>
    <row r="8" spans="1:9" x14ac:dyDescent="0.3">
      <c r="A8" s="495" t="s">
        <v>43</v>
      </c>
      <c r="B8" s="495"/>
      <c r="C8" s="495"/>
      <c r="D8" s="495"/>
      <c r="E8" s="495"/>
      <c r="F8" s="495"/>
      <c r="G8" s="495"/>
      <c r="H8" s="495"/>
      <c r="I8" s="495"/>
    </row>
    <row r="9" spans="1:9" x14ac:dyDescent="0.3">
      <c r="A9" s="495"/>
      <c r="B9" s="495"/>
      <c r="C9" s="495"/>
      <c r="D9" s="495"/>
      <c r="E9" s="495"/>
      <c r="F9" s="495"/>
      <c r="G9" s="495"/>
      <c r="H9" s="495"/>
      <c r="I9" s="495"/>
    </row>
    <row r="10" spans="1:9" x14ac:dyDescent="0.3">
      <c r="A10" s="495"/>
      <c r="B10" s="495"/>
      <c r="C10" s="495"/>
      <c r="D10" s="495"/>
      <c r="E10" s="495"/>
      <c r="F10" s="495"/>
      <c r="G10" s="495"/>
      <c r="H10" s="495"/>
      <c r="I10" s="495"/>
    </row>
    <row r="11" spans="1:9" x14ac:dyDescent="0.3">
      <c r="A11" s="495"/>
      <c r="B11" s="495"/>
      <c r="C11" s="495"/>
      <c r="D11" s="495"/>
      <c r="E11" s="495"/>
      <c r="F11" s="495"/>
      <c r="G11" s="495"/>
      <c r="H11" s="495"/>
      <c r="I11" s="495"/>
    </row>
    <row r="12" spans="1:9" x14ac:dyDescent="0.3">
      <c r="A12" s="495"/>
      <c r="B12" s="495"/>
      <c r="C12" s="495"/>
      <c r="D12" s="495"/>
      <c r="E12" s="495"/>
      <c r="F12" s="495"/>
      <c r="G12" s="495"/>
      <c r="H12" s="495"/>
      <c r="I12" s="495"/>
    </row>
    <row r="13" spans="1:9" x14ac:dyDescent="0.3">
      <c r="A13" s="495"/>
      <c r="B13" s="495"/>
      <c r="C13" s="495"/>
      <c r="D13" s="495"/>
      <c r="E13" s="495"/>
      <c r="F13" s="495"/>
      <c r="G13" s="495"/>
      <c r="H13" s="495"/>
      <c r="I13" s="495"/>
    </row>
    <row r="14" spans="1:9" x14ac:dyDescent="0.3">
      <c r="A14" s="495"/>
      <c r="B14" s="495"/>
      <c r="C14" s="495"/>
      <c r="D14" s="495"/>
      <c r="E14" s="495"/>
      <c r="F14" s="495"/>
      <c r="G14" s="495"/>
      <c r="H14" s="495"/>
      <c r="I14" s="495"/>
    </row>
    <row r="15" spans="1:9" ht="19.5" customHeight="1" x14ac:dyDescent="0.35">
      <c r="A15" s="274"/>
    </row>
    <row r="16" spans="1:9" ht="19.5" customHeight="1" x14ac:dyDescent="0.35">
      <c r="A16" s="468" t="s">
        <v>28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3">
      <c r="A17" s="471" t="s">
        <v>44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5">
      <c r="A18" s="276" t="s">
        <v>30</v>
      </c>
      <c r="B18" s="467" t="s">
        <v>5</v>
      </c>
      <c r="C18" s="467"/>
      <c r="D18" s="442"/>
      <c r="E18" s="277"/>
      <c r="F18" s="278"/>
      <c r="G18" s="278"/>
      <c r="H18" s="278"/>
    </row>
    <row r="19" spans="1:14" ht="26.25" customHeight="1" x14ac:dyDescent="0.5">
      <c r="A19" s="276" t="s">
        <v>31</v>
      </c>
      <c r="B19" s="279" t="s">
        <v>7</v>
      </c>
      <c r="C19" s="455">
        <v>29</v>
      </c>
      <c r="D19" s="278"/>
      <c r="E19" s="278"/>
      <c r="F19" s="278"/>
      <c r="G19" s="278"/>
      <c r="H19" s="278"/>
    </row>
    <row r="20" spans="1:14" ht="26.25" customHeight="1" x14ac:dyDescent="0.5">
      <c r="A20" s="276" t="s">
        <v>32</v>
      </c>
      <c r="B20" s="510" t="s">
        <v>134</v>
      </c>
      <c r="C20" s="510"/>
      <c r="D20" s="278"/>
      <c r="E20" s="278"/>
      <c r="F20" s="278"/>
      <c r="G20" s="278"/>
      <c r="H20" s="278"/>
    </row>
    <row r="21" spans="1:14" ht="26.25" customHeight="1" x14ac:dyDescent="0.5">
      <c r="A21" s="276" t="s">
        <v>33</v>
      </c>
      <c r="B21" s="472" t="s">
        <v>127</v>
      </c>
      <c r="C21" s="472"/>
      <c r="D21" s="472"/>
      <c r="E21" s="472"/>
      <c r="F21" s="472"/>
      <c r="G21" s="472"/>
      <c r="H21" s="472"/>
      <c r="I21" s="280"/>
    </row>
    <row r="22" spans="1:14" ht="26.25" customHeight="1" x14ac:dyDescent="0.5">
      <c r="A22" s="276" t="s">
        <v>34</v>
      </c>
      <c r="B22" s="281" t="s">
        <v>10</v>
      </c>
      <c r="C22" s="278"/>
      <c r="D22" s="278"/>
      <c r="E22" s="278"/>
      <c r="F22" s="278"/>
      <c r="G22" s="278"/>
      <c r="H22" s="278"/>
    </row>
    <row r="23" spans="1:14" ht="26.25" customHeight="1" x14ac:dyDescent="0.5">
      <c r="A23" s="276" t="s">
        <v>35</v>
      </c>
      <c r="B23" s="281"/>
      <c r="C23" s="278"/>
      <c r="D23" s="278"/>
      <c r="E23" s="278"/>
      <c r="F23" s="278"/>
      <c r="G23" s="278"/>
      <c r="H23" s="278"/>
    </row>
    <row r="24" spans="1:14" ht="18" x14ac:dyDescent="0.35">
      <c r="A24" s="276"/>
      <c r="B24" s="282"/>
    </row>
    <row r="25" spans="1:14" ht="18" x14ac:dyDescent="0.35">
      <c r="A25" s="283" t="s">
        <v>1</v>
      </c>
      <c r="B25" s="282"/>
    </row>
    <row r="26" spans="1:14" ht="26.25" customHeight="1" x14ac:dyDescent="0.45">
      <c r="A26" s="284" t="s">
        <v>4</v>
      </c>
      <c r="B26" s="467" t="s">
        <v>123</v>
      </c>
      <c r="C26" s="467"/>
    </row>
    <row r="27" spans="1:14" ht="26.25" customHeight="1" x14ac:dyDescent="0.5">
      <c r="A27" s="285" t="s">
        <v>45</v>
      </c>
      <c r="B27" s="287" t="s">
        <v>125</v>
      </c>
      <c r="C27" s="525"/>
    </row>
    <row r="28" spans="1:14" ht="27" customHeight="1" thickBot="1" x14ac:dyDescent="0.5">
      <c r="A28" s="285" t="s">
        <v>6</v>
      </c>
      <c r="B28" s="286">
        <v>99.3</v>
      </c>
    </row>
    <row r="29" spans="1:14" s="505" customFormat="1" ht="27" customHeight="1" x14ac:dyDescent="0.5">
      <c r="A29" s="285" t="s">
        <v>46</v>
      </c>
      <c r="B29" s="287">
        <v>0</v>
      </c>
      <c r="C29" s="473" t="s">
        <v>47</v>
      </c>
      <c r="D29" s="474"/>
      <c r="E29" s="474"/>
      <c r="F29" s="474"/>
      <c r="G29" s="475"/>
      <c r="H29" s="14"/>
      <c r="I29" s="288"/>
      <c r="J29" s="288"/>
      <c r="K29" s="288"/>
      <c r="L29" s="288"/>
    </row>
    <row r="30" spans="1:14" s="505" customFormat="1" ht="19.5" customHeight="1" x14ac:dyDescent="0.35">
      <c r="A30" s="285" t="s">
        <v>48</v>
      </c>
      <c r="B30" s="289">
        <f>B28-B29</f>
        <v>99.3</v>
      </c>
      <c r="C30" s="290"/>
      <c r="D30" s="290"/>
      <c r="E30" s="290"/>
      <c r="F30" s="290"/>
      <c r="G30" s="291"/>
      <c r="H30" s="14"/>
      <c r="I30" s="288"/>
      <c r="J30" s="288"/>
      <c r="K30" s="288"/>
      <c r="L30" s="288"/>
    </row>
    <row r="31" spans="1:14" s="505" customFormat="1" ht="27" customHeight="1" x14ac:dyDescent="0.45">
      <c r="A31" s="285" t="s">
        <v>49</v>
      </c>
      <c r="B31" s="292">
        <v>1</v>
      </c>
      <c r="C31" s="476" t="s">
        <v>50</v>
      </c>
      <c r="D31" s="477"/>
      <c r="E31" s="477"/>
      <c r="F31" s="477"/>
      <c r="G31" s="477"/>
      <c r="H31" s="478"/>
      <c r="I31" s="288"/>
      <c r="J31" s="288"/>
      <c r="K31" s="288"/>
      <c r="L31" s="288"/>
    </row>
    <row r="32" spans="1:14" s="505" customFormat="1" ht="27" customHeight="1" x14ac:dyDescent="0.45">
      <c r="A32" s="285" t="s">
        <v>51</v>
      </c>
      <c r="B32" s="292">
        <v>1</v>
      </c>
      <c r="C32" s="476" t="s">
        <v>52</v>
      </c>
      <c r="D32" s="477"/>
      <c r="E32" s="477"/>
      <c r="F32" s="477"/>
      <c r="G32" s="477"/>
      <c r="H32" s="478"/>
      <c r="I32" s="288"/>
      <c r="J32" s="288"/>
      <c r="K32" s="288"/>
      <c r="L32" s="293"/>
      <c r="M32" s="506"/>
      <c r="N32" s="507"/>
    </row>
    <row r="33" spans="1:14" s="505" customFormat="1" ht="17.25" customHeight="1" x14ac:dyDescent="0.35">
      <c r="A33" s="285"/>
      <c r="B33" s="294"/>
      <c r="C33" s="295"/>
      <c r="D33" s="295"/>
      <c r="E33" s="295"/>
      <c r="F33" s="295"/>
      <c r="G33" s="295"/>
      <c r="H33" s="295"/>
      <c r="I33" s="288"/>
      <c r="J33" s="288"/>
      <c r="K33" s="288"/>
      <c r="L33" s="293"/>
      <c r="M33" s="506"/>
      <c r="N33" s="507"/>
    </row>
    <row r="34" spans="1:14" s="505" customFormat="1" ht="18" x14ac:dyDescent="0.35">
      <c r="A34" s="285" t="s">
        <v>53</v>
      </c>
      <c r="B34" s="296">
        <f>B31/B32</f>
        <v>1</v>
      </c>
      <c r="C34" s="275" t="s">
        <v>54</v>
      </c>
      <c r="D34" s="275"/>
      <c r="E34" s="275"/>
      <c r="F34" s="275"/>
      <c r="G34" s="275"/>
      <c r="H34" s="14"/>
      <c r="I34" s="288"/>
      <c r="J34" s="288"/>
      <c r="K34" s="288"/>
      <c r="L34" s="293"/>
      <c r="M34" s="506"/>
      <c r="N34" s="507"/>
    </row>
    <row r="35" spans="1:14" s="505" customFormat="1" ht="19.5" customHeight="1" x14ac:dyDescent="0.35">
      <c r="A35" s="285"/>
      <c r="B35" s="289"/>
      <c r="C35" s="14"/>
      <c r="D35" s="14"/>
      <c r="E35" s="14"/>
      <c r="F35" s="14"/>
      <c r="G35" s="275"/>
      <c r="H35" s="14"/>
      <c r="I35" s="288"/>
      <c r="J35" s="288"/>
      <c r="K35" s="288"/>
      <c r="L35" s="293"/>
      <c r="M35" s="506"/>
      <c r="N35" s="507"/>
    </row>
    <row r="36" spans="1:14" s="505" customFormat="1" ht="27" customHeight="1" x14ac:dyDescent="0.45">
      <c r="A36" s="297" t="s">
        <v>55</v>
      </c>
      <c r="B36" s="298">
        <v>25</v>
      </c>
      <c r="C36" s="275"/>
      <c r="D36" s="479" t="s">
        <v>56</v>
      </c>
      <c r="E36" s="480"/>
      <c r="F36" s="479" t="s">
        <v>57</v>
      </c>
      <c r="G36" s="481"/>
      <c r="H36" s="14"/>
      <c r="I36" s="14"/>
      <c r="J36" s="288"/>
      <c r="K36" s="288"/>
      <c r="L36" s="293"/>
      <c r="M36" s="506"/>
      <c r="N36" s="507"/>
    </row>
    <row r="37" spans="1:14" s="505" customFormat="1" ht="27" customHeight="1" x14ac:dyDescent="0.45">
      <c r="A37" s="299" t="s">
        <v>58</v>
      </c>
      <c r="B37" s="300">
        <v>2</v>
      </c>
      <c r="C37" s="301" t="s">
        <v>59</v>
      </c>
      <c r="D37" s="302" t="s">
        <v>60</v>
      </c>
      <c r="E37" s="303" t="s">
        <v>61</v>
      </c>
      <c r="F37" s="302" t="s">
        <v>60</v>
      </c>
      <c r="G37" s="304" t="s">
        <v>61</v>
      </c>
      <c r="H37" s="14"/>
      <c r="I37" s="305" t="s">
        <v>62</v>
      </c>
      <c r="J37" s="288"/>
      <c r="K37" s="288"/>
      <c r="L37" s="293"/>
      <c r="M37" s="506"/>
      <c r="N37" s="507"/>
    </row>
    <row r="38" spans="1:14" s="505" customFormat="1" ht="26.25" customHeight="1" x14ac:dyDescent="0.45">
      <c r="A38" s="299" t="s">
        <v>63</v>
      </c>
      <c r="B38" s="300">
        <v>50</v>
      </c>
      <c r="C38" s="306">
        <v>1</v>
      </c>
      <c r="D38" s="307">
        <v>12799325</v>
      </c>
      <c r="E38" s="308">
        <f>IF(ISBLANK(D38),"-",$D$48/$D$45*D38)</f>
        <v>9709643.5879783724</v>
      </c>
      <c r="F38" s="307">
        <v>9357359</v>
      </c>
      <c r="G38" s="309">
        <f>IF(ISBLANK(F38),"-",$D$48/$F$45*F38)</f>
        <v>9446939.6048025396</v>
      </c>
      <c r="H38" s="14"/>
      <c r="I38" s="310"/>
      <c r="J38" s="288"/>
      <c r="K38" s="288"/>
      <c r="L38" s="293"/>
      <c r="M38" s="506"/>
      <c r="N38" s="507"/>
    </row>
    <row r="39" spans="1:14" s="505" customFormat="1" ht="26.25" customHeight="1" x14ac:dyDescent="0.45">
      <c r="A39" s="299" t="s">
        <v>64</v>
      </c>
      <c r="B39" s="300">
        <v>1</v>
      </c>
      <c r="C39" s="311">
        <v>2</v>
      </c>
      <c r="D39" s="312">
        <v>12793296</v>
      </c>
      <c r="E39" s="313">
        <f>IF(ISBLANK(D39),"-",$D$48/$D$45*D39)</f>
        <v>9705069.9529474694</v>
      </c>
      <c r="F39" s="312">
        <v>9393286</v>
      </c>
      <c r="G39" s="314">
        <f>IF(ISBLANK(F39),"-",$D$48/$F$45*F39)</f>
        <v>9483210.5439833216</v>
      </c>
      <c r="H39" s="14"/>
      <c r="I39" s="483">
        <f>ABS((F43/D43*D42)-F42)/D42</f>
        <v>1.8331305287319185E-2</v>
      </c>
      <c r="J39" s="288"/>
      <c r="K39" s="288"/>
      <c r="L39" s="293"/>
      <c r="M39" s="506"/>
      <c r="N39" s="507"/>
    </row>
    <row r="40" spans="1:14" s="509" customFormat="1" ht="26.25" customHeight="1" x14ac:dyDescent="0.45">
      <c r="A40" s="299" t="s">
        <v>65</v>
      </c>
      <c r="B40" s="300">
        <v>1</v>
      </c>
      <c r="C40" s="311">
        <v>3</v>
      </c>
      <c r="D40" s="312">
        <v>12769177</v>
      </c>
      <c r="E40" s="313">
        <f>IF(ISBLANK(D40),"-",$D$48/$D$45*D40)</f>
        <v>9686773.1370061245</v>
      </c>
      <c r="F40" s="312">
        <v>9371665</v>
      </c>
      <c r="G40" s="314">
        <f>IF(ISBLANK(F40),"-",$D$48/$F$45*F40)</f>
        <v>9461382.5601263978</v>
      </c>
      <c r="H40" s="2"/>
      <c r="I40" s="483"/>
      <c r="J40" s="2"/>
      <c r="K40" s="2"/>
      <c r="L40" s="293"/>
      <c r="M40" s="506"/>
      <c r="N40" s="508"/>
    </row>
    <row r="41" spans="1:14" s="509" customFormat="1" ht="27" customHeight="1" x14ac:dyDescent="0.45">
      <c r="A41" s="299" t="s">
        <v>66</v>
      </c>
      <c r="B41" s="300">
        <v>1</v>
      </c>
      <c r="C41" s="316">
        <v>4</v>
      </c>
      <c r="D41" s="317"/>
      <c r="E41" s="318" t="str">
        <f>IF(ISBLANK(D41),"-",$D$48/$D$45*D41)</f>
        <v>-</v>
      </c>
      <c r="F41" s="317"/>
      <c r="G41" s="319" t="str">
        <f>IF(ISBLANK(F41),"-",$D$48/$F$45*F41)</f>
        <v>-</v>
      </c>
      <c r="H41" s="2"/>
      <c r="I41" s="320"/>
      <c r="J41" s="2"/>
      <c r="K41" s="2"/>
      <c r="L41" s="293"/>
      <c r="M41" s="506"/>
      <c r="N41" s="508"/>
    </row>
    <row r="42" spans="1:14" s="509" customFormat="1" ht="27" customHeight="1" x14ac:dyDescent="0.45">
      <c r="A42" s="299" t="s">
        <v>67</v>
      </c>
      <c r="B42" s="300">
        <v>1</v>
      </c>
      <c r="C42" s="321" t="s">
        <v>68</v>
      </c>
      <c r="D42" s="322">
        <f>AVERAGE(D38:D41)</f>
        <v>12787266</v>
      </c>
      <c r="E42" s="323">
        <f>AVERAGE(E38:E41)</f>
        <v>9700495.5593106542</v>
      </c>
      <c r="F42" s="322">
        <f>AVERAGE(F38:F41)</f>
        <v>9374103.333333334</v>
      </c>
      <c r="G42" s="324">
        <f>AVERAGE(G38:G41)</f>
        <v>9463844.2363040857</v>
      </c>
      <c r="H42" s="325"/>
      <c r="I42" s="2"/>
      <c r="J42" s="2"/>
      <c r="K42" s="2"/>
      <c r="L42" s="2"/>
    </row>
    <row r="43" spans="1:14" s="509" customFormat="1" ht="26.25" customHeight="1" x14ac:dyDescent="0.45">
      <c r="A43" s="299" t="s">
        <v>69</v>
      </c>
      <c r="B43" s="300">
        <v>1</v>
      </c>
      <c r="C43" s="326" t="s">
        <v>70</v>
      </c>
      <c r="D43" s="327">
        <v>26.55</v>
      </c>
      <c r="E43" s="315"/>
      <c r="F43" s="327">
        <v>19.95</v>
      </c>
      <c r="G43" s="2"/>
      <c r="H43" s="325"/>
      <c r="I43" s="2"/>
      <c r="J43" s="2"/>
      <c r="K43" s="2"/>
      <c r="L43" s="2"/>
    </row>
    <row r="44" spans="1:14" s="509" customFormat="1" ht="26.25" customHeight="1" x14ac:dyDescent="0.45">
      <c r="A44" s="299" t="s">
        <v>71</v>
      </c>
      <c r="B44" s="300">
        <v>1</v>
      </c>
      <c r="C44" s="328" t="s">
        <v>72</v>
      </c>
      <c r="D44" s="329">
        <f>D43*$B$34</f>
        <v>26.55</v>
      </c>
      <c r="E44" s="330"/>
      <c r="F44" s="329">
        <f>F43*$B$34</f>
        <v>19.95</v>
      </c>
      <c r="G44" s="2"/>
      <c r="H44" s="325"/>
      <c r="I44" s="2"/>
      <c r="J44" s="2"/>
      <c r="K44" s="2"/>
      <c r="L44" s="2"/>
    </row>
    <row r="45" spans="1:14" s="509" customFormat="1" ht="19.5" customHeight="1" x14ac:dyDescent="0.35">
      <c r="A45" s="299" t="s">
        <v>73</v>
      </c>
      <c r="B45" s="331">
        <f>(B44/B43)*(B42/B41)*(B40/B39)*(B38/B37)*B36</f>
        <v>625</v>
      </c>
      <c r="C45" s="328" t="s">
        <v>74</v>
      </c>
      <c r="D45" s="332">
        <f>D44*$B$30/100</f>
        <v>26.364149999999999</v>
      </c>
      <c r="E45" s="333"/>
      <c r="F45" s="332">
        <f>F44*$B$30/100</f>
        <v>19.81035</v>
      </c>
      <c r="G45" s="2"/>
      <c r="H45" s="325"/>
      <c r="I45" s="2"/>
      <c r="J45" s="2"/>
      <c r="K45" s="2"/>
      <c r="L45" s="2"/>
    </row>
    <row r="46" spans="1:14" s="509" customFormat="1" ht="19.5" customHeight="1" x14ac:dyDescent="0.35">
      <c r="A46" s="484" t="s">
        <v>75</v>
      </c>
      <c r="B46" s="485"/>
      <c r="C46" s="328" t="s">
        <v>76</v>
      </c>
      <c r="D46" s="334">
        <f>D45/$B$45</f>
        <v>4.218264E-2</v>
      </c>
      <c r="E46" s="335"/>
      <c r="F46" s="336">
        <f>F45/$B$45</f>
        <v>3.1696559999999999E-2</v>
      </c>
      <c r="G46" s="2"/>
      <c r="H46" s="325"/>
      <c r="I46" s="2"/>
      <c r="J46" s="2"/>
      <c r="K46" s="2"/>
      <c r="L46" s="2"/>
    </row>
    <row r="47" spans="1:14" s="509" customFormat="1" ht="27" customHeight="1" x14ac:dyDescent="0.45">
      <c r="A47" s="486"/>
      <c r="B47" s="487"/>
      <c r="C47" s="337" t="s">
        <v>77</v>
      </c>
      <c r="D47" s="338">
        <v>3.2000000000000001E-2</v>
      </c>
      <c r="E47" s="339"/>
      <c r="F47" s="335"/>
      <c r="G47" s="2"/>
      <c r="H47" s="325"/>
      <c r="I47" s="2"/>
      <c r="J47" s="2"/>
      <c r="K47" s="2"/>
      <c r="L47" s="2"/>
    </row>
    <row r="48" spans="1:14" s="509" customFormat="1" ht="18" x14ac:dyDescent="0.35">
      <c r="A48" s="2"/>
      <c r="B48" s="2"/>
      <c r="C48" s="340" t="s">
        <v>78</v>
      </c>
      <c r="D48" s="332">
        <f>D47*$B$45</f>
        <v>20</v>
      </c>
      <c r="E48" s="2"/>
      <c r="F48" s="341"/>
      <c r="G48" s="2"/>
      <c r="H48" s="325"/>
      <c r="I48" s="2"/>
      <c r="J48" s="2"/>
      <c r="K48" s="2"/>
      <c r="L48" s="2"/>
    </row>
    <row r="49" spans="1:12" s="509" customFormat="1" ht="19.5" customHeight="1" x14ac:dyDescent="0.35">
      <c r="A49" s="2"/>
      <c r="B49" s="2"/>
      <c r="C49" s="342" t="s">
        <v>79</v>
      </c>
      <c r="D49" s="343">
        <f>D48/B34</f>
        <v>20</v>
      </c>
      <c r="E49" s="2"/>
      <c r="F49" s="341"/>
      <c r="G49" s="2"/>
      <c r="H49" s="325"/>
      <c r="I49" s="2"/>
      <c r="J49" s="2"/>
      <c r="K49" s="2"/>
      <c r="L49" s="2"/>
    </row>
    <row r="50" spans="1:12" s="509" customFormat="1" ht="18" x14ac:dyDescent="0.35">
      <c r="A50" s="2"/>
      <c r="B50" s="2"/>
      <c r="C50" s="297" t="s">
        <v>80</v>
      </c>
      <c r="D50" s="344">
        <f>AVERAGE(E38:E41,G38:G41)</f>
        <v>9582169.897807369</v>
      </c>
      <c r="E50" s="2"/>
      <c r="F50" s="345"/>
      <c r="G50" s="2"/>
      <c r="H50" s="325"/>
      <c r="I50" s="2"/>
      <c r="J50" s="2"/>
      <c r="K50" s="2"/>
      <c r="L50" s="2"/>
    </row>
    <row r="51" spans="1:12" s="509" customFormat="1" ht="18" x14ac:dyDescent="0.35">
      <c r="A51" s="2"/>
      <c r="B51" s="2"/>
      <c r="C51" s="299" t="s">
        <v>81</v>
      </c>
      <c r="D51" s="346">
        <f>STDEV(E38:E41,G38:G41)/D50</f>
        <v>1.3604187775529162E-2</v>
      </c>
      <c r="E51" s="2"/>
      <c r="F51" s="345"/>
      <c r="G51" s="2"/>
      <c r="H51" s="325"/>
      <c r="I51" s="2"/>
      <c r="J51" s="2"/>
      <c r="K51" s="2"/>
      <c r="L51" s="2"/>
    </row>
    <row r="52" spans="1:12" s="509" customFormat="1" ht="19.5" customHeight="1" x14ac:dyDescent="0.35">
      <c r="A52" s="2"/>
      <c r="B52" s="2"/>
      <c r="C52" s="347" t="s">
        <v>18</v>
      </c>
      <c r="D52" s="348">
        <f>COUNT(E38:E41,G38:G41)</f>
        <v>6</v>
      </c>
      <c r="E52" s="2"/>
      <c r="F52" s="345"/>
      <c r="G52" s="2"/>
      <c r="H52" s="2"/>
      <c r="I52" s="2"/>
      <c r="J52" s="2"/>
      <c r="K52" s="2"/>
      <c r="L52" s="2"/>
    </row>
    <row r="53" spans="1:12" s="509" customForma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s="509" customFormat="1" ht="18" x14ac:dyDescent="0.35">
      <c r="A54" s="349" t="s">
        <v>1</v>
      </c>
      <c r="B54" s="350" t="s">
        <v>82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s="509" customFormat="1" ht="18" x14ac:dyDescent="0.35">
      <c r="A55" s="275" t="s">
        <v>83</v>
      </c>
      <c r="B55" s="351" t="str">
        <f>B21</f>
        <v>Trimethoprim 160 mg per tablet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s="509" customFormat="1" ht="26.25" customHeight="1" x14ac:dyDescent="0.45">
      <c r="A56" s="352" t="s">
        <v>84</v>
      </c>
      <c r="B56" s="353">
        <v>160</v>
      </c>
      <c r="C56" s="275" t="str">
        <f>B20</f>
        <v>Each tablet contains sulphamethoxazole 800 mg and Trimethoprim 160 mg.</v>
      </c>
      <c r="D56" s="2"/>
      <c r="E56" s="2"/>
      <c r="F56" s="2"/>
      <c r="G56" s="2"/>
      <c r="H56" s="354"/>
      <c r="I56" s="2"/>
      <c r="J56" s="2"/>
      <c r="K56" s="2"/>
      <c r="L56" s="2"/>
    </row>
    <row r="57" spans="1:12" s="509" customFormat="1" ht="18" x14ac:dyDescent="0.35">
      <c r="A57" s="351" t="s">
        <v>85</v>
      </c>
      <c r="B57" s="443">
        <f>Uniformity!C46</f>
        <v>1047.5234999999998</v>
      </c>
      <c r="C57" s="2"/>
      <c r="D57" s="2"/>
      <c r="E57" s="2"/>
      <c r="F57" s="2"/>
      <c r="G57" s="2"/>
      <c r="H57" s="354"/>
      <c r="I57" s="2"/>
      <c r="J57" s="2"/>
      <c r="K57" s="2"/>
      <c r="L57" s="2"/>
    </row>
    <row r="58" spans="1:12" s="509" customFormat="1" ht="19.5" customHeight="1" x14ac:dyDescent="0.35">
      <c r="A58" s="2"/>
      <c r="B58" s="2"/>
      <c r="C58" s="2"/>
      <c r="D58" s="2"/>
      <c r="E58" s="2"/>
      <c r="F58" s="2"/>
      <c r="G58" s="2"/>
      <c r="H58" s="354"/>
      <c r="I58" s="2"/>
      <c r="J58" s="2"/>
      <c r="K58" s="2"/>
      <c r="L58" s="2"/>
    </row>
    <row r="59" spans="1:12" s="505" customFormat="1" ht="27" customHeight="1" x14ac:dyDescent="0.45">
      <c r="A59" s="297" t="s">
        <v>86</v>
      </c>
      <c r="B59" s="298">
        <v>200</v>
      </c>
      <c r="C59" s="275"/>
      <c r="D59" s="355" t="s">
        <v>87</v>
      </c>
      <c r="E59" s="356" t="s">
        <v>59</v>
      </c>
      <c r="F59" s="356" t="s">
        <v>60</v>
      </c>
      <c r="G59" s="356" t="s">
        <v>88</v>
      </c>
      <c r="H59" s="301" t="s">
        <v>89</v>
      </c>
      <c r="I59" s="14"/>
      <c r="J59" s="14"/>
      <c r="K59" s="14"/>
      <c r="L59" s="288"/>
    </row>
    <row r="60" spans="1:12" s="505" customFormat="1" ht="26.25" customHeight="1" x14ac:dyDescent="0.45">
      <c r="A60" s="299" t="s">
        <v>90</v>
      </c>
      <c r="B60" s="300">
        <v>2</v>
      </c>
      <c r="C60" s="488" t="s">
        <v>91</v>
      </c>
      <c r="D60" s="491">
        <v>1046.32</v>
      </c>
      <c r="E60" s="357">
        <v>1</v>
      </c>
      <c r="F60" s="358">
        <v>9495240</v>
      </c>
      <c r="G60" s="444">
        <f>IF(ISBLANK(F60),"-",(F60/$D$50*$D$47*$B$68)*($B$57/$D$60))</f>
        <v>158.73083834257559</v>
      </c>
      <c r="H60" s="359">
        <f t="shared" ref="H60:H71" si="0">IF(ISBLANK(F60),"-",G60/$B$56)</f>
        <v>0.99206773964109751</v>
      </c>
      <c r="I60" s="14"/>
      <c r="J60" s="14"/>
      <c r="K60" s="14"/>
      <c r="L60" s="288"/>
    </row>
    <row r="61" spans="1:12" s="505" customFormat="1" ht="26.25" customHeight="1" x14ac:dyDescent="0.45">
      <c r="A61" s="299" t="s">
        <v>92</v>
      </c>
      <c r="B61" s="300">
        <v>50</v>
      </c>
      <c r="C61" s="489"/>
      <c r="D61" s="492"/>
      <c r="E61" s="360">
        <v>2</v>
      </c>
      <c r="F61" s="312">
        <v>9537129</v>
      </c>
      <c r="G61" s="445">
        <f>IF(ISBLANK(F61),"-",(F61/$D$50*$D$47*$B$68)*($B$57/$D$60))</f>
        <v>159.43109195252458</v>
      </c>
      <c r="H61" s="361">
        <f t="shared" si="0"/>
        <v>0.99644432470327859</v>
      </c>
      <c r="I61" s="14"/>
      <c r="J61" s="14"/>
      <c r="K61" s="14"/>
      <c r="L61" s="288"/>
    </row>
    <row r="62" spans="1:12" s="505" customFormat="1" ht="26.25" customHeight="1" x14ac:dyDescent="0.45">
      <c r="A62" s="299" t="s">
        <v>93</v>
      </c>
      <c r="B62" s="300">
        <v>1</v>
      </c>
      <c r="C62" s="489"/>
      <c r="D62" s="492"/>
      <c r="E62" s="360">
        <v>3</v>
      </c>
      <c r="F62" s="362">
        <v>9512866</v>
      </c>
      <c r="G62" s="445">
        <f>IF(ISBLANK(F62),"-",(F62/$D$50*$D$47*$B$68)*($B$57/$D$60))</f>
        <v>159.02549016355391</v>
      </c>
      <c r="H62" s="361">
        <f t="shared" si="0"/>
        <v>0.9939093135222119</v>
      </c>
      <c r="I62" s="14"/>
      <c r="J62" s="14"/>
      <c r="K62" s="14"/>
      <c r="L62" s="288"/>
    </row>
    <row r="63" spans="1:12" s="509" customFormat="1" ht="27" customHeight="1" thickBot="1" x14ac:dyDescent="0.5">
      <c r="A63" s="299" t="s">
        <v>94</v>
      </c>
      <c r="B63" s="300">
        <v>1</v>
      </c>
      <c r="C63" s="490"/>
      <c r="D63" s="493"/>
      <c r="E63" s="363">
        <v>4</v>
      </c>
      <c r="F63" s="364"/>
      <c r="G63" s="445" t="str">
        <f>IF(ISBLANK(F63),"-",(F63/$D$50*$D$47*$B$68)*($B$57/$D$60))</f>
        <v>-</v>
      </c>
      <c r="H63" s="361" t="str">
        <f t="shared" si="0"/>
        <v>-</v>
      </c>
      <c r="I63" s="2"/>
      <c r="J63" s="2"/>
      <c r="K63" s="2"/>
      <c r="L63" s="2"/>
    </row>
    <row r="64" spans="1:12" s="509" customFormat="1" ht="26.25" customHeight="1" x14ac:dyDescent="0.45">
      <c r="A64" s="299" t="s">
        <v>95</v>
      </c>
      <c r="B64" s="300">
        <v>1</v>
      </c>
      <c r="C64" s="488" t="s">
        <v>96</v>
      </c>
      <c r="D64" s="491">
        <v>1053.96</v>
      </c>
      <c r="E64" s="357">
        <v>1</v>
      </c>
      <c r="F64" s="358">
        <v>9585292</v>
      </c>
      <c r="G64" s="446">
        <f>IF(ISBLANK(F64),"-",(F64/$D$50*$D$47*$B$68)*($B$57/$D$64))</f>
        <v>159.07469861254165</v>
      </c>
      <c r="H64" s="365">
        <f t="shared" si="0"/>
        <v>0.99421686632838535</v>
      </c>
      <c r="I64" s="2"/>
      <c r="J64" s="2"/>
      <c r="K64" s="2"/>
      <c r="L64" s="2"/>
    </row>
    <row r="65" spans="1:12" s="509" customFormat="1" ht="26.25" customHeight="1" x14ac:dyDescent="0.45">
      <c r="A65" s="299" t="s">
        <v>97</v>
      </c>
      <c r="B65" s="300">
        <v>1</v>
      </c>
      <c r="C65" s="489"/>
      <c r="D65" s="492"/>
      <c r="E65" s="360">
        <v>2</v>
      </c>
      <c r="F65" s="312">
        <v>9587860</v>
      </c>
      <c r="G65" s="447">
        <f>IF(ISBLANK(F65),"-",(F65/$D$50*$D$47*$B$68)*($B$57/$D$64))</f>
        <v>159.11731638840459</v>
      </c>
      <c r="H65" s="366">
        <f t="shared" si="0"/>
        <v>0.9944832274275287</v>
      </c>
      <c r="I65" s="2"/>
      <c r="J65" s="2"/>
      <c r="K65" s="2"/>
      <c r="L65" s="2"/>
    </row>
    <row r="66" spans="1:12" s="509" customFormat="1" ht="26.25" customHeight="1" x14ac:dyDescent="0.45">
      <c r="A66" s="299" t="s">
        <v>98</v>
      </c>
      <c r="B66" s="300">
        <v>1</v>
      </c>
      <c r="C66" s="489"/>
      <c r="D66" s="492"/>
      <c r="E66" s="360">
        <v>3</v>
      </c>
      <c r="F66" s="312">
        <v>9594486</v>
      </c>
      <c r="G66" s="447">
        <f>IF(ISBLANK(F66),"-",(F66/$D$50*$D$47*$B$68)*($B$57/$D$64))</f>
        <v>159.22727954372704</v>
      </c>
      <c r="H66" s="366">
        <f t="shared" si="0"/>
        <v>0.99517049714829398</v>
      </c>
      <c r="I66" s="2"/>
      <c r="J66" s="2"/>
      <c r="K66" s="2"/>
      <c r="L66" s="2"/>
    </row>
    <row r="67" spans="1:12" s="509" customFormat="1" ht="27" customHeight="1" thickBot="1" x14ac:dyDescent="0.5">
      <c r="A67" s="299" t="s">
        <v>99</v>
      </c>
      <c r="B67" s="300">
        <v>1</v>
      </c>
      <c r="C67" s="490"/>
      <c r="D67" s="493"/>
      <c r="E67" s="363">
        <v>4</v>
      </c>
      <c r="F67" s="364"/>
      <c r="G67" s="448" t="str">
        <f>IF(ISBLANK(F67),"-",(F67/$D$50*$D$47*$B$68)*($B$57/$D$64))</f>
        <v>-</v>
      </c>
      <c r="H67" s="367" t="str">
        <f t="shared" si="0"/>
        <v>-</v>
      </c>
      <c r="I67" s="2"/>
      <c r="J67" s="2"/>
      <c r="K67" s="2"/>
      <c r="L67" s="2"/>
    </row>
    <row r="68" spans="1:12" s="509" customFormat="1" ht="26.25" customHeight="1" x14ac:dyDescent="0.5">
      <c r="A68" s="299" t="s">
        <v>100</v>
      </c>
      <c r="B68" s="368">
        <f>(B67/B66)*(B65/B64)*(B63/B62)*(B61/B60)*B59</f>
        <v>5000</v>
      </c>
      <c r="C68" s="488" t="s">
        <v>101</v>
      </c>
      <c r="D68" s="491">
        <v>1045.25</v>
      </c>
      <c r="E68" s="357">
        <v>1</v>
      </c>
      <c r="F68" s="358">
        <v>9593247</v>
      </c>
      <c r="G68" s="446">
        <f>IF(ISBLANK(F68),"-",(F68/$D$50*$D$47*$B$68)*($B$57/$D$68))</f>
        <v>160.53337664376784</v>
      </c>
      <c r="H68" s="361">
        <f t="shared" si="0"/>
        <v>1.003333604023549</v>
      </c>
      <c r="I68" s="2"/>
      <c r="J68" s="2"/>
      <c r="K68" s="2"/>
      <c r="L68" s="2"/>
    </row>
    <row r="69" spans="1:12" s="509" customFormat="1" ht="27" customHeight="1" thickBot="1" x14ac:dyDescent="0.55000000000000004">
      <c r="A69" s="347" t="s">
        <v>102</v>
      </c>
      <c r="B69" s="369">
        <f>(D47*B68)/B56*B57</f>
        <v>1047.5234999999998</v>
      </c>
      <c r="C69" s="489"/>
      <c r="D69" s="492"/>
      <c r="E69" s="360">
        <v>2</v>
      </c>
      <c r="F69" s="312">
        <v>9587832</v>
      </c>
      <c r="G69" s="447">
        <f>IF(ISBLANK(F69),"-",(F69/$D$50*$D$47*$B$68)*($B$57/$D$68))</f>
        <v>160.44276204429741</v>
      </c>
      <c r="H69" s="361">
        <f t="shared" si="0"/>
        <v>1.0027672627768589</v>
      </c>
      <c r="I69" s="2"/>
      <c r="J69" s="2"/>
      <c r="K69" s="2"/>
      <c r="L69" s="2"/>
    </row>
    <row r="70" spans="1:12" s="509" customFormat="1" ht="26.25" customHeight="1" x14ac:dyDescent="0.45">
      <c r="A70" s="501" t="s">
        <v>75</v>
      </c>
      <c r="B70" s="502"/>
      <c r="C70" s="489"/>
      <c r="D70" s="492"/>
      <c r="E70" s="360">
        <v>3</v>
      </c>
      <c r="F70" s="312">
        <v>9587872</v>
      </c>
      <c r="G70" s="447">
        <f>IF(ISBLANK(F70),"-",(F70/$D$50*$D$47*$B$68)*($B$57/$D$68))</f>
        <v>160.44343140421961</v>
      </c>
      <c r="H70" s="361">
        <f t="shared" si="0"/>
        <v>1.0027714462763726</v>
      </c>
      <c r="I70" s="2"/>
      <c r="J70" s="2"/>
      <c r="K70" s="2"/>
      <c r="L70" s="2"/>
    </row>
    <row r="71" spans="1:12" s="509" customFormat="1" ht="27" customHeight="1" thickBot="1" x14ac:dyDescent="0.5">
      <c r="A71" s="503"/>
      <c r="B71" s="504"/>
      <c r="C71" s="500"/>
      <c r="D71" s="493"/>
      <c r="E71" s="363">
        <v>4</v>
      </c>
      <c r="F71" s="364"/>
      <c r="G71" s="448" t="str">
        <f>IF(ISBLANK(F71),"-",(F71/$D$50*$D$47*$B$68)*($B$57/$D$68))</f>
        <v>-</v>
      </c>
      <c r="H71" s="370" t="str">
        <f t="shared" si="0"/>
        <v>-</v>
      </c>
      <c r="I71" s="2"/>
      <c r="J71" s="2"/>
      <c r="K71" s="2"/>
      <c r="L71" s="2"/>
    </row>
    <row r="72" spans="1:12" s="509" customFormat="1" ht="26.25" customHeight="1" x14ac:dyDescent="0.45">
      <c r="A72" s="371"/>
      <c r="B72" s="371"/>
      <c r="C72" s="371"/>
      <c r="D72" s="371"/>
      <c r="E72" s="371"/>
      <c r="F72" s="373" t="s">
        <v>68</v>
      </c>
      <c r="G72" s="453">
        <f>AVERAGE(G60:G71)</f>
        <v>159.55847612173471</v>
      </c>
      <c r="H72" s="374">
        <f>AVERAGE(H60:H71)</f>
        <v>0.99724047576084196</v>
      </c>
      <c r="I72" s="2"/>
      <c r="J72" s="2"/>
      <c r="K72" s="2"/>
      <c r="L72" s="2"/>
    </row>
    <row r="73" spans="1:12" s="509" customFormat="1" ht="26.25" customHeight="1" x14ac:dyDescent="0.45">
      <c r="A73" s="2"/>
      <c r="B73" s="2"/>
      <c r="C73" s="371"/>
      <c r="D73" s="371"/>
      <c r="E73" s="371"/>
      <c r="F73" s="375" t="s">
        <v>81</v>
      </c>
      <c r="G73" s="449">
        <f>STDEV(G60:G71)/G72</f>
        <v>4.4532962231371145E-3</v>
      </c>
      <c r="H73" s="449">
        <f>STDEV(H60:H71)/H72</f>
        <v>4.453296223137131E-3</v>
      </c>
      <c r="I73" s="2"/>
      <c r="J73" s="2"/>
      <c r="K73" s="2"/>
      <c r="L73" s="2"/>
    </row>
    <row r="74" spans="1:12" s="509" customFormat="1" ht="27" customHeight="1" x14ac:dyDescent="0.45">
      <c r="A74" s="371"/>
      <c r="B74" s="371"/>
      <c r="C74" s="372"/>
      <c r="D74" s="372"/>
      <c r="E74" s="376"/>
      <c r="F74" s="377" t="s">
        <v>18</v>
      </c>
      <c r="G74" s="378">
        <f>COUNT(G60:G71)</f>
        <v>9</v>
      </c>
      <c r="H74" s="378">
        <f>COUNT(H60:H71)</f>
        <v>9</v>
      </c>
      <c r="I74" s="2"/>
      <c r="J74" s="2"/>
      <c r="K74" s="2"/>
      <c r="L74" s="2"/>
    </row>
    <row r="75" spans="1:12" s="509" customForma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s="509" customFormat="1" ht="26.25" customHeight="1" x14ac:dyDescent="0.45">
      <c r="A76" s="284" t="s">
        <v>103</v>
      </c>
      <c r="B76" s="379" t="s">
        <v>104</v>
      </c>
      <c r="C76" s="496" t="str">
        <f>B79</f>
        <v>Trimethoprim</v>
      </c>
      <c r="D76" s="496"/>
      <c r="E76" s="380" t="s">
        <v>105</v>
      </c>
      <c r="F76" s="380"/>
      <c r="G76" s="381">
        <f>H72</f>
        <v>0.99724047576084196</v>
      </c>
      <c r="H76" s="382"/>
      <c r="I76" s="2"/>
      <c r="J76" s="2"/>
      <c r="K76" s="2"/>
      <c r="L76" s="2"/>
    </row>
    <row r="77" spans="1:12" s="509" customFormat="1" ht="18" x14ac:dyDescent="0.35">
      <c r="A77" s="283" t="s">
        <v>106</v>
      </c>
      <c r="B77" s="283" t="s">
        <v>107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s="509" customFormat="1" ht="18" x14ac:dyDescent="0.35">
      <c r="A78" s="283"/>
      <c r="B78" s="283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s="509" customFormat="1" ht="26.25" customHeight="1" x14ac:dyDescent="0.45">
      <c r="A79" s="284" t="s">
        <v>4</v>
      </c>
      <c r="B79" s="482" t="str">
        <f>B26</f>
        <v>Trimethoprim</v>
      </c>
      <c r="C79" s="482"/>
      <c r="D79" s="2"/>
      <c r="E79" s="2"/>
      <c r="F79" s="2"/>
      <c r="G79" s="2"/>
      <c r="H79" s="2"/>
      <c r="I79" s="2"/>
      <c r="J79" s="2"/>
      <c r="K79" s="2"/>
      <c r="L79" s="2"/>
    </row>
    <row r="80" spans="1:12" s="509" customFormat="1" ht="26.25" customHeight="1" x14ac:dyDescent="0.45">
      <c r="A80" s="285" t="s">
        <v>45</v>
      </c>
      <c r="B80" s="383" t="str">
        <f>B27</f>
        <v>T14 9</v>
      </c>
      <c r="C80" s="529"/>
      <c r="D80" s="2"/>
      <c r="E80" s="2"/>
      <c r="F80" s="2"/>
      <c r="G80" s="2"/>
      <c r="H80" s="2"/>
      <c r="I80" s="2"/>
      <c r="J80" s="2"/>
      <c r="K80" s="2"/>
      <c r="L80" s="2"/>
    </row>
    <row r="81" spans="1:12" s="509" customFormat="1" ht="27" customHeight="1" thickBot="1" x14ac:dyDescent="0.5">
      <c r="A81" s="285" t="s">
        <v>6</v>
      </c>
      <c r="B81" s="383">
        <f>B28</f>
        <v>99.3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s="505" customFormat="1" ht="27" customHeight="1" x14ac:dyDescent="0.5">
      <c r="A82" s="285" t="s">
        <v>46</v>
      </c>
      <c r="B82" s="287">
        <v>0</v>
      </c>
      <c r="C82" s="473" t="s">
        <v>47</v>
      </c>
      <c r="D82" s="474"/>
      <c r="E82" s="474"/>
      <c r="F82" s="474"/>
      <c r="G82" s="475"/>
      <c r="H82" s="14"/>
      <c r="I82" s="288"/>
      <c r="J82" s="288"/>
      <c r="K82" s="288"/>
      <c r="L82" s="288"/>
    </row>
    <row r="83" spans="1:12" s="505" customFormat="1" ht="19.5" customHeight="1" x14ac:dyDescent="0.35">
      <c r="A83" s="285" t="s">
        <v>48</v>
      </c>
      <c r="B83" s="289">
        <f>B81-B82</f>
        <v>99.3</v>
      </c>
      <c r="C83" s="290"/>
      <c r="D83" s="290"/>
      <c r="E83" s="290"/>
      <c r="F83" s="290"/>
      <c r="G83" s="291"/>
      <c r="H83" s="14"/>
      <c r="I83" s="288"/>
      <c r="J83" s="288"/>
      <c r="K83" s="288"/>
      <c r="L83" s="288"/>
    </row>
    <row r="84" spans="1:12" s="505" customFormat="1" ht="27" customHeight="1" x14ac:dyDescent="0.45">
      <c r="A84" s="285" t="s">
        <v>49</v>
      </c>
      <c r="B84" s="292">
        <v>1</v>
      </c>
      <c r="C84" s="476" t="s">
        <v>108</v>
      </c>
      <c r="D84" s="477"/>
      <c r="E84" s="477"/>
      <c r="F84" s="477"/>
      <c r="G84" s="477"/>
      <c r="H84" s="478"/>
      <c r="I84" s="288"/>
      <c r="J84" s="288"/>
      <c r="K84" s="288"/>
      <c r="L84" s="288"/>
    </row>
    <row r="85" spans="1:12" s="505" customFormat="1" ht="27" customHeight="1" x14ac:dyDescent="0.45">
      <c r="A85" s="285" t="s">
        <v>51</v>
      </c>
      <c r="B85" s="292">
        <v>1</v>
      </c>
      <c r="C85" s="476" t="s">
        <v>109</v>
      </c>
      <c r="D85" s="477"/>
      <c r="E85" s="477"/>
      <c r="F85" s="477"/>
      <c r="G85" s="477"/>
      <c r="H85" s="478"/>
      <c r="I85" s="288"/>
      <c r="J85" s="288"/>
      <c r="K85" s="288"/>
      <c r="L85" s="288"/>
    </row>
    <row r="86" spans="1:12" s="505" customFormat="1" ht="18" x14ac:dyDescent="0.35">
      <c r="A86" s="285"/>
      <c r="B86" s="294"/>
      <c r="C86" s="295"/>
      <c r="D86" s="295"/>
      <c r="E86" s="295"/>
      <c r="F86" s="295"/>
      <c r="G86" s="295"/>
      <c r="H86" s="295"/>
      <c r="I86" s="288"/>
      <c r="J86" s="288"/>
      <c r="K86" s="288"/>
      <c r="L86" s="288"/>
    </row>
    <row r="87" spans="1:12" s="505" customFormat="1" ht="18" x14ac:dyDescent="0.35">
      <c r="A87" s="285" t="s">
        <v>53</v>
      </c>
      <c r="B87" s="296">
        <f>B84/B85</f>
        <v>1</v>
      </c>
      <c r="C87" s="275" t="s">
        <v>54</v>
      </c>
      <c r="D87" s="275"/>
      <c r="E87" s="275"/>
      <c r="F87" s="275"/>
      <c r="G87" s="275"/>
      <c r="H87" s="14"/>
      <c r="I87" s="288"/>
      <c r="J87" s="288"/>
      <c r="K87" s="288"/>
      <c r="L87" s="288"/>
    </row>
    <row r="88" spans="1:12" s="509" customFormat="1" ht="19.5" customHeight="1" x14ac:dyDescent="0.35">
      <c r="A88" s="283"/>
      <c r="B88" s="283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s="509" customFormat="1" ht="27" customHeight="1" x14ac:dyDescent="0.45">
      <c r="A89" s="297" t="s">
        <v>55</v>
      </c>
      <c r="B89" s="298">
        <v>25</v>
      </c>
      <c r="C89" s="2"/>
      <c r="D89" s="384" t="s">
        <v>56</v>
      </c>
      <c r="E89" s="385"/>
      <c r="F89" s="479" t="s">
        <v>57</v>
      </c>
      <c r="G89" s="481"/>
      <c r="H89" s="2"/>
      <c r="I89" s="2"/>
      <c r="J89" s="2"/>
      <c r="K89" s="2"/>
      <c r="L89" s="2"/>
    </row>
    <row r="90" spans="1:12" ht="27" customHeight="1" x14ac:dyDescent="0.45">
      <c r="A90" s="299" t="s">
        <v>58</v>
      </c>
      <c r="B90" s="300">
        <v>2</v>
      </c>
      <c r="C90" s="386" t="s">
        <v>59</v>
      </c>
      <c r="D90" s="302" t="s">
        <v>60</v>
      </c>
      <c r="E90" s="303" t="s">
        <v>61</v>
      </c>
      <c r="F90" s="302" t="s">
        <v>60</v>
      </c>
      <c r="G90" s="387" t="s">
        <v>61</v>
      </c>
      <c r="I90" s="305" t="s">
        <v>62</v>
      </c>
    </row>
    <row r="91" spans="1:12" ht="26.25" customHeight="1" x14ac:dyDescent="0.45">
      <c r="A91" s="299" t="s">
        <v>63</v>
      </c>
      <c r="B91" s="300">
        <v>50</v>
      </c>
      <c r="C91" s="388">
        <v>1</v>
      </c>
      <c r="D91" s="307">
        <v>12873112</v>
      </c>
      <c r="E91" s="308">
        <f>IF(ISBLANK(D91),"-",$D$101/$D$98*D91)</f>
        <v>10850687.602503989</v>
      </c>
      <c r="F91" s="307">
        <v>9449157</v>
      </c>
      <c r="G91" s="309">
        <f>IF(ISBLANK(F91),"-",$D$101/$F$98*F91)</f>
        <v>10599573.791814212</v>
      </c>
      <c r="I91" s="310"/>
    </row>
    <row r="92" spans="1:12" ht="26.25" customHeight="1" x14ac:dyDescent="0.45">
      <c r="A92" s="299" t="s">
        <v>64</v>
      </c>
      <c r="B92" s="300">
        <v>1</v>
      </c>
      <c r="C92" s="372">
        <v>2</v>
      </c>
      <c r="D92" s="312">
        <v>12875336</v>
      </c>
      <c r="E92" s="313">
        <f>IF(ISBLANK(D92),"-",$D$101/$D$98*D92)</f>
        <v>10852562.201996945</v>
      </c>
      <c r="F92" s="312">
        <v>9457705</v>
      </c>
      <c r="G92" s="314">
        <f>IF(ISBLANK(F92),"-",$D$101/$F$98*F92)</f>
        <v>10609162.494464874</v>
      </c>
      <c r="I92" s="483">
        <f>ABS((F96/D96*D95)-F95)/D95</f>
        <v>1.6922454903584586E-2</v>
      </c>
    </row>
    <row r="93" spans="1:12" ht="26.25" customHeight="1" x14ac:dyDescent="0.45">
      <c r="A93" s="299" t="s">
        <v>65</v>
      </c>
      <c r="B93" s="300">
        <v>1</v>
      </c>
      <c r="C93" s="372">
        <v>3</v>
      </c>
      <c r="D93" s="312">
        <v>12881050</v>
      </c>
      <c r="E93" s="313">
        <f>IF(ISBLANK(D93),"-",$D$101/$D$98*D93)</f>
        <v>10857378.506629478</v>
      </c>
      <c r="F93" s="312">
        <v>9466117</v>
      </c>
      <c r="G93" s="314">
        <f>IF(ISBLANK(F93),"-",$D$101/$F$98*F93)</f>
        <v>10618598.639375659</v>
      </c>
      <c r="I93" s="483"/>
    </row>
    <row r="94" spans="1:12" ht="27" customHeight="1" x14ac:dyDescent="0.45">
      <c r="A94" s="299" t="s">
        <v>66</v>
      </c>
      <c r="B94" s="300">
        <v>1</v>
      </c>
      <c r="C94" s="389">
        <v>4</v>
      </c>
      <c r="D94" s="317"/>
      <c r="E94" s="318" t="str">
        <f>IF(ISBLANK(D94),"-",$D$101/$D$98*D94)</f>
        <v>-</v>
      </c>
      <c r="F94" s="390"/>
      <c r="G94" s="319" t="str">
        <f>IF(ISBLANK(F94),"-",$D$101/$F$98*F94)</f>
        <v>-</v>
      </c>
      <c r="I94" s="320"/>
    </row>
    <row r="95" spans="1:12" ht="27" customHeight="1" x14ac:dyDescent="0.45">
      <c r="A95" s="299" t="s">
        <v>67</v>
      </c>
      <c r="B95" s="300">
        <v>1</v>
      </c>
      <c r="C95" s="391" t="s">
        <v>68</v>
      </c>
      <c r="D95" s="392">
        <f>AVERAGE(D91:D94)</f>
        <v>12876499.333333334</v>
      </c>
      <c r="E95" s="323">
        <f>AVERAGE(E91:E94)</f>
        <v>10853542.770376803</v>
      </c>
      <c r="F95" s="393">
        <f>AVERAGE(F91:F94)</f>
        <v>9457659.666666666</v>
      </c>
      <c r="G95" s="394">
        <f>AVERAGE(G91:G94)</f>
        <v>10609111.641884916</v>
      </c>
    </row>
    <row r="96" spans="1:12" ht="26.25" customHeight="1" x14ac:dyDescent="0.45">
      <c r="A96" s="299" t="s">
        <v>69</v>
      </c>
      <c r="B96" s="286">
        <v>1</v>
      </c>
      <c r="C96" s="395" t="s">
        <v>110</v>
      </c>
      <c r="D96" s="396">
        <v>26.55</v>
      </c>
      <c r="E96" s="315"/>
      <c r="F96" s="327">
        <v>19.95</v>
      </c>
    </row>
    <row r="97" spans="1:10" ht="26.25" customHeight="1" x14ac:dyDescent="0.45">
      <c r="A97" s="299" t="s">
        <v>71</v>
      </c>
      <c r="B97" s="286">
        <v>1</v>
      </c>
      <c r="C97" s="397" t="s">
        <v>111</v>
      </c>
      <c r="D97" s="398">
        <f>D96*$B$87</f>
        <v>26.55</v>
      </c>
      <c r="E97" s="330"/>
      <c r="F97" s="329">
        <f>F96*$B$87</f>
        <v>19.95</v>
      </c>
    </row>
    <row r="98" spans="1:10" ht="19.5" customHeight="1" x14ac:dyDescent="0.35">
      <c r="A98" s="299" t="s">
        <v>73</v>
      </c>
      <c r="B98" s="399">
        <f>(B97/B96)*(B95/B94)*(B93/B92)*(B91/B90)*B89</f>
        <v>625</v>
      </c>
      <c r="C98" s="397" t="s">
        <v>112</v>
      </c>
      <c r="D98" s="400">
        <f>D97*$B$83/100</f>
        <v>26.364149999999999</v>
      </c>
      <c r="E98" s="333"/>
      <c r="F98" s="332">
        <f>F97*$B$83/100</f>
        <v>19.81035</v>
      </c>
    </row>
    <row r="99" spans="1:10" ht="19.5" customHeight="1" x14ac:dyDescent="0.35">
      <c r="A99" s="484" t="s">
        <v>75</v>
      </c>
      <c r="B99" s="498"/>
      <c r="C99" s="397" t="s">
        <v>113</v>
      </c>
      <c r="D99" s="401">
        <f>D98/$B$98</f>
        <v>4.218264E-2</v>
      </c>
      <c r="E99" s="333"/>
      <c r="F99" s="336">
        <f>F98/$B$98</f>
        <v>3.1696559999999999E-2</v>
      </c>
      <c r="G99" s="402"/>
      <c r="H99" s="325"/>
    </row>
    <row r="100" spans="1:10" ht="19.5" customHeight="1" x14ac:dyDescent="0.35">
      <c r="A100" s="486"/>
      <c r="B100" s="499"/>
      <c r="C100" s="397" t="s">
        <v>77</v>
      </c>
      <c r="D100" s="403">
        <f>$B$56/$B$116</f>
        <v>3.5555555555555556E-2</v>
      </c>
      <c r="F100" s="341"/>
      <c r="G100" s="404"/>
      <c r="H100" s="325"/>
    </row>
    <row r="101" spans="1:10" ht="18" x14ac:dyDescent="0.35">
      <c r="C101" s="397" t="s">
        <v>78</v>
      </c>
      <c r="D101" s="398">
        <f>D100*$B$98</f>
        <v>22.222222222222221</v>
      </c>
      <c r="F101" s="341"/>
      <c r="G101" s="402"/>
      <c r="H101" s="325"/>
    </row>
    <row r="102" spans="1:10" ht="19.5" customHeight="1" x14ac:dyDescent="0.35">
      <c r="C102" s="405" t="s">
        <v>79</v>
      </c>
      <c r="D102" s="406">
        <f>D101/B34</f>
        <v>22.222222222222221</v>
      </c>
      <c r="F102" s="345"/>
      <c r="G102" s="402"/>
      <c r="H102" s="325"/>
      <c r="J102" s="407"/>
    </row>
    <row r="103" spans="1:10" ht="18" x14ac:dyDescent="0.35">
      <c r="C103" s="408" t="s">
        <v>114</v>
      </c>
      <c r="D103" s="409">
        <f>AVERAGE(E91:E94,G91:G94)</f>
        <v>10731327.20613086</v>
      </c>
      <c r="F103" s="345"/>
      <c r="G103" s="410"/>
      <c r="H103" s="325"/>
      <c r="J103" s="411"/>
    </row>
    <row r="104" spans="1:10" ht="18" x14ac:dyDescent="0.35">
      <c r="C104" s="375" t="s">
        <v>81</v>
      </c>
      <c r="D104" s="412">
        <f>STDEV(E91:E94,G91:G94)/D103</f>
        <v>1.2489911755993338E-2</v>
      </c>
      <c r="F104" s="345"/>
      <c r="G104" s="402"/>
      <c r="H104" s="325"/>
      <c r="J104" s="411"/>
    </row>
    <row r="105" spans="1:10" ht="19.5" customHeight="1" x14ac:dyDescent="0.35">
      <c r="C105" s="377" t="s">
        <v>18</v>
      </c>
      <c r="D105" s="413">
        <f>COUNT(E91:E94,G91:G94)</f>
        <v>6</v>
      </c>
      <c r="F105" s="345"/>
      <c r="G105" s="402"/>
      <c r="H105" s="325"/>
      <c r="J105" s="411"/>
    </row>
    <row r="106" spans="1:10" ht="19.5" customHeight="1" x14ac:dyDescent="0.35">
      <c r="A106" s="349"/>
      <c r="B106" s="349"/>
      <c r="C106" s="349"/>
      <c r="D106" s="349"/>
      <c r="E106" s="349"/>
    </row>
    <row r="107" spans="1:10" ht="26.25" customHeight="1" x14ac:dyDescent="0.45">
      <c r="A107" s="297" t="s">
        <v>115</v>
      </c>
      <c r="B107" s="298">
        <v>900</v>
      </c>
      <c r="C107" s="414" t="s">
        <v>135</v>
      </c>
      <c r="D107" s="415" t="s">
        <v>60</v>
      </c>
      <c r="E107" s="416" t="s">
        <v>117</v>
      </c>
      <c r="F107" s="417" t="s">
        <v>118</v>
      </c>
    </row>
    <row r="108" spans="1:10" ht="26.25" customHeight="1" x14ac:dyDescent="0.45">
      <c r="A108" s="299" t="s">
        <v>119</v>
      </c>
      <c r="B108" s="300">
        <v>2</v>
      </c>
      <c r="C108" s="418">
        <v>1</v>
      </c>
      <c r="D108" s="419">
        <v>10132297</v>
      </c>
      <c r="E108" s="450">
        <f t="shared" ref="E108:E113" si="1">IF(ISBLANK(D108),"-",D108/$D$103*$D$100*$B$116)</f>
        <v>151.06868785752977</v>
      </c>
      <c r="F108" s="420">
        <f t="shared" ref="F108:F113" si="2">IF(ISBLANK(D108), "-", E108/$B$56)</f>
        <v>0.944179299109561</v>
      </c>
    </row>
    <row r="109" spans="1:10" ht="26.25" customHeight="1" x14ac:dyDescent="0.45">
      <c r="A109" s="299" t="s">
        <v>92</v>
      </c>
      <c r="B109" s="300">
        <v>10</v>
      </c>
      <c r="C109" s="418">
        <v>2</v>
      </c>
      <c r="D109" s="419">
        <v>10100575</v>
      </c>
      <c r="E109" s="451">
        <f t="shared" si="1"/>
        <v>150.59572492363466</v>
      </c>
      <c r="F109" s="421">
        <f t="shared" si="2"/>
        <v>0.94122328077271666</v>
      </c>
    </row>
    <row r="110" spans="1:10" ht="26.25" customHeight="1" x14ac:dyDescent="0.45">
      <c r="A110" s="299" t="s">
        <v>93</v>
      </c>
      <c r="B110" s="300">
        <v>1</v>
      </c>
      <c r="C110" s="418">
        <v>3</v>
      </c>
      <c r="D110" s="419">
        <v>10004482</v>
      </c>
      <c r="E110" s="451">
        <f t="shared" si="1"/>
        <v>149.16301490513703</v>
      </c>
      <c r="F110" s="421">
        <f t="shared" si="2"/>
        <v>0.93226884315710645</v>
      </c>
    </row>
    <row r="111" spans="1:10" ht="26.25" customHeight="1" x14ac:dyDescent="0.45">
      <c r="A111" s="299" t="s">
        <v>94</v>
      </c>
      <c r="B111" s="300">
        <v>1</v>
      </c>
      <c r="C111" s="418">
        <v>4</v>
      </c>
      <c r="D111" s="419">
        <v>10080126</v>
      </c>
      <c r="E111" s="451">
        <f t="shared" si="1"/>
        <v>150.29083812471842</v>
      </c>
      <c r="F111" s="421">
        <f t="shared" si="2"/>
        <v>0.93931773827949017</v>
      </c>
    </row>
    <row r="112" spans="1:10" ht="26.25" customHeight="1" x14ac:dyDescent="0.45">
      <c r="A112" s="299" t="s">
        <v>95</v>
      </c>
      <c r="B112" s="300">
        <v>1</v>
      </c>
      <c r="C112" s="418">
        <v>5</v>
      </c>
      <c r="D112" s="419">
        <v>10426632</v>
      </c>
      <c r="E112" s="451">
        <f t="shared" si="1"/>
        <v>155.45711056568234</v>
      </c>
      <c r="F112" s="421">
        <f t="shared" si="2"/>
        <v>0.97160694103551459</v>
      </c>
    </row>
    <row r="113" spans="1:10" ht="26.25" customHeight="1" x14ac:dyDescent="0.45">
      <c r="A113" s="299" t="s">
        <v>97</v>
      </c>
      <c r="B113" s="300">
        <v>1</v>
      </c>
      <c r="C113" s="422">
        <v>6</v>
      </c>
      <c r="D113" s="423">
        <v>10138103</v>
      </c>
      <c r="E113" s="452">
        <f t="shared" si="1"/>
        <v>151.15525310543958</v>
      </c>
      <c r="F113" s="424">
        <f t="shared" si="2"/>
        <v>0.9447203319089974</v>
      </c>
    </row>
    <row r="114" spans="1:10" ht="26.25" customHeight="1" x14ac:dyDescent="0.45">
      <c r="A114" s="299" t="s">
        <v>98</v>
      </c>
      <c r="B114" s="300">
        <v>1</v>
      </c>
      <c r="C114" s="418"/>
      <c r="D114" s="372"/>
      <c r="E114" s="274"/>
      <c r="F114" s="425"/>
    </row>
    <row r="115" spans="1:10" ht="26.25" customHeight="1" x14ac:dyDescent="0.45">
      <c r="A115" s="299" t="s">
        <v>99</v>
      </c>
      <c r="B115" s="300">
        <v>1</v>
      </c>
      <c r="C115" s="418"/>
      <c r="D115" s="426" t="s">
        <v>68</v>
      </c>
      <c r="E115" s="454">
        <f>AVERAGE(E108:E113)</f>
        <v>151.28843824702363</v>
      </c>
      <c r="F115" s="427">
        <f>AVERAGE(F108:F113)</f>
        <v>0.94555273904389781</v>
      </c>
    </row>
    <row r="116" spans="1:10" ht="27" customHeight="1" x14ac:dyDescent="0.45">
      <c r="A116" s="299" t="s">
        <v>100</v>
      </c>
      <c r="B116" s="331">
        <f>(B115/B114)*(B113/B112)*(B111/B110)*(B109/B108)*B107</f>
        <v>4500</v>
      </c>
      <c r="C116" s="428"/>
      <c r="D116" s="391" t="s">
        <v>81</v>
      </c>
      <c r="E116" s="429">
        <f>STDEV(E108:E113)/E115</f>
        <v>1.4310478282565502E-2</v>
      </c>
      <c r="F116" s="429">
        <f>STDEV(F108:F113)/F115</f>
        <v>1.4310478282565476E-2</v>
      </c>
      <c r="I116" s="274"/>
    </row>
    <row r="117" spans="1:10" ht="27" customHeight="1" x14ac:dyDescent="0.45">
      <c r="A117" s="484" t="s">
        <v>75</v>
      </c>
      <c r="B117" s="485"/>
      <c r="C117" s="430"/>
      <c r="D117" s="431" t="s">
        <v>18</v>
      </c>
      <c r="E117" s="432">
        <f>COUNT(E108:E113)</f>
        <v>6</v>
      </c>
      <c r="F117" s="432">
        <f>COUNT(F108:F113)</f>
        <v>6</v>
      </c>
      <c r="I117" s="274"/>
      <c r="J117" s="411"/>
    </row>
    <row r="118" spans="1:10" ht="19.5" customHeight="1" x14ac:dyDescent="0.35">
      <c r="A118" s="486"/>
      <c r="B118" s="487"/>
      <c r="C118" s="274"/>
      <c r="D118" s="274"/>
      <c r="E118" s="274"/>
      <c r="F118" s="372"/>
      <c r="G118" s="274"/>
      <c r="H118" s="274"/>
      <c r="I118" s="274"/>
    </row>
    <row r="119" spans="1:10" ht="18" x14ac:dyDescent="0.35">
      <c r="A119" s="441"/>
      <c r="B119" s="295"/>
      <c r="C119" s="274"/>
      <c r="D119" s="274"/>
      <c r="E119" s="274"/>
      <c r="F119" s="372"/>
      <c r="G119" s="274"/>
      <c r="H119" s="274"/>
      <c r="I119" s="274"/>
    </row>
    <row r="120" spans="1:10" ht="26.25" customHeight="1" x14ac:dyDescent="0.45">
      <c r="A120" s="284" t="s">
        <v>103</v>
      </c>
      <c r="B120" s="379" t="s">
        <v>120</v>
      </c>
      <c r="C120" s="496" t="str">
        <f>B79</f>
        <v>Trimethoprim</v>
      </c>
      <c r="D120" s="496"/>
      <c r="E120" s="380" t="s">
        <v>121</v>
      </c>
      <c r="F120" s="380"/>
      <c r="G120" s="381">
        <f>F115</f>
        <v>0.94555273904389781</v>
      </c>
      <c r="H120" s="274"/>
      <c r="I120" s="274"/>
    </row>
    <row r="121" spans="1:10" ht="19.5" customHeight="1" x14ac:dyDescent="0.35">
      <c r="A121" s="433"/>
      <c r="B121" s="433"/>
      <c r="C121" s="434"/>
      <c r="D121" s="434"/>
      <c r="E121" s="434"/>
      <c r="F121" s="434"/>
      <c r="G121" s="434"/>
      <c r="H121" s="434"/>
    </row>
    <row r="122" spans="1:10" ht="18" x14ac:dyDescent="0.35">
      <c r="B122" s="497" t="s">
        <v>23</v>
      </c>
      <c r="C122" s="497"/>
      <c r="E122" s="386" t="s">
        <v>24</v>
      </c>
      <c r="F122" s="435"/>
      <c r="G122" s="497" t="s">
        <v>25</v>
      </c>
      <c r="H122" s="497"/>
    </row>
    <row r="123" spans="1:10" ht="69.900000000000006" customHeight="1" x14ac:dyDescent="0.35">
      <c r="A123" s="436" t="s">
        <v>26</v>
      </c>
      <c r="B123" s="437"/>
      <c r="C123" s="437"/>
      <c r="E123" s="437"/>
      <c r="F123" s="274"/>
      <c r="G123" s="438"/>
      <c r="H123" s="438"/>
    </row>
    <row r="124" spans="1:10" ht="69.900000000000006" customHeight="1" x14ac:dyDescent="0.35">
      <c r="A124" s="436" t="s">
        <v>27</v>
      </c>
      <c r="B124" s="439"/>
      <c r="C124" s="439"/>
      <c r="E124" s="439"/>
      <c r="F124" s="274"/>
      <c r="G124" s="440"/>
      <c r="H124" s="440"/>
    </row>
    <row r="125" spans="1:10" ht="18" x14ac:dyDescent="0.35">
      <c r="A125" s="371"/>
      <c r="B125" s="371"/>
      <c r="C125" s="372"/>
      <c r="D125" s="372"/>
      <c r="E125" s="372"/>
      <c r="F125" s="376"/>
      <c r="G125" s="372"/>
      <c r="H125" s="372"/>
      <c r="I125" s="274"/>
    </row>
    <row r="126" spans="1:10" ht="18" x14ac:dyDescent="0.35">
      <c r="A126" s="371"/>
      <c r="B126" s="371"/>
      <c r="C126" s="372"/>
      <c r="D126" s="372"/>
      <c r="E126" s="372"/>
      <c r="F126" s="376"/>
      <c r="G126" s="372"/>
      <c r="H126" s="372"/>
      <c r="I126" s="274"/>
    </row>
    <row r="127" spans="1:10" ht="18" x14ac:dyDescent="0.35">
      <c r="A127" s="371"/>
      <c r="B127" s="371"/>
      <c r="C127" s="372"/>
      <c r="D127" s="372"/>
      <c r="E127" s="372"/>
      <c r="F127" s="376"/>
      <c r="G127" s="372"/>
      <c r="H127" s="372"/>
      <c r="I127" s="274"/>
    </row>
    <row r="128" spans="1:10" ht="18" x14ac:dyDescent="0.35">
      <c r="A128" s="371"/>
      <c r="B128" s="371"/>
      <c r="C128" s="372"/>
      <c r="D128" s="372"/>
      <c r="E128" s="372"/>
      <c r="F128" s="376"/>
      <c r="G128" s="372"/>
      <c r="H128" s="372"/>
      <c r="I128" s="274"/>
    </row>
    <row r="129" spans="1:9" ht="18" x14ac:dyDescent="0.35">
      <c r="A129" s="371"/>
      <c r="B129" s="371"/>
      <c r="C129" s="372"/>
      <c r="D129" s="372"/>
      <c r="E129" s="372"/>
      <c r="F129" s="376"/>
      <c r="G129" s="372"/>
      <c r="H129" s="372"/>
      <c r="I129" s="274"/>
    </row>
    <row r="130" spans="1:9" ht="18" x14ac:dyDescent="0.35">
      <c r="A130" s="371"/>
      <c r="B130" s="371"/>
      <c r="C130" s="372"/>
      <c r="D130" s="372"/>
      <c r="E130" s="372"/>
      <c r="F130" s="376"/>
      <c r="G130" s="372"/>
      <c r="H130" s="372"/>
      <c r="I130" s="274"/>
    </row>
    <row r="131" spans="1:9" ht="18" x14ac:dyDescent="0.35">
      <c r="A131" s="371"/>
      <c r="B131" s="371"/>
      <c r="C131" s="372"/>
      <c r="D131" s="372"/>
      <c r="E131" s="372"/>
      <c r="F131" s="376"/>
      <c r="G131" s="372"/>
      <c r="H131" s="372"/>
      <c r="I131" s="274"/>
    </row>
    <row r="132" spans="1:9" ht="18" x14ac:dyDescent="0.35">
      <c r="A132" s="371"/>
      <c r="B132" s="371"/>
      <c r="C132" s="372"/>
      <c r="D132" s="372"/>
      <c r="E132" s="372"/>
      <c r="F132" s="376"/>
      <c r="G132" s="372"/>
      <c r="H132" s="372"/>
      <c r="I132" s="274"/>
    </row>
    <row r="133" spans="1:9" ht="18" x14ac:dyDescent="0.35">
      <c r="A133" s="371"/>
      <c r="B133" s="371"/>
      <c r="C133" s="372"/>
      <c r="D133" s="372"/>
      <c r="E133" s="372"/>
      <c r="F133" s="376"/>
      <c r="G133" s="372"/>
      <c r="H133" s="372"/>
      <c r="I133" s="274"/>
    </row>
    <row r="250" spans="1:1" x14ac:dyDescent="0.3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3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I39:I40"/>
    <mergeCell ref="A46:B47"/>
    <mergeCell ref="C60:C63"/>
    <mergeCell ref="D60:D63"/>
    <mergeCell ref="C64:C67"/>
    <mergeCell ref="D64:D6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dcterms:created xsi:type="dcterms:W3CDTF">2005-07-05T10:19:27Z</dcterms:created>
  <dcterms:modified xsi:type="dcterms:W3CDTF">2015-12-29T13:25:53Z</dcterms:modified>
</cp:coreProperties>
</file>