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52" windowWidth="15012" windowHeight="7620" activeTab="3"/>
  </bookViews>
  <sheets>
    <sheet name="SST" sheetId="1" r:id="rId1"/>
    <sheet name="Uniformity" sheetId="4" r:id="rId2"/>
    <sheet name="SULPHAMETHOXAZOLE" sheetId="2" r:id="rId3"/>
    <sheet name="TRIMETHOPRIM" sheetId="3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E108" i="2" l="1"/>
  <c r="F115" i="2"/>
  <c r="C120" i="2"/>
  <c r="C120" i="3"/>
  <c r="F115" i="3"/>
  <c r="E108" i="3"/>
  <c r="D101" i="3"/>
  <c r="D100" i="3"/>
  <c r="K60" i="3"/>
  <c r="G60" i="3"/>
  <c r="C76" i="3"/>
  <c r="H72" i="2"/>
  <c r="H65" i="2"/>
  <c r="H62" i="2"/>
  <c r="H60" i="2"/>
  <c r="G60" i="2"/>
  <c r="D47" i="3"/>
  <c r="D48" i="3" s="1"/>
  <c r="C76" i="2"/>
  <c r="D49" i="4"/>
  <c r="D24" i="4"/>
  <c r="C46" i="4"/>
  <c r="F30" i="1"/>
  <c r="B21" i="1"/>
  <c r="E52" i="1" l="1"/>
  <c r="B57" i="3" l="1"/>
  <c r="B57" i="2"/>
  <c r="B43" i="1"/>
  <c r="C45" i="4"/>
  <c r="C19" i="4"/>
  <c r="B116" i="3"/>
  <c r="B98" i="3"/>
  <c r="D97" i="3"/>
  <c r="F95" i="3"/>
  <c r="D95" i="3"/>
  <c r="B87" i="3"/>
  <c r="F97" i="3" s="1"/>
  <c r="B81" i="3"/>
  <c r="B83" i="3" s="1"/>
  <c r="B80" i="3"/>
  <c r="B79" i="3"/>
  <c r="B68" i="3"/>
  <c r="C56" i="3"/>
  <c r="B55" i="3"/>
  <c r="B45" i="3"/>
  <c r="F42" i="3"/>
  <c r="D42" i="3"/>
  <c r="B34" i="3"/>
  <c r="F44" i="3" s="1"/>
  <c r="B30" i="3"/>
  <c r="B116" i="2"/>
  <c r="D100" i="2" s="1"/>
  <c r="D101" i="2" s="1"/>
  <c r="B98" i="2"/>
  <c r="F95" i="2"/>
  <c r="D95" i="2"/>
  <c r="B87" i="2"/>
  <c r="D97" i="2" s="1"/>
  <c r="B81" i="2"/>
  <c r="B83" i="2" s="1"/>
  <c r="B80" i="2"/>
  <c r="B79" i="2"/>
  <c r="B68" i="2"/>
  <c r="C56" i="2"/>
  <c r="B55" i="2"/>
  <c r="B45" i="2"/>
  <c r="D48" i="2" s="1"/>
  <c r="F42" i="2"/>
  <c r="D42" i="2"/>
  <c r="B34" i="2"/>
  <c r="B30" i="2"/>
  <c r="B54" i="1"/>
  <c r="D52" i="1"/>
  <c r="C52" i="1"/>
  <c r="B52" i="1"/>
  <c r="B53" i="1" s="1"/>
  <c r="B32" i="1"/>
  <c r="E30" i="1"/>
  <c r="D30" i="1"/>
  <c r="C30" i="1"/>
  <c r="B30" i="1"/>
  <c r="B31" i="1" s="1"/>
  <c r="B69" i="2" l="1"/>
  <c r="I92" i="3"/>
  <c r="D102" i="3"/>
  <c r="B69" i="3"/>
  <c r="I39" i="3"/>
  <c r="F45" i="3"/>
  <c r="F46" i="3" s="1"/>
  <c r="I92" i="2"/>
  <c r="I39" i="2"/>
  <c r="D49" i="2"/>
  <c r="F44" i="2"/>
  <c r="F45" i="2" s="1"/>
  <c r="G40" i="2" s="1"/>
  <c r="D44" i="2"/>
  <c r="D45" i="2" s="1"/>
  <c r="D98" i="2"/>
  <c r="D99" i="2" s="1"/>
  <c r="D30" i="4"/>
  <c r="D38" i="4"/>
  <c r="D50" i="4"/>
  <c r="D27" i="4"/>
  <c r="D31" i="4"/>
  <c r="D35" i="4"/>
  <c r="D39" i="4"/>
  <c r="D43" i="4"/>
  <c r="C49" i="4"/>
  <c r="D25" i="4"/>
  <c r="D29" i="4"/>
  <c r="D33" i="4"/>
  <c r="D37" i="4"/>
  <c r="D41" i="4"/>
  <c r="C50" i="4"/>
  <c r="D26" i="4"/>
  <c r="D34" i="4"/>
  <c r="D42" i="4"/>
  <c r="B49" i="4"/>
  <c r="D28" i="4"/>
  <c r="D32" i="4"/>
  <c r="D36" i="4"/>
  <c r="D40" i="4"/>
  <c r="E93" i="2"/>
  <c r="D102" i="2"/>
  <c r="E41" i="2"/>
  <c r="D98" i="3"/>
  <c r="D99" i="3" s="1"/>
  <c r="G41" i="3"/>
  <c r="D49" i="3"/>
  <c r="F98" i="3"/>
  <c r="F99" i="3" s="1"/>
  <c r="F97" i="2"/>
  <c r="F98" i="2" s="1"/>
  <c r="F99" i="2" s="1"/>
  <c r="D44" i="3"/>
  <c r="D45" i="3" s="1"/>
  <c r="D46" i="3" s="1"/>
  <c r="G93" i="3" l="1"/>
  <c r="G38" i="3"/>
  <c r="G40" i="3"/>
  <c r="G39" i="3"/>
  <c r="G42" i="3" s="1"/>
  <c r="E93" i="3"/>
  <c r="E94" i="3"/>
  <c r="G94" i="3"/>
  <c r="E38" i="3"/>
  <c r="E41" i="3"/>
  <c r="E39" i="3"/>
  <c r="E92" i="2"/>
  <c r="E94" i="2"/>
  <c r="E91" i="2"/>
  <c r="D46" i="2"/>
  <c r="E39" i="2"/>
  <c r="E40" i="2"/>
  <c r="E38" i="2"/>
  <c r="G38" i="2"/>
  <c r="G39" i="2"/>
  <c r="G41" i="2"/>
  <c r="F46" i="2"/>
  <c r="G92" i="2"/>
  <c r="G91" i="2"/>
  <c r="G94" i="2"/>
  <c r="G92" i="3"/>
  <c r="G91" i="3"/>
  <c r="E40" i="3"/>
  <c r="E91" i="3"/>
  <c r="E92" i="3"/>
  <c r="G93" i="2"/>
  <c r="E42" i="2" l="1"/>
  <c r="D50" i="3"/>
  <c r="G71" i="3" s="1"/>
  <c r="H71" i="3" s="1"/>
  <c r="E42" i="3"/>
  <c r="G95" i="3"/>
  <c r="D52" i="3"/>
  <c r="E95" i="2"/>
  <c r="D50" i="2"/>
  <c r="G71" i="2" s="1"/>
  <c r="H71" i="2" s="1"/>
  <c r="G42" i="2"/>
  <c r="D52" i="2"/>
  <c r="G95" i="2"/>
  <c r="D103" i="2"/>
  <c r="D104" i="2" s="1"/>
  <c r="D105" i="2"/>
  <c r="E95" i="3"/>
  <c r="D105" i="3"/>
  <c r="D103" i="3"/>
  <c r="D51" i="3" l="1"/>
  <c r="G65" i="3"/>
  <c r="H65" i="3" s="1"/>
  <c r="G70" i="3"/>
  <c r="H70" i="3" s="1"/>
  <c r="G66" i="3"/>
  <c r="H66" i="3" s="1"/>
  <c r="G64" i="3"/>
  <c r="H64" i="3" s="1"/>
  <c r="G61" i="3"/>
  <c r="H61" i="3" s="1"/>
  <c r="G69" i="3"/>
  <c r="H69" i="3" s="1"/>
  <c r="G63" i="3"/>
  <c r="H63" i="3" s="1"/>
  <c r="H60" i="3"/>
  <c r="G68" i="3"/>
  <c r="H68" i="3" s="1"/>
  <c r="G67" i="3"/>
  <c r="H67" i="3" s="1"/>
  <c r="G62" i="3"/>
  <c r="H62" i="3" s="1"/>
  <c r="F108" i="2"/>
  <c r="G63" i="2"/>
  <c r="H63" i="2" s="1"/>
  <c r="G64" i="2"/>
  <c r="H64" i="2" s="1"/>
  <c r="G65" i="2"/>
  <c r="G66" i="2"/>
  <c r="H66" i="2" s="1"/>
  <c r="G70" i="2"/>
  <c r="H70" i="2" s="1"/>
  <c r="G61" i="2"/>
  <c r="H61" i="2" s="1"/>
  <c r="D51" i="2"/>
  <c r="G69" i="2"/>
  <c r="H69" i="2" s="1"/>
  <c r="G68" i="2"/>
  <c r="H68" i="2" s="1"/>
  <c r="G67" i="2"/>
  <c r="H67" i="2" s="1"/>
  <c r="G62" i="2"/>
  <c r="E111" i="2"/>
  <c r="F111" i="2" s="1"/>
  <c r="E110" i="2"/>
  <c r="F110" i="2" s="1"/>
  <c r="E109" i="2"/>
  <c r="F109" i="2" s="1"/>
  <c r="E112" i="2"/>
  <c r="F112" i="2" s="1"/>
  <c r="E113" i="2"/>
  <c r="F113" i="2" s="1"/>
  <c r="E112" i="3"/>
  <c r="F112" i="3" s="1"/>
  <c r="E110" i="3"/>
  <c r="F110" i="3" s="1"/>
  <c r="E113" i="3"/>
  <c r="F113" i="3" s="1"/>
  <c r="E111" i="3"/>
  <c r="F111" i="3" s="1"/>
  <c r="E109" i="3"/>
  <c r="F109" i="3" s="1"/>
  <c r="D104" i="3"/>
  <c r="G72" i="3" l="1"/>
  <c r="G73" i="3" s="1"/>
  <c r="G74" i="3"/>
  <c r="G72" i="2"/>
  <c r="G73" i="2" s="1"/>
  <c r="G74" i="2"/>
  <c r="E115" i="2"/>
  <c r="E116" i="2" s="1"/>
  <c r="E117" i="2"/>
  <c r="F117" i="2"/>
  <c r="H74" i="3"/>
  <c r="H72" i="3"/>
  <c r="H74" i="2"/>
  <c r="E115" i="3"/>
  <c r="E116" i="3" s="1"/>
  <c r="E117" i="3"/>
  <c r="F108" i="3"/>
  <c r="G120" i="2" l="1"/>
  <c r="F116" i="2"/>
  <c r="F117" i="3"/>
  <c r="G76" i="2"/>
  <c r="H73" i="2"/>
  <c r="G76" i="3"/>
  <c r="H73" i="3"/>
  <c r="G120" i="3" l="1"/>
  <c r="F116" i="3"/>
</calcChain>
</file>

<file path=xl/sharedStrings.xml><?xml version="1.0" encoding="utf-8"?>
<sst xmlns="http://schemas.openxmlformats.org/spreadsheetml/2006/main" count="399" uniqueCount="137">
  <si>
    <t>HPLC System Suitability Report</t>
  </si>
  <si>
    <t>Analysis Data</t>
  </si>
  <si>
    <t>Assay</t>
  </si>
  <si>
    <t>Sample(s)</t>
  </si>
  <si>
    <t>Reference Substance:</t>
  </si>
  <si>
    <t>Sulfran DS Tablets</t>
  </si>
  <si>
    <t>% age Purity:</t>
  </si>
  <si>
    <t>NDQB201512624</t>
  </si>
  <si>
    <t>Weight (mg):</t>
  </si>
  <si>
    <t>each tablets contains sulphamethoxazole 800mg Trimethoprim 160mg.</t>
  </si>
  <si>
    <t>Standard Conc (mg/mL):</t>
  </si>
  <si>
    <t>Sulphamethoxazole 800mg Trimethoprim 160 per tablets</t>
  </si>
  <si>
    <t>2015-12-09 09:49:29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</si>
  <si>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</si>
  <si>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</si>
  <si>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</si>
  <si>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</si>
  <si>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</si>
  <si>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</si>
  <si>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</si>
  <si>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</si>
  <si>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</si>
  <si>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</si>
  <si>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</si>
  <si>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</si>
  <si>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</si>
  <si>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</si>
  <si>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</si>
  <si>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</si>
  <si>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</si>
  <si>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</si>
  <si>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</si>
  <si>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</si>
  <si>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</si>
  <si>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</si>
  <si>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</si>
  <si>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</si>
  <si>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</si>
  <si>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</si>
  <si>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</si>
  <si>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</si>
  <si>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</si>
  <si>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</si>
  <si>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</si>
  <si>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</si>
  <si>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</si>
  <si>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</si>
  <si>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</si>
  <si>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</si>
  <si>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</si>
  <si>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</si>
  <si>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</si>
  <si>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</si>
  <si>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</si>
  <si>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</si>
  <si>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</si>
  <si>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</si>
  <si>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</si>
  <si>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</si>
  <si>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</si>
  <si>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</si>
  <si>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</si>
  <si>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</si>
  <si>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</si>
  <si>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</si>
  <si>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</si>
  <si>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</si>
  <si>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</si>
  <si>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</si>
  <si>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</si>
  <si>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</si>
  <si>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</si>
  <si>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</si>
  <si>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</si>
  <si>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</si>
  <si>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</si>
  <si>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</si>
  <si>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</si>
  <si>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</si>
  <si>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</si>
  <si>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</si>
  <si>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</si>
  <si>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</si>
  <si>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</si>
  <si>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</si>
  <si>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</si>
  <si>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</si>
  <si>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</si>
  <si>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</si>
  <si>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</si>
  <si>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</si>
  <si>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</si>
  <si>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</si>
  <si>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</si>
  <si>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</si>
  <si>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</si>
  <si>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</si>
  <si>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</si>
  <si>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</si>
  <si>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</si>
  <si>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</si>
  <si>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</si>
  <si>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</si>
  <si>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</si>
  <si>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</si>
  <si>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</si>
  <si>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</si>
  <si>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</si>
  <si>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</si>
  <si>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</si>
  <si>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</si>
  <si>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</si>
  <si>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</si>
  <si>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</si>
  <si>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</si>
  <si>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</si>
  <si>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</si>
  <si>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Uniformity of Weight Test Report</t>
  </si>
  <si>
    <t>2015-12-09 09:47:49</t>
  </si>
  <si>
    <t>Uniformity of weight</t>
  </si>
  <si>
    <t>Tablet weight (mg)</t>
  </si>
  <si>
    <t>% Deviation</t>
  </si>
  <si>
    <t>Total</t>
  </si>
  <si>
    <t>Average</t>
  </si>
  <si>
    <t>% Deviation from mean</t>
  </si>
  <si>
    <t>Sulphamethoxazole</t>
  </si>
  <si>
    <t>Trimethoprim</t>
  </si>
  <si>
    <t>S 12 4</t>
  </si>
  <si>
    <t>T14 9</t>
  </si>
  <si>
    <t>Resolution</t>
  </si>
  <si>
    <r>
      <t xml:space="preserve">Resolution of component peaks not less than </t>
    </r>
    <r>
      <rPr>
        <b/>
        <sz val="12"/>
        <color rgb="FF000000"/>
        <rFont val="Book Antiqua"/>
        <family val="1"/>
      </rPr>
      <t>5.0</t>
    </r>
  </si>
  <si>
    <t>N. MWAURA</t>
  </si>
  <si>
    <t>Sulphamethoxazole 800 mg and Trimethoprim 160 mg</t>
  </si>
  <si>
    <t xml:space="preserve">Each tablet contains Sulphamethoxazole 800 mg </t>
  </si>
  <si>
    <t>Each tablet contains Trimethoprim 160 mg.</t>
  </si>
  <si>
    <t>Sulphamethoxazole 800 mg and Trimethoprim 160 mg per tablet</t>
  </si>
  <si>
    <t>Tablet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</si>
</sst>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[$-409]d/mmm/yy;@"/>
    <numFmt numFmtId="173" formatCode="0.0"/>
    <numFmt numFmtId="174" formatCode="d\-mmm\-yyyy"/>
    <numFmt numFmtId="177" formatCode="_(* #,##0_);_(* \(#,##0\);_(* &quot;-&quot;??_);_(@_)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1" fillId="2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5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1" fontId="10" fillId="3" borderId="24" xfId="0" applyNumberFormat="1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" fontId="10" fillId="3" borderId="28" xfId="0" applyNumberFormat="1" applyFont="1" applyFill="1" applyBorder="1" applyAlignment="1" applyProtection="1">
      <alignment horizontal="center"/>
      <protection locked="0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9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8" fillId="2" borderId="53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4" xfId="0" applyNumberFormat="1" applyFont="1" applyFill="1" applyBorder="1" applyAlignment="1">
      <alignment horizontal="center"/>
    </xf>
    <xf numFmtId="170" fontId="8" fillId="2" borderId="17" xfId="0" applyNumberFormat="1" applyFont="1" applyFill="1" applyBorder="1" applyAlignment="1">
      <alignment horizontal="center"/>
    </xf>
    <xf numFmtId="170" fontId="8" fillId="2" borderId="24" xfId="0" applyNumberFormat="1" applyFont="1" applyFill="1" applyBorder="1" applyAlignment="1">
      <alignment horizontal="center"/>
    </xf>
    <xf numFmtId="170" fontId="8" fillId="2" borderId="28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2" fontId="10" fillId="7" borderId="18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1" fontId="10" fillId="3" borderId="24" xfId="0" applyNumberFormat="1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" fontId="10" fillId="3" borderId="28" xfId="0" applyNumberFormat="1" applyFont="1" applyFill="1" applyBorder="1" applyAlignment="1" applyProtection="1">
      <alignment horizontal="center"/>
      <protection locked="0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9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8" fillId="2" borderId="53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4" xfId="0" applyNumberFormat="1" applyFont="1" applyFill="1" applyBorder="1" applyAlignment="1">
      <alignment horizontal="center"/>
    </xf>
    <xf numFmtId="170" fontId="8" fillId="2" borderId="17" xfId="0" applyNumberFormat="1" applyFont="1" applyFill="1" applyBorder="1" applyAlignment="1">
      <alignment horizontal="center"/>
    </xf>
    <xf numFmtId="170" fontId="8" fillId="2" borderId="24" xfId="0" applyNumberFormat="1" applyFont="1" applyFill="1" applyBorder="1" applyAlignment="1">
      <alignment horizontal="center"/>
    </xf>
    <xf numFmtId="170" fontId="8" fillId="2" borderId="28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2" fontId="10" fillId="7" borderId="18" xfId="0" applyNumberFormat="1" applyFont="1" applyFill="1" applyBorder="1" applyAlignment="1">
      <alignment horizontal="center"/>
    </xf>
    <xf numFmtId="0" fontId="11" fillId="2" borderId="0" xfId="0" applyFont="1" applyFill="1"/>
    <xf numFmtId="0" fontId="1" fillId="2" borderId="0" xfId="1" applyFont="1" applyFill="1"/>
    <xf numFmtId="0" fontId="22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72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72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23" fillId="2" borderId="0" xfId="1" applyFont="1" applyFill="1"/>
    <xf numFmtId="164" fontId="1" fillId="2" borderId="0" xfId="1" applyNumberFormat="1" applyFont="1" applyFill="1"/>
    <xf numFmtId="164" fontId="5" fillId="2" borderId="19" xfId="1" applyNumberFormat="1" applyFont="1" applyFill="1" applyBorder="1" applyAlignment="1">
      <alignment horizontal="center" wrapText="1"/>
    </xf>
    <xf numFmtId="0" fontId="5" fillId="2" borderId="19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10" fontId="6" fillId="2" borderId="2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40" xfId="1" applyNumberFormat="1" applyFont="1" applyFill="1" applyBorder="1" applyAlignment="1">
      <alignment horizontal="center"/>
    </xf>
    <xf numFmtId="10" fontId="6" fillId="2" borderId="30" xfId="1" applyNumberFormat="1" applyFont="1" applyFill="1" applyBorder="1" applyAlignment="1">
      <alignment horizontal="center"/>
    </xf>
    <xf numFmtId="170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9" xfId="1" applyFont="1" applyFill="1" applyBorder="1" applyAlignment="1">
      <alignment horizontal="right" vertical="center"/>
    </xf>
    <xf numFmtId="170" fontId="6" fillId="2" borderId="0" xfId="1" applyNumberFormat="1" applyFont="1" applyFill="1" applyAlignment="1">
      <alignment horizontal="center"/>
    </xf>
    <xf numFmtId="2" fontId="24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24" fillId="2" borderId="0" xfId="1" applyNumberFormat="1" applyFont="1" applyFill="1"/>
    <xf numFmtId="0" fontId="5" fillId="2" borderId="19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35" xfId="1" applyNumberFormat="1" applyFont="1" applyFill="1" applyBorder="1" applyAlignment="1">
      <alignment horizontal="center"/>
    </xf>
    <xf numFmtId="2" fontId="5" fillId="2" borderId="19" xfId="1" applyNumberFormat="1" applyFont="1" applyFill="1" applyBorder="1" applyAlignment="1">
      <alignment horizontal="center" vertical="center"/>
    </xf>
    <xf numFmtId="165" fontId="5" fillId="2" borderId="3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21" fillId="2" borderId="0" xfId="1" applyFill="1"/>
    <xf numFmtId="0" fontId="5" fillId="2" borderId="59" xfId="1" applyFont="1" applyFill="1" applyBorder="1" applyAlignment="1">
      <alignment horizontal="center"/>
    </xf>
    <xf numFmtId="173" fontId="7" fillId="3" borderId="64" xfId="1" applyNumberFormat="1" applyFont="1" applyFill="1" applyBorder="1" applyAlignment="1" applyProtection="1">
      <alignment horizontal="center"/>
      <protection locked="0"/>
    </xf>
    <xf numFmtId="173" fontId="7" fillId="3" borderId="60" xfId="1" applyNumberFormat="1" applyFont="1" applyFill="1" applyBorder="1" applyAlignment="1" applyProtection="1">
      <alignment horizontal="center"/>
      <protection locked="0"/>
    </xf>
    <xf numFmtId="0" fontId="6" fillId="2" borderId="62" xfId="1" applyFont="1" applyFill="1" applyBorder="1"/>
    <xf numFmtId="0" fontId="6" fillId="2" borderId="63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70" fontId="5" fillId="2" borderId="23" xfId="1" applyNumberFormat="1" applyFont="1" applyFill="1" applyBorder="1" applyAlignment="1">
      <alignment horizontal="center" vertical="center"/>
    </xf>
    <xf numFmtId="170" fontId="5" fillId="2" borderId="30" xfId="1" applyNumberFormat="1" applyFont="1" applyFill="1" applyBorder="1" applyAlignment="1">
      <alignment horizontal="center" vertical="center"/>
    </xf>
    <xf numFmtId="0" fontId="22" fillId="2" borderId="55" xfId="1" applyFont="1" applyFill="1" applyBorder="1" applyAlignment="1">
      <alignment horizontal="center" wrapText="1"/>
    </xf>
    <xf numFmtId="0" fontId="22" fillId="2" borderId="56" xfId="1" applyFont="1" applyFill="1" applyBorder="1" applyAlignment="1">
      <alignment horizontal="center" wrapText="1"/>
    </xf>
    <xf numFmtId="0" fontId="22" fillId="2" borderId="57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7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16" fillId="2" borderId="57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9" fillId="2" borderId="9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16" fillId="2" borderId="57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173" fontId="7" fillId="3" borderId="4" xfId="0" applyNumberFormat="1" applyFont="1" applyFill="1" applyBorder="1" applyAlignment="1" applyProtection="1">
      <alignment horizontal="center"/>
      <protection locked="0"/>
    </xf>
    <xf numFmtId="173" fontId="7" fillId="3" borderId="3" xfId="0" applyNumberFormat="1" applyFont="1" applyFill="1" applyBorder="1" applyAlignment="1" applyProtection="1">
      <alignment horizontal="center"/>
      <protection locked="0"/>
    </xf>
    <xf numFmtId="173" fontId="7" fillId="3" borderId="5" xfId="0" applyNumberFormat="1" applyFont="1" applyFill="1" applyBorder="1" applyAlignment="1" applyProtection="1">
      <alignment horizontal="center"/>
      <protection locked="0"/>
    </xf>
    <xf numFmtId="174" fontId="1" fillId="2" borderId="11" xfId="0" applyNumberFormat="1" applyFont="1" applyFill="1" applyBorder="1" applyAlignment="1">
      <alignment horizontal="center"/>
    </xf>
    <xf numFmtId="2" fontId="6" fillId="3" borderId="40" xfId="1" applyNumberFormat="1" applyFont="1" applyFill="1" applyBorder="1" applyAlignment="1" applyProtection="1">
      <alignment horizontal="center"/>
      <protection locked="0"/>
    </xf>
    <xf numFmtId="2" fontId="6" fillId="3" borderId="30" xfId="1" applyNumberFormat="1" applyFont="1" applyFill="1" applyBorder="1" applyAlignment="1" applyProtection="1">
      <alignment horizontal="center"/>
      <protection locked="0"/>
    </xf>
    <xf numFmtId="2" fontId="5" fillId="4" borderId="61" xfId="1" applyNumberFormat="1" applyFont="1" applyFill="1" applyBorder="1" applyAlignment="1">
      <alignment horizontal="center"/>
    </xf>
    <xf numFmtId="169" fontId="5" fillId="2" borderId="19" xfId="1" applyNumberFormat="1" applyFont="1" applyFill="1" applyBorder="1" applyAlignment="1">
      <alignment horizontal="center" vertical="center"/>
    </xf>
    <xf numFmtId="2" fontId="6" fillId="2" borderId="19" xfId="1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vertical="center" wrapText="1"/>
    </xf>
    <xf numFmtId="0" fontId="15" fillId="2" borderId="0" xfId="0" applyFont="1" applyFill="1" applyBorder="1"/>
    <xf numFmtId="0" fontId="12" fillId="2" borderId="0" xfId="0" applyFont="1" applyFill="1" applyBorder="1" applyAlignment="1">
      <alignment vertical="center" wrapText="1"/>
    </xf>
    <xf numFmtId="0" fontId="0" fillId="2" borderId="0" xfId="0" applyFill="1" applyBorder="1"/>
    <xf numFmtId="0" fontId="8" fillId="2" borderId="0" xfId="0" applyFont="1" applyFill="1" applyBorder="1"/>
    <xf numFmtId="0" fontId="11" fillId="3" borderId="0" xfId="0" applyFont="1" applyFill="1" applyAlignment="1" applyProtection="1">
      <protection locked="0"/>
    </xf>
    <xf numFmtId="10" fontId="2" fillId="2" borderId="0" xfId="3" applyNumberFormat="1" applyFont="1" applyFill="1"/>
    <xf numFmtId="177" fontId="10" fillId="3" borderId="12" xfId="2" applyNumberFormat="1" applyFont="1" applyFill="1" applyBorder="1" applyAlignment="1" applyProtection="1">
      <alignment horizontal="center"/>
      <protection locked="0"/>
    </xf>
    <xf numFmtId="177" fontId="10" fillId="3" borderId="14" xfId="2" applyNumberFormat="1" applyFont="1" applyFill="1" applyBorder="1" applyAlignment="1" applyProtection="1">
      <alignment horizontal="center"/>
      <protection locked="0"/>
    </xf>
    <xf numFmtId="177" fontId="10" fillId="3" borderId="39" xfId="2" applyNumberFormat="1" applyFont="1" applyFill="1" applyBorder="1" applyAlignment="1" applyProtection="1">
      <alignment horizontal="center"/>
      <protection locked="0"/>
    </xf>
    <xf numFmtId="10" fontId="5" fillId="2" borderId="0" xfId="3" applyNumberFormat="1" applyFont="1" applyFill="1" applyBorder="1" applyAlignment="1">
      <alignment horizontal="center"/>
    </xf>
    <xf numFmtId="0" fontId="13" fillId="2" borderId="0" xfId="0" applyFont="1" applyFill="1" applyBorder="1"/>
    <xf numFmtId="0" fontId="16" fillId="2" borderId="65" xfId="0" applyFont="1" applyFill="1" applyBorder="1" applyAlignment="1">
      <alignment horizontal="left" vertical="center" wrapText="1"/>
    </xf>
    <xf numFmtId="0" fontId="16" fillId="2" borderId="66" xfId="0" applyFont="1" applyFill="1" applyBorder="1" applyAlignment="1">
      <alignment horizontal="left" vertical="center" wrapText="1"/>
    </xf>
    <xf numFmtId="0" fontId="16" fillId="2" borderId="67" xfId="0" applyFont="1" applyFill="1" applyBorder="1" applyAlignment="1">
      <alignment horizontal="left" vertical="center" wrapText="1"/>
    </xf>
    <xf numFmtId="0" fontId="14" fillId="2" borderId="0" xfId="0" applyFont="1" applyFill="1" applyBorder="1"/>
    <xf numFmtId="0" fontId="16" fillId="2" borderId="65" xfId="0" applyFont="1" applyFill="1" applyBorder="1" applyAlignment="1">
      <alignment horizontal="justify" vertical="center" wrapText="1"/>
    </xf>
    <xf numFmtId="0" fontId="16" fillId="2" borderId="66" xfId="0" applyFont="1" applyFill="1" applyBorder="1" applyAlignment="1">
      <alignment horizontal="justify" vertical="center" wrapText="1"/>
    </xf>
    <xf numFmtId="0" fontId="16" fillId="2" borderId="67" xfId="0" applyFont="1" applyFill="1" applyBorder="1" applyAlignment="1">
      <alignment horizontal="justify" vertical="center" wrapText="1"/>
    </xf>
    <xf numFmtId="174" fontId="26" fillId="2" borderId="11" xfId="0" applyNumberFormat="1" applyFont="1" applyFill="1" applyBorder="1" applyAlignment="1">
      <alignment horizontal="center"/>
    </xf>
    <xf numFmtId="174" fontId="9" fillId="2" borderId="11" xfId="0" applyNumberFormat="1" applyFont="1" applyFill="1" applyBorder="1" applyAlignment="1">
      <alignment horizontal="center"/>
    </xf>
  </cellXfs>
  <cellStyles count="4">
    <cellStyle name="Comma" xfId="2" builtinId="3"/>
    <cellStyle name="Normal" xfId="0" builtinId="0"/>
    <cellStyle name="Normal 2" xfId="1"/>
    <cellStyle name="Percent" xfId="3" builtinId="5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2"/>
  <sheetViews>
    <sheetView topLeftCell="A46" workbookViewId="0">
      <selection activeCell="E62" sqref="E62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454" t="s">
        <v>0</v>
      </c>
      <c r="B15" s="454"/>
      <c r="C15" s="454"/>
      <c r="D15" s="454"/>
      <c r="E15" s="45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36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99.65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20.49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B20/25*10/50</f>
        <v>0.16391999999999995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  <c r="F23" s="16" t="s">
        <v>129</v>
      </c>
    </row>
    <row r="24" spans="1:6" ht="16.5" customHeight="1" x14ac:dyDescent="0.3">
      <c r="A24" s="17">
        <v>1</v>
      </c>
      <c r="B24" s="18">
        <v>128878758</v>
      </c>
      <c r="C24" s="18">
        <v>11212.5</v>
      </c>
      <c r="D24" s="19">
        <v>1</v>
      </c>
      <c r="E24" s="20">
        <v>7.8</v>
      </c>
      <c r="F24" s="503">
        <v>15.6</v>
      </c>
    </row>
    <row r="25" spans="1:6" ht="16.5" customHeight="1" x14ac:dyDescent="0.3">
      <c r="A25" s="17">
        <v>2</v>
      </c>
      <c r="B25" s="18">
        <v>129078980</v>
      </c>
      <c r="C25" s="18">
        <v>11206.3</v>
      </c>
      <c r="D25" s="19">
        <v>1</v>
      </c>
      <c r="E25" s="19">
        <v>7.8</v>
      </c>
      <c r="F25" s="504">
        <v>15.7</v>
      </c>
    </row>
    <row r="26" spans="1:6" ht="16.5" customHeight="1" x14ac:dyDescent="0.3">
      <c r="A26" s="17">
        <v>3</v>
      </c>
      <c r="B26" s="18">
        <v>129419325</v>
      </c>
      <c r="C26" s="18">
        <v>11213.7</v>
      </c>
      <c r="D26" s="19">
        <v>1</v>
      </c>
      <c r="E26" s="19">
        <v>7.8</v>
      </c>
      <c r="F26" s="504">
        <v>15.6</v>
      </c>
    </row>
    <row r="27" spans="1:6" ht="16.5" customHeight="1" x14ac:dyDescent="0.3">
      <c r="A27" s="17">
        <v>4</v>
      </c>
      <c r="B27" s="18">
        <v>129453116</v>
      </c>
      <c r="C27" s="18">
        <v>11225.3</v>
      </c>
      <c r="D27" s="19">
        <v>1</v>
      </c>
      <c r="E27" s="19">
        <v>7.8</v>
      </c>
      <c r="F27" s="504">
        <v>15.7</v>
      </c>
    </row>
    <row r="28" spans="1:6" ht="16.5" customHeight="1" x14ac:dyDescent="0.3">
      <c r="A28" s="17">
        <v>5</v>
      </c>
      <c r="B28" s="18">
        <v>129436794</v>
      </c>
      <c r="C28" s="18">
        <v>11227</v>
      </c>
      <c r="D28" s="19">
        <v>1</v>
      </c>
      <c r="E28" s="19">
        <v>7.8</v>
      </c>
      <c r="F28" s="504">
        <v>15.6</v>
      </c>
    </row>
    <row r="29" spans="1:6" ht="16.5" customHeight="1" x14ac:dyDescent="0.3">
      <c r="A29" s="17">
        <v>6</v>
      </c>
      <c r="B29" s="21">
        <v>129462891</v>
      </c>
      <c r="C29" s="21">
        <v>11223.9</v>
      </c>
      <c r="D29" s="22">
        <v>1</v>
      </c>
      <c r="E29" s="22">
        <v>7.8</v>
      </c>
      <c r="F29" s="505">
        <v>15.7</v>
      </c>
    </row>
    <row r="30" spans="1:6" ht="16.5" customHeight="1" x14ac:dyDescent="0.3">
      <c r="A30" s="23" t="s">
        <v>18</v>
      </c>
      <c r="B30" s="24">
        <f>AVERAGE(B24:B29)</f>
        <v>129288310.66666667</v>
      </c>
      <c r="C30" s="25">
        <f>AVERAGE(C24:C29)</f>
        <v>11218.116666666667</v>
      </c>
      <c r="D30" s="26">
        <f>AVERAGE(D24:D29)</f>
        <v>1</v>
      </c>
      <c r="E30" s="26">
        <f>AVERAGE(E24:E29)</f>
        <v>7.8</v>
      </c>
      <c r="F30" s="26">
        <f>AVERAGE(F24:F29)</f>
        <v>15.649999999999999</v>
      </c>
    </row>
    <row r="31" spans="1:6" ht="16.5" customHeight="1" x14ac:dyDescent="0.3">
      <c r="A31" s="27" t="s">
        <v>19</v>
      </c>
      <c r="B31" s="28">
        <f>(STDEV(B24:B29)/B30)</f>
        <v>1.9209481404733305E-3</v>
      </c>
      <c r="C31" s="29"/>
      <c r="D31" s="29"/>
      <c r="E31" s="30"/>
      <c r="F31" s="30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  <c r="F32" s="35"/>
    </row>
    <row r="33" spans="1:9" s="2" customFormat="1" ht="15.75" customHeight="1" x14ac:dyDescent="0.3">
      <c r="A33" s="10"/>
      <c r="B33" s="10"/>
      <c r="C33" s="10"/>
      <c r="D33" s="10"/>
      <c r="E33" s="36"/>
    </row>
    <row r="34" spans="1:9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9" ht="16.5" customHeight="1" x14ac:dyDescent="0.3">
      <c r="A35" s="11"/>
      <c r="B35" s="37" t="s">
        <v>23</v>
      </c>
      <c r="C35" s="38"/>
      <c r="D35" s="38"/>
      <c r="E35" s="39"/>
      <c r="F35" s="2"/>
    </row>
    <row r="36" spans="1:9" ht="16.5" customHeight="1" x14ac:dyDescent="0.3">
      <c r="A36" s="11"/>
      <c r="B36" s="40" t="s">
        <v>24</v>
      </c>
      <c r="C36" s="38"/>
      <c r="D36" s="38"/>
      <c r="E36" s="38"/>
    </row>
    <row r="37" spans="1:9" s="44" customFormat="1" ht="16.5" customHeight="1" x14ac:dyDescent="0.3">
      <c r="A37" s="11"/>
      <c r="B37" s="40" t="s">
        <v>130</v>
      </c>
      <c r="C37" s="39"/>
      <c r="D37" s="39"/>
      <c r="E37" s="39"/>
      <c r="F37" s="355"/>
      <c r="G37" s="355"/>
      <c r="H37" s="355"/>
      <c r="I37" s="355"/>
    </row>
    <row r="38" spans="1:9" ht="15.75" customHeight="1" x14ac:dyDescent="0.3">
      <c r="A38" s="10"/>
      <c r="B38" s="10"/>
      <c r="C38" s="10"/>
      <c r="D38" s="10"/>
      <c r="E38" s="10"/>
    </row>
    <row r="39" spans="1:9" ht="16.5" customHeight="1" x14ac:dyDescent="0.3">
      <c r="A39" s="5" t="s">
        <v>1</v>
      </c>
      <c r="B39" s="6"/>
    </row>
    <row r="40" spans="1:9" ht="16.5" customHeight="1" x14ac:dyDescent="0.3">
      <c r="A40" s="11" t="s">
        <v>4</v>
      </c>
      <c r="B40" s="8" t="s">
        <v>126</v>
      </c>
      <c r="C40" s="10"/>
      <c r="D40" s="10"/>
      <c r="E40" s="10"/>
    </row>
    <row r="41" spans="1:9" ht="16.5" customHeight="1" x14ac:dyDescent="0.3">
      <c r="A41" s="11" t="s">
        <v>6</v>
      </c>
      <c r="B41" s="12">
        <v>99.3</v>
      </c>
      <c r="C41" s="10"/>
      <c r="D41" s="10"/>
      <c r="E41" s="10"/>
    </row>
    <row r="42" spans="1:9" ht="16.5" customHeight="1" x14ac:dyDescent="0.3">
      <c r="A42" s="7" t="s">
        <v>8</v>
      </c>
      <c r="B42" s="12">
        <v>26.55</v>
      </c>
      <c r="C42" s="10"/>
      <c r="D42" s="10"/>
      <c r="E42" s="10"/>
    </row>
    <row r="43" spans="1:9" ht="16.5" customHeight="1" x14ac:dyDescent="0.3">
      <c r="A43" s="7" t="s">
        <v>10</v>
      </c>
      <c r="B43" s="13">
        <f>B42/25*2/50</f>
        <v>4.2480000000000004E-2</v>
      </c>
      <c r="C43" s="10"/>
      <c r="D43" s="10"/>
      <c r="E43" s="10"/>
    </row>
    <row r="44" spans="1:9" ht="15.75" customHeight="1" x14ac:dyDescent="0.3">
      <c r="A44" s="10"/>
      <c r="B44" s="10"/>
      <c r="C44" s="10"/>
      <c r="D44" s="10"/>
      <c r="E44" s="10"/>
    </row>
    <row r="45" spans="1:9" ht="16.5" customHeight="1" x14ac:dyDescent="0.3">
      <c r="A45" s="14" t="s">
        <v>13</v>
      </c>
      <c r="B45" s="15" t="s">
        <v>14</v>
      </c>
      <c r="C45" s="14" t="s">
        <v>15</v>
      </c>
      <c r="D45" s="14" t="s">
        <v>16</v>
      </c>
      <c r="E45" s="16" t="s">
        <v>17</v>
      </c>
      <c r="F45" s="449" t="s">
        <v>129</v>
      </c>
    </row>
    <row r="46" spans="1:9" ht="16.5" customHeight="1" x14ac:dyDescent="0.3">
      <c r="A46" s="17">
        <v>1</v>
      </c>
      <c r="B46" s="18">
        <v>12754878</v>
      </c>
      <c r="C46" s="18">
        <v>8286.1</v>
      </c>
      <c r="D46" s="19">
        <v>1.1000000000000001</v>
      </c>
      <c r="E46" s="20">
        <v>4.0999999999999996</v>
      </c>
      <c r="F46" s="450">
        <v>15.6</v>
      </c>
    </row>
    <row r="47" spans="1:9" ht="16.5" customHeight="1" x14ac:dyDescent="0.3">
      <c r="A47" s="17">
        <v>2</v>
      </c>
      <c r="B47" s="18">
        <v>12768826</v>
      </c>
      <c r="C47" s="18">
        <v>8355.2000000000007</v>
      </c>
      <c r="D47" s="19">
        <v>1.1000000000000001</v>
      </c>
      <c r="E47" s="19">
        <v>4.0999999999999996</v>
      </c>
      <c r="F47" s="451">
        <v>15.7</v>
      </c>
    </row>
    <row r="48" spans="1:9" ht="16.5" customHeight="1" x14ac:dyDescent="0.3">
      <c r="A48" s="17">
        <v>3</v>
      </c>
      <c r="B48" s="18">
        <v>12797469</v>
      </c>
      <c r="C48" s="18">
        <v>8279.5</v>
      </c>
      <c r="D48" s="19">
        <v>1.1000000000000001</v>
      </c>
      <c r="E48" s="19">
        <v>4.0999999999999996</v>
      </c>
      <c r="F48" s="451">
        <v>15.6</v>
      </c>
    </row>
    <row r="49" spans="1:7" ht="16.5" customHeight="1" x14ac:dyDescent="0.3">
      <c r="A49" s="17">
        <v>4</v>
      </c>
      <c r="B49" s="18">
        <v>12804055</v>
      </c>
      <c r="C49" s="18">
        <v>8362</v>
      </c>
      <c r="D49" s="19">
        <v>1.2</v>
      </c>
      <c r="E49" s="19">
        <v>4.0999999999999996</v>
      </c>
      <c r="F49" s="451">
        <v>15.7</v>
      </c>
    </row>
    <row r="50" spans="1:7" ht="16.5" customHeight="1" x14ac:dyDescent="0.3">
      <c r="A50" s="17">
        <v>5</v>
      </c>
      <c r="B50" s="18">
        <v>12796383</v>
      </c>
      <c r="C50" s="18">
        <v>8284.2999999999993</v>
      </c>
      <c r="D50" s="19">
        <v>1.1000000000000001</v>
      </c>
      <c r="E50" s="19">
        <v>4.0999999999999996</v>
      </c>
      <c r="F50" s="451">
        <v>15.6</v>
      </c>
    </row>
    <row r="51" spans="1:7" ht="16.5" customHeight="1" x14ac:dyDescent="0.3">
      <c r="A51" s="17">
        <v>6</v>
      </c>
      <c r="B51" s="21">
        <v>12795080</v>
      </c>
      <c r="C51" s="21">
        <v>8298.2000000000007</v>
      </c>
      <c r="D51" s="22">
        <v>1.1000000000000001</v>
      </c>
      <c r="E51" s="22">
        <v>4.0999999999999996</v>
      </c>
      <c r="F51" s="451">
        <v>15.7</v>
      </c>
    </row>
    <row r="52" spans="1:7" ht="16.5" customHeight="1" x14ac:dyDescent="0.3">
      <c r="A52" s="23" t="s">
        <v>18</v>
      </c>
      <c r="B52" s="24">
        <f>AVERAGE(B46:B51)</f>
        <v>12786115.166666666</v>
      </c>
      <c r="C52" s="25">
        <f>AVERAGE(C46:C51)</f>
        <v>8310.8833333333332</v>
      </c>
      <c r="D52" s="26">
        <f>AVERAGE(D46:D51)</f>
        <v>1.1166666666666665</v>
      </c>
      <c r="E52" s="26">
        <f>AVERAGE(E46:E51)</f>
        <v>4.1000000000000005</v>
      </c>
      <c r="F52" s="509">
        <v>15.649999999999999</v>
      </c>
    </row>
    <row r="53" spans="1:7" ht="16.5" customHeight="1" x14ac:dyDescent="0.3">
      <c r="A53" s="27" t="s">
        <v>19</v>
      </c>
      <c r="B53" s="28">
        <f>(STDEV(B46:B51)/B52)</f>
        <v>1.5290852093817445E-3</v>
      </c>
      <c r="C53" s="29"/>
      <c r="D53" s="29"/>
      <c r="E53" s="30"/>
      <c r="F53" s="452"/>
    </row>
    <row r="54" spans="1:7" s="2" customFormat="1" ht="16.5" customHeight="1" x14ac:dyDescent="0.3">
      <c r="A54" s="31" t="s">
        <v>20</v>
      </c>
      <c r="B54" s="32">
        <f>COUNT(B46:B51)</f>
        <v>6</v>
      </c>
      <c r="C54" s="33"/>
      <c r="D54" s="34"/>
      <c r="E54" s="35"/>
      <c r="F54" s="453"/>
    </row>
    <row r="55" spans="1:7" s="2" customFormat="1" ht="15.75" customHeight="1" x14ac:dyDescent="0.3">
      <c r="A55" s="10"/>
      <c r="B55" s="10"/>
      <c r="C55" s="10"/>
      <c r="D55" s="10"/>
      <c r="E55" s="36"/>
    </row>
    <row r="56" spans="1:7" s="2" customFormat="1" ht="16.5" customHeight="1" x14ac:dyDescent="0.3">
      <c r="A56" s="11" t="s">
        <v>21</v>
      </c>
      <c r="B56" s="37" t="s">
        <v>22</v>
      </c>
      <c r="C56" s="38"/>
      <c r="D56" s="38"/>
      <c r="E56" s="39"/>
    </row>
    <row r="57" spans="1:7" ht="16.5" customHeight="1" x14ac:dyDescent="0.3">
      <c r="A57" s="11"/>
      <c r="B57" s="37" t="s">
        <v>23</v>
      </c>
      <c r="C57" s="38"/>
      <c r="D57" s="38"/>
      <c r="E57" s="39"/>
      <c r="F57" s="2"/>
    </row>
    <row r="58" spans="1:7" ht="16.5" customHeight="1" x14ac:dyDescent="0.3">
      <c r="A58" s="11"/>
      <c r="B58" s="40" t="s">
        <v>24</v>
      </c>
      <c r="C58" s="38"/>
      <c r="D58" s="39"/>
      <c r="E58" s="38"/>
    </row>
    <row r="59" spans="1:7" ht="14.25" customHeight="1" x14ac:dyDescent="0.3">
      <c r="A59" s="41"/>
      <c r="B59" s="42"/>
      <c r="D59" s="43"/>
      <c r="F59" s="44"/>
      <c r="G59" s="44"/>
    </row>
    <row r="60" spans="1:7" ht="15" customHeight="1" x14ac:dyDescent="0.3">
      <c r="B60" s="455" t="s">
        <v>25</v>
      </c>
      <c r="C60" s="455"/>
      <c r="E60" s="45" t="s">
        <v>26</v>
      </c>
      <c r="F60" s="46"/>
      <c r="G60" s="45" t="s">
        <v>27</v>
      </c>
    </row>
    <row r="61" spans="1:7" ht="15" customHeight="1" x14ac:dyDescent="0.3">
      <c r="A61" s="47" t="s">
        <v>28</v>
      </c>
      <c r="B61" s="48"/>
      <c r="C61" s="48"/>
      <c r="E61" s="48"/>
      <c r="F61" s="2"/>
      <c r="G61" s="49"/>
    </row>
    <row r="62" spans="1:7" ht="25.2" customHeight="1" x14ac:dyDescent="0.3">
      <c r="A62" s="47" t="s">
        <v>29</v>
      </c>
      <c r="B62" s="50"/>
      <c r="C62" s="50" t="s">
        <v>131</v>
      </c>
      <c r="E62" s="506">
        <v>42366</v>
      </c>
      <c r="F62" s="2"/>
      <c r="G62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8" workbookViewId="0">
      <selection activeCell="D39" sqref="D39"/>
    </sheetView>
  </sheetViews>
  <sheetFormatPr defaultColWidth="9.109375" defaultRowHeight="13.8" x14ac:dyDescent="0.3"/>
  <cols>
    <col min="1" max="1" width="15.5546875" style="409" customWidth="1"/>
    <col min="2" max="2" width="18.44140625" style="409" customWidth="1"/>
    <col min="3" max="3" width="14.33203125" style="409" customWidth="1"/>
    <col min="4" max="4" width="15" style="409" customWidth="1"/>
    <col min="5" max="5" width="9.109375" style="409" customWidth="1"/>
    <col min="6" max="6" width="27.88671875" style="409" customWidth="1"/>
    <col min="7" max="7" width="12.33203125" style="409" customWidth="1"/>
    <col min="8" max="8" width="9.109375" style="409" customWidth="1"/>
    <col min="9" max="16384" width="9.109375" style="448"/>
  </cols>
  <sheetData>
    <row r="10" spans="1:7" ht="13.5" customHeight="1" thickBot="1" x14ac:dyDescent="0.35"/>
    <row r="11" spans="1:7" ht="13.5" customHeight="1" thickBot="1" x14ac:dyDescent="0.35">
      <c r="A11" s="458" t="s">
        <v>32</v>
      </c>
      <c r="B11" s="459"/>
      <c r="C11" s="459"/>
      <c r="D11" s="459"/>
      <c r="E11" s="459"/>
      <c r="F11" s="460"/>
      <c r="G11" s="410"/>
    </row>
    <row r="12" spans="1:7" ht="16.5" customHeight="1" x14ac:dyDescent="0.3">
      <c r="A12" s="461" t="s">
        <v>117</v>
      </c>
      <c r="B12" s="461"/>
      <c r="C12" s="461"/>
      <c r="D12" s="461"/>
      <c r="E12" s="461"/>
      <c r="F12" s="461"/>
      <c r="G12" s="411"/>
    </row>
    <row r="14" spans="1:7" ht="16.5" customHeight="1" x14ac:dyDescent="0.3">
      <c r="A14" s="462" t="s">
        <v>34</v>
      </c>
      <c r="B14" s="462"/>
      <c r="C14" s="412" t="s">
        <v>5</v>
      </c>
    </row>
    <row r="15" spans="1:7" ht="16.5" customHeight="1" x14ac:dyDescent="0.3">
      <c r="A15" s="462" t="s">
        <v>35</v>
      </c>
      <c r="B15" s="462"/>
      <c r="C15" s="412" t="s">
        <v>7</v>
      </c>
    </row>
    <row r="16" spans="1:7" ht="16.5" customHeight="1" x14ac:dyDescent="0.3">
      <c r="A16" s="462" t="s">
        <v>36</v>
      </c>
      <c r="B16" s="462"/>
      <c r="C16" s="412" t="s">
        <v>9</v>
      </c>
    </row>
    <row r="17" spans="1:5" ht="16.5" customHeight="1" x14ac:dyDescent="0.3">
      <c r="A17" s="462" t="s">
        <v>37</v>
      </c>
      <c r="B17" s="462"/>
      <c r="C17" s="412" t="s">
        <v>11</v>
      </c>
    </row>
    <row r="18" spans="1:5" ht="16.5" customHeight="1" x14ac:dyDescent="0.3">
      <c r="A18" s="462" t="s">
        <v>38</v>
      </c>
      <c r="B18" s="462"/>
      <c r="C18" s="413" t="s">
        <v>118</v>
      </c>
    </row>
    <row r="19" spans="1:5" ht="16.5" customHeight="1" x14ac:dyDescent="0.3">
      <c r="A19" s="462" t="s">
        <v>39</v>
      </c>
      <c r="B19" s="462"/>
      <c r="C19" s="413" t="e">
        <f>#REF!</f>
        <v>#REF!</v>
      </c>
    </row>
    <row r="20" spans="1:5" ht="16.5" customHeight="1" x14ac:dyDescent="0.3">
      <c r="A20" s="414"/>
      <c r="B20" s="414"/>
      <c r="C20" s="415"/>
    </row>
    <row r="21" spans="1:5" ht="16.5" customHeight="1" x14ac:dyDescent="0.3">
      <c r="A21" s="461" t="s">
        <v>1</v>
      </c>
      <c r="B21" s="461"/>
      <c r="C21" s="416" t="s">
        <v>119</v>
      </c>
      <c r="D21" s="417"/>
    </row>
    <row r="22" spans="1:5" ht="15.75" customHeight="1" thickBot="1" x14ac:dyDescent="0.35">
      <c r="A22" s="463"/>
      <c r="B22" s="463"/>
      <c r="C22" s="418"/>
      <c r="D22" s="463"/>
      <c r="E22" s="463"/>
    </row>
    <row r="23" spans="1:5" ht="33.75" customHeight="1" thickBot="1" x14ac:dyDescent="0.35">
      <c r="C23" s="419" t="s">
        <v>120</v>
      </c>
      <c r="D23" s="420" t="s">
        <v>121</v>
      </c>
      <c r="E23" s="421"/>
    </row>
    <row r="24" spans="1:5" ht="15.75" customHeight="1" x14ac:dyDescent="0.3">
      <c r="C24" s="507">
        <v>1045.46</v>
      </c>
      <c r="D24" s="422">
        <f>(C24-$C$46)/$C$46</f>
        <v>1.0413797435934697E-2</v>
      </c>
      <c r="E24" s="423"/>
    </row>
    <row r="25" spans="1:5" ht="15.75" customHeight="1" x14ac:dyDescent="0.3">
      <c r="C25" s="507">
        <v>1041.82</v>
      </c>
      <c r="D25" s="424">
        <f t="shared" ref="D24:D43" si="0">(C25-$C$46)/$C$46</f>
        <v>6.8958185341432329E-3</v>
      </c>
      <c r="E25" s="423"/>
    </row>
    <row r="26" spans="1:5" ht="15.75" customHeight="1" x14ac:dyDescent="0.3">
      <c r="C26" s="507">
        <v>1042.46</v>
      </c>
      <c r="D26" s="424">
        <f t="shared" si="0"/>
        <v>7.5143642751176361E-3</v>
      </c>
      <c r="E26" s="423"/>
    </row>
    <row r="27" spans="1:5" ht="15.75" customHeight="1" x14ac:dyDescent="0.3">
      <c r="C27" s="507">
        <v>1044.42</v>
      </c>
      <c r="D27" s="424">
        <f t="shared" si="0"/>
        <v>9.408660606851485E-3</v>
      </c>
      <c r="E27" s="423"/>
    </row>
    <row r="28" spans="1:5" ht="15.75" customHeight="1" x14ac:dyDescent="0.3">
      <c r="C28" s="507">
        <v>1036.5</v>
      </c>
      <c r="D28" s="424">
        <f t="shared" si="0"/>
        <v>1.7541570622943742E-3</v>
      </c>
      <c r="E28" s="423"/>
    </row>
    <row r="29" spans="1:5" ht="15.75" customHeight="1" x14ac:dyDescent="0.3">
      <c r="C29" s="507">
        <v>1027.6199999999999</v>
      </c>
      <c r="D29" s="424">
        <f t="shared" si="0"/>
        <v>-6.8281650937242304E-3</v>
      </c>
      <c r="E29" s="423"/>
    </row>
    <row r="30" spans="1:5" ht="15.75" customHeight="1" x14ac:dyDescent="0.3">
      <c r="C30" s="507">
        <v>1046.57</v>
      </c>
      <c r="D30" s="424">
        <f t="shared" si="0"/>
        <v>1.1486587705436912E-2</v>
      </c>
      <c r="E30" s="423"/>
    </row>
    <row r="31" spans="1:5" ht="15.75" customHeight="1" x14ac:dyDescent="0.3">
      <c r="C31" s="507">
        <v>1043.94</v>
      </c>
      <c r="D31" s="424">
        <f t="shared" si="0"/>
        <v>8.9447513011207368E-3</v>
      </c>
      <c r="E31" s="423"/>
    </row>
    <row r="32" spans="1:5" ht="15.75" customHeight="1" x14ac:dyDescent="0.3">
      <c r="C32" s="507">
        <v>1034.68</v>
      </c>
      <c r="D32" s="424">
        <f t="shared" si="0"/>
        <v>-4.8323886012474964E-6</v>
      </c>
      <c r="E32" s="423"/>
    </row>
    <row r="33" spans="1:7" ht="15.75" customHeight="1" x14ac:dyDescent="0.3">
      <c r="C33" s="507">
        <v>995.18</v>
      </c>
      <c r="D33" s="424">
        <f t="shared" si="0"/>
        <v>-3.8180702339359322E-2</v>
      </c>
      <c r="E33" s="423"/>
    </row>
    <row r="34" spans="1:7" ht="15.75" customHeight="1" x14ac:dyDescent="0.3">
      <c r="C34" s="507">
        <v>1031.04</v>
      </c>
      <c r="D34" s="424">
        <f t="shared" si="0"/>
        <v>-3.522811290392711E-3</v>
      </c>
      <c r="E34" s="423"/>
    </row>
    <row r="35" spans="1:7" ht="15.75" customHeight="1" x14ac:dyDescent="0.3">
      <c r="C35" s="507">
        <v>1016.86</v>
      </c>
      <c r="D35" s="424">
        <f t="shared" si="0"/>
        <v>-1.7227465363854635E-2</v>
      </c>
      <c r="E35" s="423"/>
    </row>
    <row r="36" spans="1:7" ht="15.75" customHeight="1" x14ac:dyDescent="0.3">
      <c r="C36" s="507">
        <v>1045.23</v>
      </c>
      <c r="D36" s="424">
        <f t="shared" si="0"/>
        <v>1.0191507560272038E-2</v>
      </c>
      <c r="E36" s="423"/>
    </row>
    <row r="37" spans="1:7" ht="15.75" customHeight="1" x14ac:dyDescent="0.3">
      <c r="C37" s="507">
        <v>1028.42</v>
      </c>
      <c r="D37" s="424">
        <f t="shared" si="0"/>
        <v>-6.0549829175061713E-3</v>
      </c>
      <c r="E37" s="423"/>
    </row>
    <row r="38" spans="1:7" ht="15.75" customHeight="1" x14ac:dyDescent="0.3">
      <c r="C38" s="507">
        <v>1036.6300000000001</v>
      </c>
      <c r="D38" s="424">
        <f t="shared" si="0"/>
        <v>1.8797991659298856E-3</v>
      </c>
      <c r="E38" s="423"/>
    </row>
    <row r="39" spans="1:7" ht="15.75" customHeight="1" x14ac:dyDescent="0.3">
      <c r="C39" s="507">
        <v>1037.54</v>
      </c>
      <c r="D39" s="424">
        <f t="shared" si="0"/>
        <v>2.7592938913775867E-3</v>
      </c>
      <c r="E39" s="423"/>
    </row>
    <row r="40" spans="1:7" ht="15.75" customHeight="1" x14ac:dyDescent="0.3">
      <c r="C40" s="507">
        <v>1031.32</v>
      </c>
      <c r="D40" s="424">
        <f t="shared" si="0"/>
        <v>-3.2521975287164782E-3</v>
      </c>
      <c r="E40" s="423"/>
    </row>
    <row r="41" spans="1:7" ht="15.75" customHeight="1" x14ac:dyDescent="0.3">
      <c r="C41" s="507">
        <v>1034.72</v>
      </c>
      <c r="D41" s="424">
        <f t="shared" si="0"/>
        <v>3.3826720209611483E-5</v>
      </c>
      <c r="E41" s="423"/>
    </row>
    <row r="42" spans="1:7" ht="15.75" customHeight="1" x14ac:dyDescent="0.3">
      <c r="C42" s="507">
        <v>1046</v>
      </c>
      <c r="D42" s="424">
        <f t="shared" si="0"/>
        <v>1.0935695404881733E-2</v>
      </c>
      <c r="E42" s="423"/>
    </row>
    <row r="43" spans="1:7" ht="16.5" customHeight="1" thickBot="1" x14ac:dyDescent="0.35">
      <c r="C43" s="508">
        <v>1027.29</v>
      </c>
      <c r="D43" s="425">
        <f t="shared" si="0"/>
        <v>-7.1471027414140367E-3</v>
      </c>
      <c r="E43" s="423"/>
    </row>
    <row r="44" spans="1:7" ht="16.5" customHeight="1" thickBot="1" x14ac:dyDescent="0.35">
      <c r="C44" s="426"/>
      <c r="D44" s="423"/>
      <c r="E44" s="427"/>
    </row>
    <row r="45" spans="1:7" ht="16.5" customHeight="1" thickBot="1" x14ac:dyDescent="0.35">
      <c r="B45" s="428" t="s">
        <v>122</v>
      </c>
      <c r="C45" s="511">
        <f>SUM(C24:C44)</f>
        <v>20693.7</v>
      </c>
      <c r="D45" s="429"/>
      <c r="E45" s="426"/>
    </row>
    <row r="46" spans="1:7" ht="17.25" customHeight="1" thickBot="1" x14ac:dyDescent="0.35">
      <c r="B46" s="428" t="s">
        <v>123</v>
      </c>
      <c r="C46" s="510">
        <f>AVERAGE(C24:C43)</f>
        <v>1034.6849999999999</v>
      </c>
      <c r="E46" s="430"/>
    </row>
    <row r="47" spans="1:7" ht="17.25" customHeight="1" thickBot="1" x14ac:dyDescent="0.35">
      <c r="A47" s="412"/>
      <c r="B47" s="431"/>
      <c r="D47" s="432"/>
      <c r="E47" s="430"/>
    </row>
    <row r="48" spans="1:7" ht="33.75" customHeight="1" thickBot="1" x14ac:dyDescent="0.35">
      <c r="B48" s="433" t="s">
        <v>123</v>
      </c>
      <c r="C48" s="420" t="s">
        <v>124</v>
      </c>
      <c r="D48" s="434"/>
      <c r="G48" s="432"/>
    </row>
    <row r="49" spans="1:6" ht="17.25" customHeight="1" thickBot="1" x14ac:dyDescent="0.35">
      <c r="B49" s="456">
        <f>C46</f>
        <v>1034.6849999999999</v>
      </c>
      <c r="C49" s="435">
        <f>-IF(C46&lt;=80,10%,IF(C46&lt;250,7.5%,5%))</f>
        <v>-0.05</v>
      </c>
      <c r="D49" s="436">
        <f>IF(C46&lt;=80,C46*0.9,IF(C46&lt;250,C46*0.925,C46*0.95))</f>
        <v>982.95074999999986</v>
      </c>
    </row>
    <row r="50" spans="1:6" ht="17.25" customHeight="1" thickBot="1" x14ac:dyDescent="0.35">
      <c r="B50" s="457"/>
      <c r="C50" s="437">
        <f>IF(C46&lt;=80, 10%, IF(C46&lt;250, 7.5%, 5%))</f>
        <v>0.05</v>
      </c>
      <c r="D50" s="436">
        <f>IF(C46&lt;=80, C46*1.1, IF(C46&lt;250, C46*1.075, C46*1.05))</f>
        <v>1086.4192499999999</v>
      </c>
    </row>
    <row r="51" spans="1:6" ht="16.5" customHeight="1" thickBot="1" x14ac:dyDescent="0.35">
      <c r="A51" s="438"/>
      <c r="B51" s="439"/>
      <c r="C51" s="412"/>
      <c r="D51" s="440"/>
      <c r="E51" s="412"/>
      <c r="F51" s="417"/>
    </row>
    <row r="52" spans="1:6" ht="16.5" customHeight="1" x14ac:dyDescent="0.3">
      <c r="A52" s="412"/>
      <c r="B52" s="441" t="s">
        <v>25</v>
      </c>
      <c r="C52" s="441"/>
      <c r="D52" s="442" t="s">
        <v>26</v>
      </c>
      <c r="E52" s="443"/>
      <c r="F52" s="442" t="s">
        <v>27</v>
      </c>
    </row>
    <row r="53" spans="1:6" ht="34.5" customHeight="1" x14ac:dyDescent="0.3">
      <c r="A53" s="414" t="s">
        <v>28</v>
      </c>
      <c r="B53" s="444"/>
      <c r="C53" s="412"/>
      <c r="D53" s="444"/>
      <c r="E53" s="412"/>
      <c r="F53" s="444"/>
    </row>
    <row r="54" spans="1:6" ht="34.5" customHeight="1" x14ac:dyDescent="0.3">
      <c r="A54" s="414" t="s">
        <v>29</v>
      </c>
      <c r="B54" s="445"/>
      <c r="C54" s="446"/>
      <c r="D54" s="445"/>
      <c r="E54" s="412"/>
      <c r="F54" s="447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B105" zoomScale="60" zoomScaleNormal="60" zoomScalePageLayoutView="55" workbookViewId="0">
      <selection activeCell="E131" sqref="E131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21.33203125" style="2" customWidth="1"/>
    <col min="11" max="11" width="9.109375" style="2"/>
    <col min="12" max="16384" width="9.109375" style="516"/>
  </cols>
  <sheetData>
    <row r="1" spans="1:11" customFormat="1" ht="18.75" customHeight="1" x14ac:dyDescent="0.3">
      <c r="A1" s="464" t="s">
        <v>30</v>
      </c>
      <c r="B1" s="464"/>
      <c r="C1" s="464"/>
      <c r="D1" s="464"/>
      <c r="E1" s="464"/>
      <c r="F1" s="464"/>
      <c r="G1" s="464"/>
      <c r="H1" s="464"/>
      <c r="I1" s="464"/>
      <c r="J1" s="2"/>
      <c r="K1" s="2"/>
    </row>
    <row r="2" spans="1:11" customFormat="1" ht="18.75" customHeight="1" x14ac:dyDescent="0.3">
      <c r="A2" s="464"/>
      <c r="B2" s="464"/>
      <c r="C2" s="464"/>
      <c r="D2" s="464"/>
      <c r="E2" s="464"/>
      <c r="F2" s="464"/>
      <c r="G2" s="464"/>
      <c r="H2" s="464"/>
      <c r="I2" s="464"/>
      <c r="J2" s="2"/>
      <c r="K2" s="2"/>
    </row>
    <row r="3" spans="1:11" customFormat="1" ht="18.75" customHeight="1" x14ac:dyDescent="0.3">
      <c r="A3" s="464"/>
      <c r="B3" s="464"/>
      <c r="C3" s="464"/>
      <c r="D3" s="464"/>
      <c r="E3" s="464"/>
      <c r="F3" s="464"/>
      <c r="G3" s="464"/>
      <c r="H3" s="464"/>
      <c r="I3" s="464"/>
      <c r="J3" s="2"/>
      <c r="K3" s="2"/>
    </row>
    <row r="4" spans="1:11" customFormat="1" ht="18.75" customHeight="1" x14ac:dyDescent="0.3">
      <c r="A4" s="464"/>
      <c r="B4" s="464"/>
      <c r="C4" s="464"/>
      <c r="D4" s="464"/>
      <c r="E4" s="464"/>
      <c r="F4" s="464"/>
      <c r="G4" s="464"/>
      <c r="H4" s="464"/>
      <c r="I4" s="464"/>
      <c r="J4" s="2"/>
      <c r="K4" s="2"/>
    </row>
    <row r="5" spans="1:11" customFormat="1" ht="18.75" customHeight="1" x14ac:dyDescent="0.3">
      <c r="A5" s="464"/>
      <c r="B5" s="464"/>
      <c r="C5" s="464"/>
      <c r="D5" s="464"/>
      <c r="E5" s="464"/>
      <c r="F5" s="464"/>
      <c r="G5" s="464"/>
      <c r="H5" s="464"/>
      <c r="I5" s="464"/>
      <c r="J5" s="2"/>
      <c r="K5" s="2"/>
    </row>
    <row r="6" spans="1:11" customFormat="1" ht="18.75" customHeight="1" x14ac:dyDescent="0.3">
      <c r="A6" s="464"/>
      <c r="B6" s="464"/>
      <c r="C6" s="464"/>
      <c r="D6" s="464"/>
      <c r="E6" s="464"/>
      <c r="F6" s="464"/>
      <c r="G6" s="464"/>
      <c r="H6" s="464"/>
      <c r="I6" s="464"/>
      <c r="J6" s="2"/>
      <c r="K6" s="2"/>
    </row>
    <row r="7" spans="1:11" customFormat="1" ht="18.75" customHeight="1" x14ac:dyDescent="0.3">
      <c r="A7" s="464"/>
      <c r="B7" s="464"/>
      <c r="C7" s="464"/>
      <c r="D7" s="464"/>
      <c r="E7" s="464"/>
      <c r="F7" s="464"/>
      <c r="G7" s="464"/>
      <c r="H7" s="464"/>
      <c r="I7" s="464"/>
      <c r="J7" s="2"/>
      <c r="K7" s="2"/>
    </row>
    <row r="8" spans="1:11" customFormat="1" x14ac:dyDescent="0.3">
      <c r="A8" s="465" t="s">
        <v>31</v>
      </c>
      <c r="B8" s="465"/>
      <c r="C8" s="465"/>
      <c r="D8" s="465"/>
      <c r="E8" s="465"/>
      <c r="F8" s="465"/>
      <c r="G8" s="465"/>
      <c r="H8" s="465"/>
      <c r="I8" s="465"/>
      <c r="J8" s="2"/>
      <c r="K8" s="2"/>
    </row>
    <row r="9" spans="1:11" customFormat="1" x14ac:dyDescent="0.3">
      <c r="A9" s="465"/>
      <c r="B9" s="465"/>
      <c r="C9" s="465"/>
      <c r="D9" s="465"/>
      <c r="E9" s="465"/>
      <c r="F9" s="465"/>
      <c r="G9" s="465"/>
      <c r="H9" s="465"/>
      <c r="I9" s="465"/>
      <c r="J9" s="2"/>
      <c r="K9" s="2"/>
    </row>
    <row r="10" spans="1:11" customFormat="1" x14ac:dyDescent="0.3">
      <c r="A10" s="465"/>
      <c r="B10" s="465"/>
      <c r="C10" s="465"/>
      <c r="D10" s="465"/>
      <c r="E10" s="465"/>
      <c r="F10" s="465"/>
      <c r="G10" s="465"/>
      <c r="H10" s="465"/>
      <c r="I10" s="465"/>
      <c r="J10" s="2"/>
      <c r="K10" s="2"/>
    </row>
    <row r="11" spans="1:11" customFormat="1" x14ac:dyDescent="0.3">
      <c r="A11" s="465"/>
      <c r="B11" s="465"/>
      <c r="C11" s="465"/>
      <c r="D11" s="465"/>
      <c r="E11" s="465"/>
      <c r="F11" s="465"/>
      <c r="G11" s="465"/>
      <c r="H11" s="465"/>
      <c r="I11" s="465"/>
      <c r="J11" s="2"/>
      <c r="K11" s="2"/>
    </row>
    <row r="12" spans="1:11" customFormat="1" x14ac:dyDescent="0.3">
      <c r="A12" s="465"/>
      <c r="B12" s="465"/>
      <c r="C12" s="465"/>
      <c r="D12" s="465"/>
      <c r="E12" s="465"/>
      <c r="F12" s="465"/>
      <c r="G12" s="465"/>
      <c r="H12" s="465"/>
      <c r="I12" s="465"/>
      <c r="J12" s="2"/>
      <c r="K12" s="2"/>
    </row>
    <row r="13" spans="1:11" customFormat="1" x14ac:dyDescent="0.3">
      <c r="A13" s="465"/>
      <c r="B13" s="465"/>
      <c r="C13" s="465"/>
      <c r="D13" s="465"/>
      <c r="E13" s="465"/>
      <c r="F13" s="465"/>
      <c r="G13" s="465"/>
      <c r="H13" s="465"/>
      <c r="I13" s="465"/>
      <c r="J13" s="2"/>
      <c r="K13" s="2"/>
    </row>
    <row r="14" spans="1:11" customFormat="1" x14ac:dyDescent="0.3">
      <c r="A14" s="465"/>
      <c r="B14" s="465"/>
      <c r="C14" s="465"/>
      <c r="D14" s="465"/>
      <c r="E14" s="465"/>
      <c r="F14" s="465"/>
      <c r="G14" s="465"/>
      <c r="H14" s="465"/>
      <c r="I14" s="465"/>
      <c r="J14" s="2"/>
      <c r="K14" s="2"/>
    </row>
    <row r="15" spans="1:11" customFormat="1" ht="19.5" customHeight="1" x14ac:dyDescent="0.35">
      <c r="A15" s="5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customFormat="1" ht="19.5" customHeight="1" x14ac:dyDescent="0.35">
      <c r="A16" s="498" t="s">
        <v>32</v>
      </c>
      <c r="B16" s="499"/>
      <c r="C16" s="499"/>
      <c r="D16" s="499"/>
      <c r="E16" s="499"/>
      <c r="F16" s="499"/>
      <c r="G16" s="499"/>
      <c r="H16" s="500"/>
      <c r="I16" s="2"/>
      <c r="J16" s="2"/>
      <c r="K16" s="2"/>
    </row>
    <row r="17" spans="1:13" customFormat="1" ht="20.25" customHeight="1" x14ac:dyDescent="0.3">
      <c r="A17" s="501" t="s">
        <v>33</v>
      </c>
      <c r="B17" s="501"/>
      <c r="C17" s="501"/>
      <c r="D17" s="501"/>
      <c r="E17" s="501"/>
      <c r="F17" s="501"/>
      <c r="G17" s="501"/>
      <c r="H17" s="501"/>
      <c r="I17" s="2"/>
      <c r="J17" s="2"/>
      <c r="K17" s="2"/>
    </row>
    <row r="18" spans="1:13" customFormat="1" ht="26.25" customHeight="1" x14ac:dyDescent="0.5">
      <c r="A18" s="54" t="s">
        <v>34</v>
      </c>
      <c r="B18" s="497" t="s">
        <v>5</v>
      </c>
      <c r="C18" s="497"/>
      <c r="D18" s="213"/>
      <c r="E18" s="55"/>
      <c r="F18" s="56"/>
      <c r="G18" s="56"/>
      <c r="H18" s="56"/>
      <c r="I18" s="2"/>
      <c r="J18" s="2"/>
      <c r="K18" s="2"/>
    </row>
    <row r="19" spans="1:13" customFormat="1" ht="26.25" customHeight="1" x14ac:dyDescent="0.5">
      <c r="A19" s="54" t="s">
        <v>35</v>
      </c>
      <c r="B19" s="57" t="s">
        <v>7</v>
      </c>
      <c r="C19" s="226">
        <v>29</v>
      </c>
      <c r="D19" s="56"/>
      <c r="E19" s="56"/>
      <c r="F19" s="56"/>
      <c r="G19" s="56"/>
      <c r="H19" s="56"/>
      <c r="I19" s="2"/>
      <c r="J19" s="2"/>
      <c r="K19" s="2"/>
    </row>
    <row r="20" spans="1:13" customFormat="1" ht="26.25" customHeight="1" x14ac:dyDescent="0.5">
      <c r="A20" s="54" t="s">
        <v>36</v>
      </c>
      <c r="B20" s="518" t="s">
        <v>133</v>
      </c>
      <c r="C20" s="518"/>
      <c r="D20" s="56"/>
      <c r="E20" s="56"/>
      <c r="F20" s="56"/>
      <c r="G20" s="56"/>
      <c r="H20" s="56"/>
      <c r="I20" s="2"/>
      <c r="J20" s="2"/>
      <c r="K20" s="2"/>
    </row>
    <row r="21" spans="1:13" customFormat="1" ht="26.25" customHeight="1" x14ac:dyDescent="0.5">
      <c r="A21" s="54" t="s">
        <v>37</v>
      </c>
      <c r="B21" s="502" t="s">
        <v>132</v>
      </c>
      <c r="C21" s="502"/>
      <c r="D21" s="502"/>
      <c r="E21" s="502"/>
      <c r="F21" s="502"/>
      <c r="G21" s="502"/>
      <c r="H21" s="502"/>
      <c r="I21" s="58"/>
      <c r="J21" s="2"/>
      <c r="K21" s="2"/>
    </row>
    <row r="22" spans="1:13" customFormat="1" ht="26.25" customHeight="1" x14ac:dyDescent="0.5">
      <c r="A22" s="54" t="s">
        <v>38</v>
      </c>
      <c r="B22" s="59" t="s">
        <v>12</v>
      </c>
      <c r="C22" s="56"/>
      <c r="D22" s="56"/>
      <c r="E22" s="56"/>
      <c r="F22" s="56"/>
      <c r="G22" s="56"/>
      <c r="H22" s="56"/>
      <c r="I22" s="2"/>
      <c r="J22" s="2"/>
      <c r="K22" s="2"/>
    </row>
    <row r="23" spans="1:13" customFormat="1" ht="26.25" customHeight="1" x14ac:dyDescent="0.5">
      <c r="A23" s="54" t="s">
        <v>39</v>
      </c>
      <c r="B23" s="59"/>
      <c r="C23" s="56"/>
      <c r="D23" s="56"/>
      <c r="E23" s="56"/>
      <c r="F23" s="56"/>
      <c r="G23" s="56"/>
      <c r="H23" s="56"/>
      <c r="I23" s="2"/>
      <c r="J23" s="2"/>
      <c r="K23" s="2"/>
    </row>
    <row r="24" spans="1:13" customFormat="1" ht="18" x14ac:dyDescent="0.35">
      <c r="A24" s="54"/>
      <c r="B24" s="60"/>
      <c r="C24" s="2"/>
      <c r="D24" s="2"/>
      <c r="E24" s="2"/>
      <c r="F24" s="2"/>
      <c r="G24" s="2"/>
      <c r="H24" s="2"/>
      <c r="I24" s="2"/>
      <c r="J24" s="2"/>
      <c r="K24" s="2"/>
    </row>
    <row r="25" spans="1:13" customFormat="1" ht="18" x14ac:dyDescent="0.35">
      <c r="A25" s="61" t="s">
        <v>1</v>
      </c>
      <c r="B25" s="60"/>
      <c r="C25" s="2"/>
      <c r="D25" s="2"/>
      <c r="E25" s="2"/>
      <c r="F25" s="2"/>
      <c r="G25" s="2"/>
      <c r="H25" s="2"/>
      <c r="I25" s="2"/>
      <c r="J25" s="2"/>
      <c r="K25" s="2"/>
    </row>
    <row r="26" spans="1:13" customFormat="1" ht="26.25" customHeight="1" x14ac:dyDescent="0.45">
      <c r="A26" s="62" t="s">
        <v>4</v>
      </c>
      <c r="B26" s="497" t="s">
        <v>125</v>
      </c>
      <c r="C26" s="497"/>
      <c r="D26" s="2"/>
      <c r="E26" s="2"/>
      <c r="F26" s="2"/>
      <c r="G26" s="2"/>
      <c r="H26" s="2"/>
      <c r="I26" s="2"/>
      <c r="J26" s="2"/>
      <c r="K26" s="2"/>
    </row>
    <row r="27" spans="1:13" customFormat="1" ht="26.25" customHeight="1" x14ac:dyDescent="0.5">
      <c r="A27" s="63" t="s">
        <v>40</v>
      </c>
      <c r="B27" s="495" t="s">
        <v>127</v>
      </c>
      <c r="C27" s="495"/>
      <c r="D27" s="2"/>
      <c r="E27" s="2"/>
      <c r="F27" s="2"/>
      <c r="G27" s="2"/>
      <c r="H27" s="2"/>
      <c r="I27" s="2"/>
      <c r="J27" s="2"/>
      <c r="K27" s="2"/>
    </row>
    <row r="28" spans="1:13" customFormat="1" ht="27" customHeight="1" x14ac:dyDescent="0.45">
      <c r="A28" s="63" t="s">
        <v>6</v>
      </c>
      <c r="B28" s="64">
        <v>99.65</v>
      </c>
      <c r="C28" s="2"/>
      <c r="D28" s="2"/>
      <c r="E28" s="2"/>
      <c r="F28" s="2"/>
      <c r="G28" s="2"/>
      <c r="H28" s="2"/>
      <c r="I28" s="2"/>
      <c r="J28" s="2"/>
      <c r="K28" s="2"/>
    </row>
    <row r="29" spans="1:13" s="512" customFormat="1" ht="27" customHeight="1" x14ac:dyDescent="0.5">
      <c r="A29" s="63" t="s">
        <v>41</v>
      </c>
      <c r="B29" s="65">
        <v>0</v>
      </c>
      <c r="C29" s="472" t="s">
        <v>42</v>
      </c>
      <c r="D29" s="473"/>
      <c r="E29" s="473"/>
      <c r="F29" s="473"/>
      <c r="G29" s="474"/>
      <c r="H29" s="14"/>
      <c r="I29" s="66"/>
      <c r="J29" s="66"/>
      <c r="K29" s="66"/>
    </row>
    <row r="30" spans="1:13" s="512" customFormat="1" ht="19.5" customHeight="1" x14ac:dyDescent="0.35">
      <c r="A30" s="63" t="s">
        <v>43</v>
      </c>
      <c r="B30" s="67">
        <f>B28-B29</f>
        <v>99.65</v>
      </c>
      <c r="C30" s="68"/>
      <c r="D30" s="68"/>
      <c r="E30" s="68"/>
      <c r="F30" s="68"/>
      <c r="G30" s="69"/>
      <c r="H30" s="14"/>
      <c r="I30" s="66"/>
      <c r="J30" s="66"/>
      <c r="K30" s="66"/>
    </row>
    <row r="31" spans="1:13" s="512" customFormat="1" ht="27" customHeight="1" x14ac:dyDescent="0.45">
      <c r="A31" s="63" t="s">
        <v>44</v>
      </c>
      <c r="B31" s="70">
        <v>1</v>
      </c>
      <c r="C31" s="475" t="s">
        <v>45</v>
      </c>
      <c r="D31" s="476"/>
      <c r="E31" s="476"/>
      <c r="F31" s="476"/>
      <c r="G31" s="476"/>
      <c r="H31" s="477"/>
      <c r="I31" s="66"/>
      <c r="J31" s="66"/>
      <c r="K31" s="66"/>
    </row>
    <row r="32" spans="1:13" s="512" customFormat="1" ht="27" customHeight="1" x14ac:dyDescent="0.45">
      <c r="A32" s="63" t="s">
        <v>46</v>
      </c>
      <c r="B32" s="70">
        <v>1</v>
      </c>
      <c r="C32" s="475" t="s">
        <v>47</v>
      </c>
      <c r="D32" s="476"/>
      <c r="E32" s="476"/>
      <c r="F32" s="476"/>
      <c r="G32" s="476"/>
      <c r="H32" s="477"/>
      <c r="I32" s="66"/>
      <c r="J32" s="66"/>
      <c r="K32" s="71"/>
      <c r="L32" s="513"/>
      <c r="M32" s="514"/>
    </row>
    <row r="33" spans="1:13" s="512" customFormat="1" ht="17.25" customHeight="1" x14ac:dyDescent="0.35">
      <c r="A33" s="63"/>
      <c r="B33" s="72"/>
      <c r="C33" s="73"/>
      <c r="D33" s="73"/>
      <c r="E33" s="73"/>
      <c r="F33" s="73"/>
      <c r="G33" s="73"/>
      <c r="H33" s="73"/>
      <c r="I33" s="66"/>
      <c r="J33" s="66"/>
      <c r="K33" s="71"/>
      <c r="L33" s="513"/>
      <c r="M33" s="514"/>
    </row>
    <row r="34" spans="1:13" s="512" customFormat="1" ht="18" x14ac:dyDescent="0.35">
      <c r="A34" s="63" t="s">
        <v>48</v>
      </c>
      <c r="B34" s="74">
        <f>B31/B32</f>
        <v>1</v>
      </c>
      <c r="C34" s="53" t="s">
        <v>49</v>
      </c>
      <c r="D34" s="53"/>
      <c r="E34" s="53"/>
      <c r="F34" s="53"/>
      <c r="G34" s="53"/>
      <c r="H34" s="14"/>
      <c r="I34" s="66"/>
      <c r="J34" s="66"/>
      <c r="K34" s="71"/>
      <c r="L34" s="513"/>
      <c r="M34" s="514"/>
    </row>
    <row r="35" spans="1:13" s="512" customFormat="1" ht="19.5" customHeight="1" x14ac:dyDescent="0.35">
      <c r="A35" s="63"/>
      <c r="B35" s="67"/>
      <c r="C35" s="14"/>
      <c r="D35" s="14"/>
      <c r="E35" s="14"/>
      <c r="F35" s="14"/>
      <c r="G35" s="53"/>
      <c r="H35" s="14"/>
      <c r="I35" s="66"/>
      <c r="J35" s="66"/>
      <c r="K35" s="71"/>
      <c r="L35" s="513"/>
      <c r="M35" s="514"/>
    </row>
    <row r="36" spans="1:13" s="512" customFormat="1" ht="27" customHeight="1" x14ac:dyDescent="0.45">
      <c r="A36" s="75" t="s">
        <v>50</v>
      </c>
      <c r="B36" s="76">
        <v>25</v>
      </c>
      <c r="C36" s="53"/>
      <c r="D36" s="478" t="s">
        <v>51</v>
      </c>
      <c r="E36" s="496"/>
      <c r="F36" s="478" t="s">
        <v>52</v>
      </c>
      <c r="G36" s="479"/>
      <c r="H36" s="14"/>
      <c r="I36" s="14"/>
      <c r="J36" s="66"/>
      <c r="K36" s="71"/>
      <c r="L36" s="513"/>
      <c r="M36" s="514"/>
    </row>
    <row r="37" spans="1:13" s="512" customFormat="1" ht="27" customHeight="1" x14ac:dyDescent="0.45">
      <c r="A37" s="77" t="s">
        <v>53</v>
      </c>
      <c r="B37" s="78">
        <v>10</v>
      </c>
      <c r="C37" s="79" t="s">
        <v>54</v>
      </c>
      <c r="D37" s="80" t="s">
        <v>55</v>
      </c>
      <c r="E37" s="81" t="s">
        <v>56</v>
      </c>
      <c r="F37" s="80" t="s">
        <v>55</v>
      </c>
      <c r="G37" s="82" t="s">
        <v>56</v>
      </c>
      <c r="H37" s="14"/>
      <c r="I37" s="83" t="s">
        <v>57</v>
      </c>
      <c r="J37" s="66"/>
      <c r="K37" s="71"/>
      <c r="L37" s="513"/>
      <c r="M37" s="514"/>
    </row>
    <row r="38" spans="1:13" s="512" customFormat="1" ht="26.25" customHeight="1" x14ac:dyDescent="0.45">
      <c r="A38" s="77" t="s">
        <v>58</v>
      </c>
      <c r="B38" s="78">
        <v>50</v>
      </c>
      <c r="C38" s="84">
        <v>1</v>
      </c>
      <c r="D38" s="260">
        <v>129551375</v>
      </c>
      <c r="E38" s="85">
        <f>IF(ISBLANK(D38),"-",$D$48/$D$45*D38)</f>
        <v>126897410.82563989</v>
      </c>
      <c r="F38" s="260">
        <v>133260156</v>
      </c>
      <c r="G38" s="86">
        <f>IF(ISBLANK(F38),"-",$D$48/$F$45*F38)</f>
        <v>129518842.34044337</v>
      </c>
      <c r="H38" s="14"/>
      <c r="I38" s="87"/>
      <c r="J38" s="66"/>
      <c r="K38" s="71"/>
      <c r="L38" s="513"/>
      <c r="M38" s="514"/>
    </row>
    <row r="39" spans="1:13" s="512" customFormat="1" ht="26.25" customHeight="1" x14ac:dyDescent="0.45">
      <c r="A39" s="77" t="s">
        <v>59</v>
      </c>
      <c r="B39" s="78">
        <v>1</v>
      </c>
      <c r="C39" s="88">
        <v>2</v>
      </c>
      <c r="D39" s="265">
        <v>129546709</v>
      </c>
      <c r="E39" s="89">
        <f>IF(ISBLANK(D39),"-",$D$48/$D$45*D39)</f>
        <v>126892840.41240488</v>
      </c>
      <c r="F39" s="265">
        <v>133790103</v>
      </c>
      <c r="G39" s="90">
        <f>IF(ISBLANK(F39),"-",$D$48/$F$45*F39)</f>
        <v>130033910.94010635</v>
      </c>
      <c r="H39" s="14"/>
      <c r="I39" s="480">
        <f>ABS((F43/D43*D42)-F42)/D42</f>
        <v>2.3613431960707823E-2</v>
      </c>
      <c r="J39" s="66"/>
      <c r="K39" s="71"/>
      <c r="L39" s="513"/>
      <c r="M39" s="514"/>
    </row>
    <row r="40" spans="1:13" customFormat="1" ht="26.25" customHeight="1" x14ac:dyDescent="0.45">
      <c r="A40" s="77" t="s">
        <v>60</v>
      </c>
      <c r="B40" s="78">
        <v>1</v>
      </c>
      <c r="C40" s="88">
        <v>3</v>
      </c>
      <c r="D40" s="265">
        <v>129319131</v>
      </c>
      <c r="E40" s="89">
        <f>IF(ISBLANK(D40),"-",$D$48/$D$45*D40)</f>
        <v>126669924.53088006</v>
      </c>
      <c r="F40" s="265">
        <v>133571848</v>
      </c>
      <c r="G40" s="90">
        <f>IF(ISBLANK(F40),"-",$D$48/$F$45*F40)</f>
        <v>129821783.5061942</v>
      </c>
      <c r="H40" s="2"/>
      <c r="I40" s="480"/>
      <c r="J40" s="2"/>
      <c r="K40" s="71"/>
      <c r="L40" s="71"/>
      <c r="M40" s="91"/>
    </row>
    <row r="41" spans="1:13" customFormat="1" ht="27" customHeight="1" x14ac:dyDescent="0.45">
      <c r="A41" s="77" t="s">
        <v>61</v>
      </c>
      <c r="B41" s="78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H41" s="2"/>
      <c r="I41" s="96"/>
      <c r="J41" s="2"/>
      <c r="K41" s="71"/>
      <c r="L41" s="71"/>
      <c r="M41" s="91"/>
    </row>
    <row r="42" spans="1:13" customFormat="1" ht="27" customHeight="1" x14ac:dyDescent="0.45">
      <c r="A42" s="77" t="s">
        <v>62</v>
      </c>
      <c r="B42" s="78">
        <v>1</v>
      </c>
      <c r="C42" s="97" t="s">
        <v>63</v>
      </c>
      <c r="D42" s="98">
        <f>AVERAGE(D38:D41)</f>
        <v>129472405</v>
      </c>
      <c r="E42" s="99">
        <f>AVERAGE(E38:E41)</f>
        <v>126820058.58964162</v>
      </c>
      <c r="F42" s="98">
        <f>AVERAGE(F38:F41)</f>
        <v>133540702.33333333</v>
      </c>
      <c r="G42" s="100">
        <f>AVERAGE(G38:G41)</f>
        <v>129791512.26224796</v>
      </c>
      <c r="H42" s="101"/>
      <c r="I42" s="2"/>
      <c r="J42" s="2"/>
      <c r="K42" s="2"/>
    </row>
    <row r="43" spans="1:13" customFormat="1" ht="26.25" customHeight="1" x14ac:dyDescent="0.45">
      <c r="A43" s="77" t="s">
        <v>64</v>
      </c>
      <c r="B43" s="78">
        <v>1</v>
      </c>
      <c r="C43" s="102" t="s">
        <v>65</v>
      </c>
      <c r="D43" s="103">
        <v>20.49</v>
      </c>
      <c r="E43" s="91"/>
      <c r="F43" s="103">
        <v>20.65</v>
      </c>
      <c r="G43" s="2"/>
      <c r="H43" s="101"/>
      <c r="I43" s="2"/>
      <c r="J43" s="2"/>
      <c r="K43" s="2"/>
    </row>
    <row r="44" spans="1:13" customFormat="1" ht="26.25" customHeight="1" x14ac:dyDescent="0.45">
      <c r="A44" s="77" t="s">
        <v>66</v>
      </c>
      <c r="B44" s="78">
        <v>1</v>
      </c>
      <c r="C44" s="104" t="s">
        <v>67</v>
      </c>
      <c r="D44" s="105">
        <f>D43*$B$34</f>
        <v>20.49</v>
      </c>
      <c r="E44" s="106"/>
      <c r="F44" s="105">
        <f>F43*$B$34</f>
        <v>20.65</v>
      </c>
      <c r="G44" s="2"/>
      <c r="H44" s="101"/>
      <c r="I44" s="2"/>
      <c r="J44" s="2"/>
      <c r="K44" s="2"/>
    </row>
    <row r="45" spans="1:13" customFormat="1" ht="19.5" customHeight="1" x14ac:dyDescent="0.35">
      <c r="A45" s="77" t="s">
        <v>68</v>
      </c>
      <c r="B45" s="107">
        <f>(B44/B43)*(B42/B41)*(B40/B39)*(B38/B37)*B36</f>
        <v>125</v>
      </c>
      <c r="C45" s="104" t="s">
        <v>69</v>
      </c>
      <c r="D45" s="108">
        <f>D44*$B$30/100</f>
        <v>20.418284999999997</v>
      </c>
      <c r="E45" s="109"/>
      <c r="F45" s="108">
        <f>F44*$B$30/100</f>
        <v>20.577725000000001</v>
      </c>
      <c r="G45" s="2"/>
      <c r="H45" s="101"/>
      <c r="I45" s="2"/>
      <c r="J45" s="2"/>
      <c r="K45" s="2"/>
    </row>
    <row r="46" spans="1:13" customFormat="1" ht="19.5" customHeight="1" x14ac:dyDescent="0.35">
      <c r="A46" s="466" t="s">
        <v>70</v>
      </c>
      <c r="B46" s="467"/>
      <c r="C46" s="104" t="s">
        <v>71</v>
      </c>
      <c r="D46" s="110">
        <f>D45/$B$45</f>
        <v>0.16334627999999998</v>
      </c>
      <c r="E46" s="111"/>
      <c r="F46" s="112">
        <f>F45/$B$45</f>
        <v>0.16462180000000001</v>
      </c>
      <c r="G46" s="2"/>
      <c r="H46" s="101"/>
      <c r="I46" s="2"/>
      <c r="J46" s="2"/>
      <c r="K46" s="2"/>
    </row>
    <row r="47" spans="1:13" customFormat="1" ht="27" customHeight="1" x14ac:dyDescent="0.45">
      <c r="A47" s="468"/>
      <c r="B47" s="469"/>
      <c r="C47" s="113" t="s">
        <v>72</v>
      </c>
      <c r="D47" s="114">
        <v>0.16</v>
      </c>
      <c r="E47" s="115"/>
      <c r="F47" s="111"/>
      <c r="G47" s="2"/>
      <c r="H47" s="101"/>
      <c r="I47" s="2"/>
      <c r="J47" s="2"/>
      <c r="K47" s="2"/>
    </row>
    <row r="48" spans="1:13" customFormat="1" ht="18" x14ac:dyDescent="0.35">
      <c r="A48" s="2"/>
      <c r="B48" s="2"/>
      <c r="C48" s="116" t="s">
        <v>73</v>
      </c>
      <c r="D48" s="108">
        <f>D47*$B$45</f>
        <v>20</v>
      </c>
      <c r="E48" s="2"/>
      <c r="F48" s="117"/>
      <c r="G48" s="2"/>
      <c r="H48" s="101"/>
      <c r="I48" s="2"/>
      <c r="J48" s="2"/>
      <c r="K48" s="2"/>
    </row>
    <row r="49" spans="1:11" customFormat="1" ht="19.5" customHeight="1" x14ac:dyDescent="0.35">
      <c r="A49" s="2"/>
      <c r="B49" s="2"/>
      <c r="C49" s="118" t="s">
        <v>74</v>
      </c>
      <c r="D49" s="119">
        <f>D48/B34</f>
        <v>20</v>
      </c>
      <c r="E49" s="2"/>
      <c r="F49" s="117"/>
      <c r="G49" s="2"/>
      <c r="H49" s="101"/>
      <c r="I49" s="2"/>
      <c r="J49" s="2"/>
      <c r="K49" s="2"/>
    </row>
    <row r="50" spans="1:11" customFormat="1" ht="18" x14ac:dyDescent="0.35">
      <c r="A50" s="2"/>
      <c r="B50" s="2"/>
      <c r="C50" s="75" t="s">
        <v>75</v>
      </c>
      <c r="D50" s="120">
        <f>AVERAGE(E38:E41,G38:G41)</f>
        <v>128305785.42594481</v>
      </c>
      <c r="E50" s="2"/>
      <c r="F50" s="121"/>
      <c r="G50" s="2"/>
      <c r="H50" s="101"/>
      <c r="I50" s="2"/>
      <c r="J50" s="2"/>
      <c r="K50" s="2"/>
    </row>
    <row r="51" spans="1:11" customFormat="1" ht="18" x14ac:dyDescent="0.35">
      <c r="A51" s="2"/>
      <c r="B51" s="2"/>
      <c r="C51" s="77" t="s">
        <v>76</v>
      </c>
      <c r="D51" s="122">
        <f>STDEV(E38:E41,G38:G41)/D50</f>
        <v>1.2764915247168614E-2</v>
      </c>
      <c r="E51" s="2"/>
      <c r="F51" s="121"/>
      <c r="G51" s="2"/>
      <c r="H51" s="101"/>
      <c r="I51" s="2"/>
      <c r="J51" s="2"/>
      <c r="K51" s="2"/>
    </row>
    <row r="52" spans="1:11" customFormat="1" ht="19.5" customHeight="1" x14ac:dyDescent="0.35">
      <c r="A52" s="2"/>
      <c r="B52" s="2"/>
      <c r="C52" s="123" t="s">
        <v>20</v>
      </c>
      <c r="D52" s="124">
        <f>COUNT(E38:E41,G38:G41)</f>
        <v>6</v>
      </c>
      <c r="E52" s="2"/>
      <c r="F52" s="121"/>
      <c r="G52" s="2"/>
      <c r="H52" s="2"/>
      <c r="I52" s="2"/>
      <c r="J52" s="2"/>
      <c r="K52" s="2"/>
    </row>
    <row r="53" spans="1:11" customForma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customFormat="1" ht="18" x14ac:dyDescent="0.35">
      <c r="A54" s="125" t="s">
        <v>1</v>
      </c>
      <c r="B54" s="126" t="s">
        <v>77</v>
      </c>
      <c r="C54" s="2"/>
      <c r="D54" s="2"/>
      <c r="E54" s="2"/>
      <c r="F54" s="2"/>
      <c r="G54" s="2"/>
      <c r="H54" s="2"/>
      <c r="I54" s="2"/>
      <c r="J54" s="2"/>
      <c r="K54" s="2"/>
    </row>
    <row r="55" spans="1:11" customFormat="1" ht="18" x14ac:dyDescent="0.35">
      <c r="A55" s="53" t="s">
        <v>78</v>
      </c>
      <c r="B55" s="127" t="str">
        <f>B21</f>
        <v>Sulphamethoxazole 800 mg and Trimethoprim 160 mg</v>
      </c>
      <c r="C55" s="2"/>
      <c r="D55" s="2"/>
      <c r="E55" s="2"/>
      <c r="F55" s="2"/>
      <c r="G55" s="2"/>
      <c r="H55" s="2"/>
      <c r="I55" s="2"/>
      <c r="J55" s="2"/>
      <c r="K55" s="2"/>
    </row>
    <row r="56" spans="1:11" customFormat="1" ht="26.25" customHeight="1" x14ac:dyDescent="0.45">
      <c r="A56" s="128" t="s">
        <v>79</v>
      </c>
      <c r="B56" s="129">
        <v>800</v>
      </c>
      <c r="C56" s="53" t="str">
        <f>B20</f>
        <v xml:space="preserve">Each tablet contains Sulphamethoxazole 800 mg </v>
      </c>
      <c r="D56" s="2"/>
      <c r="E56" s="2"/>
      <c r="F56" s="2"/>
      <c r="G56" s="2"/>
      <c r="H56" s="130"/>
      <c r="I56" s="2"/>
      <c r="J56" s="2"/>
      <c r="K56" s="2"/>
    </row>
    <row r="57" spans="1:11" customFormat="1" ht="18" x14ac:dyDescent="0.35">
      <c r="A57" s="127" t="s">
        <v>80</v>
      </c>
      <c r="B57" s="214">
        <f>Uniformity!C46</f>
        <v>1034.6849999999999</v>
      </c>
      <c r="C57" s="2"/>
      <c r="D57" s="2"/>
      <c r="E57" s="2"/>
      <c r="F57" s="2"/>
      <c r="G57" s="2"/>
      <c r="H57" s="130"/>
      <c r="I57" s="2"/>
      <c r="J57" s="2"/>
      <c r="K57" s="2"/>
    </row>
    <row r="58" spans="1:11" customFormat="1" ht="19.5" customHeight="1" x14ac:dyDescent="0.35">
      <c r="A58" s="2"/>
      <c r="B58" s="2"/>
      <c r="C58" s="2"/>
      <c r="D58" s="2"/>
      <c r="E58" s="2"/>
      <c r="F58" s="2"/>
      <c r="G58" s="2"/>
      <c r="H58" s="130"/>
      <c r="I58" s="2"/>
      <c r="J58" s="519"/>
      <c r="K58" s="2"/>
    </row>
    <row r="59" spans="1:11" s="512" customFormat="1" ht="27" customHeight="1" x14ac:dyDescent="0.45">
      <c r="A59" s="75" t="s">
        <v>81</v>
      </c>
      <c r="B59" s="76">
        <v>200</v>
      </c>
      <c r="C59" s="53"/>
      <c r="D59" s="131" t="s">
        <v>82</v>
      </c>
      <c r="E59" s="132" t="s">
        <v>54</v>
      </c>
      <c r="F59" s="132" t="s">
        <v>55</v>
      </c>
      <c r="G59" s="132" t="s">
        <v>83</v>
      </c>
      <c r="H59" s="79" t="s">
        <v>84</v>
      </c>
      <c r="I59" s="14"/>
      <c r="K59" s="515"/>
    </row>
    <row r="60" spans="1:11" s="512" customFormat="1" ht="26.25" customHeight="1" x14ac:dyDescent="0.45">
      <c r="A60" s="77" t="s">
        <v>85</v>
      </c>
      <c r="B60" s="78">
        <v>2</v>
      </c>
      <c r="C60" s="483" t="s">
        <v>86</v>
      </c>
      <c r="D60" s="486">
        <v>1031.8599999999999</v>
      </c>
      <c r="E60" s="133">
        <v>1</v>
      </c>
      <c r="F60" s="520">
        <v>125577128</v>
      </c>
      <c r="G60" s="215">
        <f>IF(ISBLANK(F60),"-",(F60/$D$50*$D$47*$B$68)*($B$57/$D$60))</f>
        <v>785.13017595478266</v>
      </c>
      <c r="H60" s="134">
        <f>IF(ISBLANK(F60),"-",G60/$B$56)</f>
        <v>0.98141271994347834</v>
      </c>
      <c r="I60" s="14"/>
      <c r="K60" s="515"/>
    </row>
    <row r="61" spans="1:11" s="512" customFormat="1" ht="26.25" customHeight="1" x14ac:dyDescent="0.45">
      <c r="A61" s="77" t="s">
        <v>87</v>
      </c>
      <c r="B61" s="78">
        <v>50</v>
      </c>
      <c r="C61" s="484"/>
      <c r="D61" s="487"/>
      <c r="E61" s="135">
        <v>2</v>
      </c>
      <c r="F61" s="521">
        <v>125651466</v>
      </c>
      <c r="G61" s="216">
        <f>IF(ISBLANK(F61),"-",(F61/$D$50*$D$47*$B$68)*($B$57/$D$60))</f>
        <v>785.59495013738797</v>
      </c>
      <c r="H61" s="136">
        <f t="shared" ref="H60:H71" si="0">IF(ISBLANK(F61),"-",G61/$B$56)</f>
        <v>0.981993687671735</v>
      </c>
      <c r="I61" s="14"/>
      <c r="K61" s="515"/>
    </row>
    <row r="62" spans="1:11" s="512" customFormat="1" ht="26.25" customHeight="1" x14ac:dyDescent="0.45">
      <c r="A62" s="77" t="s">
        <v>88</v>
      </c>
      <c r="B62" s="78">
        <v>1</v>
      </c>
      <c r="C62" s="484"/>
      <c r="D62" s="487"/>
      <c r="E62" s="135">
        <v>3</v>
      </c>
      <c r="F62" s="521">
        <v>125481493</v>
      </c>
      <c r="G62" s="216">
        <f>IF(ISBLANK(F62),"-",(F62/$D$50*$D$47*$B$68)*($B$57/$D$60))</f>
        <v>784.53224920193122</v>
      </c>
      <c r="H62" s="136">
        <f>IF(ISBLANK(F62),"-",G62/$B$56)</f>
        <v>0.98066531150241398</v>
      </c>
      <c r="I62" s="14"/>
      <c r="K62" s="515"/>
    </row>
    <row r="63" spans="1:11" customFormat="1" ht="27" customHeight="1" x14ac:dyDescent="0.45">
      <c r="A63" s="77" t="s">
        <v>89</v>
      </c>
      <c r="B63" s="78">
        <v>1</v>
      </c>
      <c r="C63" s="494"/>
      <c r="D63" s="488"/>
      <c r="E63" s="137">
        <v>4</v>
      </c>
      <c r="F63" s="522"/>
      <c r="G63" s="216" t="str">
        <f>IF(ISBLANK(F63),"-",(F63/$D$50*$D$47*$B$68)*($B$57/$D$60))</f>
        <v>-</v>
      </c>
      <c r="H63" s="136" t="str">
        <f t="shared" si="0"/>
        <v>-</v>
      </c>
      <c r="I63" s="2"/>
      <c r="J63" s="2"/>
      <c r="K63" s="2"/>
    </row>
    <row r="64" spans="1:11" customFormat="1" ht="26.25" customHeight="1" x14ac:dyDescent="0.45">
      <c r="A64" s="77" t="s">
        <v>90</v>
      </c>
      <c r="B64" s="78">
        <v>1</v>
      </c>
      <c r="C64" s="483" t="s">
        <v>91</v>
      </c>
      <c r="D64" s="486">
        <v>1037.1199999999999</v>
      </c>
      <c r="E64" s="133">
        <v>1</v>
      </c>
      <c r="F64" s="520">
        <v>128370195</v>
      </c>
      <c r="G64" s="217">
        <f>IF(ISBLANK(F64),"-",(F64/$D$50*$D$47*$B$68)*($B$57/$D$64))</f>
        <v>798.52237922913537</v>
      </c>
      <c r="H64" s="138">
        <f t="shared" si="0"/>
        <v>0.99815297403641923</v>
      </c>
      <c r="I64" s="2"/>
      <c r="J64" s="2"/>
      <c r="K64" s="2"/>
    </row>
    <row r="65" spans="1:11" customFormat="1" ht="26.25" customHeight="1" x14ac:dyDescent="0.45">
      <c r="A65" s="77" t="s">
        <v>92</v>
      </c>
      <c r="B65" s="78">
        <v>1</v>
      </c>
      <c r="C65" s="484"/>
      <c r="D65" s="487"/>
      <c r="E65" s="135">
        <v>2</v>
      </c>
      <c r="F65" s="521">
        <v>128690460</v>
      </c>
      <c r="G65" s="218">
        <f>IF(ISBLANK(F65),"-",(F65/$D$50*$D$47*$B$68)*($B$57/$D$64))</f>
        <v>800.51457663744986</v>
      </c>
      <c r="H65" s="139">
        <f>IF(ISBLANK(F65),"-",G65/$B$56)</f>
        <v>1.0006432207968123</v>
      </c>
      <c r="I65" s="2"/>
      <c r="J65" s="2"/>
      <c r="K65" s="2"/>
    </row>
    <row r="66" spans="1:11" customFormat="1" ht="26.25" customHeight="1" x14ac:dyDescent="0.45">
      <c r="A66" s="77" t="s">
        <v>93</v>
      </c>
      <c r="B66" s="78">
        <v>1</v>
      </c>
      <c r="C66" s="484"/>
      <c r="D66" s="487"/>
      <c r="E66" s="135">
        <v>3</v>
      </c>
      <c r="F66" s="521">
        <v>128575127</v>
      </c>
      <c r="G66" s="218">
        <f>IF(ISBLANK(F66),"-",(F66/$D$50*$D$47*$B$68)*($B$57/$D$64))</f>
        <v>799.79715168095095</v>
      </c>
      <c r="H66" s="139">
        <f t="shared" si="0"/>
        <v>0.9997464396011887</v>
      </c>
      <c r="I66" s="2"/>
      <c r="J66" s="2"/>
      <c r="K66" s="2"/>
    </row>
    <row r="67" spans="1:11" customFormat="1" ht="27" customHeight="1" x14ac:dyDescent="0.45">
      <c r="A67" s="77" t="s">
        <v>94</v>
      </c>
      <c r="B67" s="78">
        <v>1</v>
      </c>
      <c r="C67" s="494"/>
      <c r="D67" s="488"/>
      <c r="E67" s="137">
        <v>4</v>
      </c>
      <c r="F67" s="522"/>
      <c r="G67" s="219" t="str">
        <f>IF(ISBLANK(F67),"-",(F67/$D$50*$D$47*$B$68)*($B$57/$D$64))</f>
        <v>-</v>
      </c>
      <c r="H67" s="140" t="str">
        <f t="shared" si="0"/>
        <v>-</v>
      </c>
      <c r="I67" s="2"/>
      <c r="J67" s="2"/>
      <c r="K67" s="2"/>
    </row>
    <row r="68" spans="1:11" customFormat="1" ht="26.25" customHeight="1" x14ac:dyDescent="0.5">
      <c r="A68" s="77" t="s">
        <v>95</v>
      </c>
      <c r="B68" s="141">
        <f>(B67/B66)*(B65/B64)*(B63/B62)*(B61/B60)*B59</f>
        <v>5000</v>
      </c>
      <c r="C68" s="483" t="s">
        <v>96</v>
      </c>
      <c r="D68" s="486">
        <v>1042.9100000000001</v>
      </c>
      <c r="E68" s="133">
        <v>1</v>
      </c>
      <c r="F68" s="520">
        <v>127232455</v>
      </c>
      <c r="G68" s="217">
        <f>IF(ISBLANK(F68),"-",(F68/$D$50*$D$47*$B$68)*($B$57/$D$68))</f>
        <v>787.05118282885894</v>
      </c>
      <c r="H68" s="136">
        <f t="shared" si="0"/>
        <v>0.98381397853607366</v>
      </c>
      <c r="I68" s="2"/>
      <c r="J68" s="2"/>
      <c r="K68" s="2"/>
    </row>
    <row r="69" spans="1:11" customFormat="1" ht="27" customHeight="1" x14ac:dyDescent="0.5">
      <c r="A69" s="123" t="s">
        <v>97</v>
      </c>
      <c r="B69" s="142">
        <f>(D47*B68)/B56*B57</f>
        <v>1034.6849999999999</v>
      </c>
      <c r="C69" s="484"/>
      <c r="D69" s="487"/>
      <c r="E69" s="135">
        <v>2</v>
      </c>
      <c r="F69" s="521">
        <v>127403516</v>
      </c>
      <c r="G69" s="218">
        <f>IF(ISBLANK(F69),"-",(F69/$D$50*$D$47*$B$68)*($B$57/$D$68))</f>
        <v>788.1093543652479</v>
      </c>
      <c r="H69" s="136">
        <f t="shared" si="0"/>
        <v>0.98513669295655992</v>
      </c>
      <c r="I69" s="2"/>
      <c r="J69" s="2"/>
      <c r="K69" s="2"/>
    </row>
    <row r="70" spans="1:11" customFormat="1" ht="26.25" customHeight="1" x14ac:dyDescent="0.45">
      <c r="A70" s="489" t="s">
        <v>70</v>
      </c>
      <c r="B70" s="490"/>
      <c r="C70" s="484"/>
      <c r="D70" s="487"/>
      <c r="E70" s="135">
        <v>3</v>
      </c>
      <c r="F70" s="521">
        <v>126985686</v>
      </c>
      <c r="G70" s="218">
        <f>IF(ISBLANK(F70),"-",(F70/$D$50*$D$47*$B$68)*($B$57/$D$68))</f>
        <v>785.52468683115546</v>
      </c>
      <c r="H70" s="136">
        <f t="shared" si="0"/>
        <v>0.9819058585389443</v>
      </c>
      <c r="I70" s="2"/>
      <c r="J70" s="2"/>
      <c r="K70" s="2"/>
    </row>
    <row r="71" spans="1:11" customFormat="1" ht="27" customHeight="1" x14ac:dyDescent="0.45">
      <c r="A71" s="491"/>
      <c r="B71" s="492"/>
      <c r="C71" s="485"/>
      <c r="D71" s="488"/>
      <c r="E71" s="137">
        <v>4</v>
      </c>
      <c r="F71" s="522"/>
      <c r="G71" s="219" t="str">
        <f>IF(ISBLANK(F71),"-",(F71/$D$50*$D$47*$B$68)*($B$57/$D$68))</f>
        <v>-</v>
      </c>
      <c r="H71" s="143" t="str">
        <f t="shared" si="0"/>
        <v>-</v>
      </c>
      <c r="I71" s="2"/>
      <c r="J71" s="2"/>
      <c r="K71" s="2"/>
    </row>
    <row r="72" spans="1:11" customFormat="1" ht="26.25" customHeight="1" x14ac:dyDescent="0.45">
      <c r="A72" s="144"/>
      <c r="B72" s="144"/>
      <c r="C72" s="144"/>
      <c r="D72" s="144"/>
      <c r="E72" s="144"/>
      <c r="F72" s="146" t="s">
        <v>63</v>
      </c>
      <c r="G72" s="224">
        <f>AVERAGE(G60:G71)</f>
        <v>790.53074520743337</v>
      </c>
      <c r="H72" s="147">
        <f>AVERAGE(H60:H71)</f>
        <v>0.98816343150929165</v>
      </c>
      <c r="I72" s="2"/>
      <c r="J72" s="2"/>
      <c r="K72" s="2"/>
    </row>
    <row r="73" spans="1:11" customFormat="1" ht="26.25" customHeight="1" x14ac:dyDescent="0.45">
      <c r="A73" s="2"/>
      <c r="B73" s="2"/>
      <c r="C73" s="144"/>
      <c r="D73" s="144"/>
      <c r="E73" s="144"/>
      <c r="F73" s="148" t="s">
        <v>76</v>
      </c>
      <c r="G73" s="220">
        <f>STDEV(G60:G71)/G72</f>
        <v>8.7405725831622497E-3</v>
      </c>
      <c r="H73" s="220">
        <f>STDEV(H60:H71)/H72</f>
        <v>8.7405725831622566E-3</v>
      </c>
      <c r="I73" s="2"/>
      <c r="J73" s="2"/>
      <c r="K73" s="2"/>
    </row>
    <row r="74" spans="1:11" customFormat="1" ht="27" customHeight="1" x14ac:dyDescent="0.45">
      <c r="A74" s="144"/>
      <c r="B74" s="144"/>
      <c r="C74" s="145"/>
      <c r="D74" s="145"/>
      <c r="E74" s="149"/>
      <c r="F74" s="150" t="s">
        <v>20</v>
      </c>
      <c r="G74" s="151">
        <f>COUNT(G60:G71)</f>
        <v>9</v>
      </c>
      <c r="H74" s="151">
        <f>COUNT(H60:H71)</f>
        <v>9</v>
      </c>
      <c r="I74" s="2"/>
      <c r="J74" s="2"/>
      <c r="K74" s="2"/>
    </row>
    <row r="75" spans="1:11" customForma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customFormat="1" ht="26.25" customHeight="1" x14ac:dyDescent="0.45">
      <c r="A76" s="62" t="s">
        <v>98</v>
      </c>
      <c r="B76" s="152" t="s">
        <v>99</v>
      </c>
      <c r="C76" s="470" t="str">
        <f>B26</f>
        <v>Sulphamethoxazole</v>
      </c>
      <c r="D76" s="470"/>
      <c r="E76" s="153" t="s">
        <v>100</v>
      </c>
      <c r="F76" s="153"/>
      <c r="G76" s="154">
        <f>H72</f>
        <v>0.98816343150929165</v>
      </c>
      <c r="H76" s="155"/>
      <c r="I76" s="2"/>
      <c r="J76" s="2"/>
      <c r="K76" s="2"/>
    </row>
    <row r="77" spans="1:11" customFormat="1" ht="18" x14ac:dyDescent="0.35">
      <c r="A77" s="61" t="s">
        <v>101</v>
      </c>
      <c r="B77" s="61" t="s">
        <v>102</v>
      </c>
      <c r="C77" s="2"/>
      <c r="D77" s="2"/>
      <c r="E77" s="2"/>
      <c r="F77" s="2"/>
      <c r="G77" s="2"/>
      <c r="H77" s="2"/>
      <c r="I77" s="2"/>
      <c r="J77" s="2"/>
      <c r="K77" s="2"/>
    </row>
    <row r="78" spans="1:11" customFormat="1" ht="18" x14ac:dyDescent="0.35">
      <c r="A78" s="61"/>
      <c r="B78" s="61"/>
      <c r="C78" s="2"/>
      <c r="D78" s="2"/>
      <c r="E78" s="2"/>
      <c r="F78" s="2"/>
      <c r="G78" s="2"/>
      <c r="H78" s="2"/>
      <c r="I78" s="2"/>
      <c r="J78" s="2"/>
      <c r="K78" s="2"/>
    </row>
    <row r="79" spans="1:11" customFormat="1" ht="26.25" customHeight="1" x14ac:dyDescent="0.45">
      <c r="A79" s="62" t="s">
        <v>4</v>
      </c>
      <c r="B79" s="493" t="str">
        <f>B26</f>
        <v>Sulphamethoxazole</v>
      </c>
      <c r="C79" s="493"/>
      <c r="D79" s="2"/>
      <c r="E79" s="2"/>
      <c r="F79" s="2"/>
      <c r="G79" s="2"/>
      <c r="H79" s="2"/>
      <c r="I79" s="2"/>
      <c r="J79" s="2"/>
      <c r="K79" s="2"/>
    </row>
    <row r="80" spans="1:11" customFormat="1" ht="26.25" customHeight="1" x14ac:dyDescent="0.45">
      <c r="A80" s="63" t="s">
        <v>40</v>
      </c>
      <c r="B80" s="493" t="str">
        <f>B27</f>
        <v>S 12 4</v>
      </c>
      <c r="C80" s="493"/>
      <c r="D80" s="2"/>
      <c r="E80" s="2"/>
      <c r="F80" s="2"/>
      <c r="G80" s="2"/>
      <c r="H80" s="2"/>
      <c r="I80" s="2"/>
      <c r="J80" s="2"/>
      <c r="K80" s="2"/>
    </row>
    <row r="81" spans="1:11" customFormat="1" ht="27" customHeight="1" x14ac:dyDescent="0.45">
      <c r="A81" s="63" t="s">
        <v>6</v>
      </c>
      <c r="B81" s="156">
        <f>B28</f>
        <v>99.65</v>
      </c>
      <c r="C81" s="2"/>
      <c r="D81" s="2"/>
      <c r="E81" s="2"/>
      <c r="F81" s="2"/>
      <c r="G81" s="2"/>
      <c r="H81" s="2"/>
      <c r="I81" s="2"/>
      <c r="J81" s="2"/>
      <c r="K81" s="2"/>
    </row>
    <row r="82" spans="1:11" s="512" customFormat="1" ht="27" customHeight="1" x14ac:dyDescent="0.5">
      <c r="A82" s="63" t="s">
        <v>41</v>
      </c>
      <c r="B82" s="65">
        <v>0</v>
      </c>
      <c r="C82" s="472" t="s">
        <v>42</v>
      </c>
      <c r="D82" s="473"/>
      <c r="E82" s="473"/>
      <c r="F82" s="473"/>
      <c r="G82" s="474"/>
      <c r="H82" s="14"/>
      <c r="I82" s="66"/>
      <c r="J82" s="66"/>
      <c r="K82" s="66"/>
    </row>
    <row r="83" spans="1:11" s="512" customFormat="1" ht="19.5" customHeight="1" x14ac:dyDescent="0.35">
      <c r="A83" s="63" t="s">
        <v>43</v>
      </c>
      <c r="B83" s="67">
        <f>B81-B82</f>
        <v>99.65</v>
      </c>
      <c r="C83" s="68"/>
      <c r="D83" s="68"/>
      <c r="E83" s="68"/>
      <c r="F83" s="68"/>
      <c r="G83" s="69"/>
      <c r="H83" s="14"/>
      <c r="I83" s="66"/>
      <c r="J83" s="66"/>
      <c r="K83" s="66"/>
    </row>
    <row r="84" spans="1:11" s="512" customFormat="1" ht="27" customHeight="1" x14ac:dyDescent="0.45">
      <c r="A84" s="63" t="s">
        <v>44</v>
      </c>
      <c r="B84" s="70">
        <v>1</v>
      </c>
      <c r="C84" s="475" t="s">
        <v>103</v>
      </c>
      <c r="D84" s="476"/>
      <c r="E84" s="476"/>
      <c r="F84" s="476"/>
      <c r="G84" s="476"/>
      <c r="H84" s="477"/>
      <c r="I84" s="66"/>
      <c r="J84" s="66"/>
      <c r="K84" s="66"/>
    </row>
    <row r="85" spans="1:11" s="512" customFormat="1" ht="27" customHeight="1" x14ac:dyDescent="0.45">
      <c r="A85" s="63" t="s">
        <v>46</v>
      </c>
      <c r="B85" s="70">
        <v>1</v>
      </c>
      <c r="C85" s="475" t="s">
        <v>104</v>
      </c>
      <c r="D85" s="476"/>
      <c r="E85" s="476"/>
      <c r="F85" s="476"/>
      <c r="G85" s="476"/>
      <c r="H85" s="477"/>
      <c r="I85" s="66"/>
      <c r="J85" s="66"/>
      <c r="K85" s="66"/>
    </row>
    <row r="86" spans="1:11" s="512" customFormat="1" ht="18" x14ac:dyDescent="0.35">
      <c r="A86" s="63"/>
      <c r="B86" s="72"/>
      <c r="C86" s="73"/>
      <c r="D86" s="73"/>
      <c r="E86" s="73"/>
      <c r="F86" s="73"/>
      <c r="G86" s="73"/>
      <c r="H86" s="73"/>
      <c r="I86" s="66"/>
      <c r="J86" s="66"/>
      <c r="K86" s="66"/>
    </row>
    <row r="87" spans="1:11" s="512" customFormat="1" ht="18" x14ac:dyDescent="0.35">
      <c r="A87" s="63" t="s">
        <v>48</v>
      </c>
      <c r="B87" s="74">
        <f>B84/B85</f>
        <v>1</v>
      </c>
      <c r="C87" s="53" t="s">
        <v>49</v>
      </c>
      <c r="D87" s="53"/>
      <c r="E87" s="53"/>
      <c r="F87" s="53"/>
      <c r="G87" s="53"/>
      <c r="I87" s="66"/>
      <c r="J87" s="66"/>
      <c r="K87" s="66"/>
    </row>
    <row r="88" spans="1:11" ht="19.5" customHeight="1" x14ac:dyDescent="0.35">
      <c r="A88" s="61"/>
      <c r="B88" s="61"/>
    </row>
    <row r="89" spans="1:11" ht="27" customHeight="1" x14ac:dyDescent="0.45">
      <c r="A89" s="75" t="s">
        <v>50</v>
      </c>
      <c r="B89" s="76">
        <v>25</v>
      </c>
      <c r="D89" s="157" t="s">
        <v>51</v>
      </c>
      <c r="E89" s="158"/>
      <c r="F89" s="478" t="s">
        <v>52</v>
      </c>
      <c r="G89" s="479"/>
    </row>
    <row r="90" spans="1:11" ht="27" customHeight="1" x14ac:dyDescent="0.45">
      <c r="A90" s="77" t="s">
        <v>53</v>
      </c>
      <c r="B90" s="78">
        <v>10</v>
      </c>
      <c r="C90" s="159" t="s">
        <v>54</v>
      </c>
      <c r="D90" s="80" t="s">
        <v>55</v>
      </c>
      <c r="E90" s="81" t="s">
        <v>56</v>
      </c>
      <c r="F90" s="80" t="s">
        <v>55</v>
      </c>
      <c r="G90" s="160" t="s">
        <v>56</v>
      </c>
      <c r="I90" s="83" t="s">
        <v>57</v>
      </c>
    </row>
    <row r="91" spans="1:11" ht="26.25" customHeight="1" x14ac:dyDescent="0.45">
      <c r="A91" s="77" t="s">
        <v>58</v>
      </c>
      <c r="B91" s="78">
        <v>50</v>
      </c>
      <c r="C91" s="161">
        <v>1</v>
      </c>
      <c r="D91" s="260">
        <v>129338659</v>
      </c>
      <c r="E91" s="85">
        <f>IF(ISBLANK(D91),"-",$D$101/$D$98*D91)</f>
        <v>140765613.87120527</v>
      </c>
      <c r="F91" s="260">
        <v>133112355</v>
      </c>
      <c r="G91" s="86">
        <f>IF(ISBLANK(F91),"-",$D$101/$F$98*F91)</f>
        <v>143750212.10232586</v>
      </c>
      <c r="I91" s="87"/>
    </row>
    <row r="92" spans="1:11" ht="26.25" customHeight="1" x14ac:dyDescent="0.45">
      <c r="A92" s="77" t="s">
        <v>59</v>
      </c>
      <c r="B92" s="78">
        <v>1</v>
      </c>
      <c r="C92" s="145">
        <v>2</v>
      </c>
      <c r="D92" s="265">
        <v>129263949</v>
      </c>
      <c r="E92" s="89">
        <f>IF(ISBLANK(D92),"-",$D$101/$D$98*D92)</f>
        <v>140684303.3095091</v>
      </c>
      <c r="F92" s="265">
        <v>133179663</v>
      </c>
      <c r="G92" s="90">
        <f>IF(ISBLANK(F92),"-",$D$101/$F$98*F92)</f>
        <v>143822899.11380711</v>
      </c>
      <c r="I92" s="480">
        <f>ABS((F96/D96*D95)-F95)/D95</f>
        <v>2.2197065576302657E-2</v>
      </c>
    </row>
    <row r="93" spans="1:11" ht="26.25" customHeight="1" x14ac:dyDescent="0.45">
      <c r="A93" s="77" t="s">
        <v>60</v>
      </c>
      <c r="B93" s="78">
        <v>1</v>
      </c>
      <c r="C93" s="145">
        <v>3</v>
      </c>
      <c r="D93" s="265">
        <v>129295976</v>
      </c>
      <c r="E93" s="89">
        <f>IF(ISBLANK(D93),"-",$D$101/$D$98*D93)</f>
        <v>140719159.86632136</v>
      </c>
      <c r="F93" s="265">
        <v>133245755</v>
      </c>
      <c r="G93" s="90">
        <f>IF(ISBLANK(F93),"-",$D$101/$F$98*F93)</f>
        <v>143894272.94697434</v>
      </c>
      <c r="I93" s="480"/>
    </row>
    <row r="94" spans="1:11" ht="27" customHeight="1" x14ac:dyDescent="0.45">
      <c r="A94" s="77" t="s">
        <v>61</v>
      </c>
      <c r="B94" s="78">
        <v>1</v>
      </c>
      <c r="C94" s="162">
        <v>4</v>
      </c>
      <c r="D94" s="93"/>
      <c r="E94" s="94" t="str">
        <f>IF(ISBLANK(D94),"-",$D$101/$D$98*D94)</f>
        <v>-</v>
      </c>
      <c r="F94" s="163"/>
      <c r="G94" s="95" t="str">
        <f>IF(ISBLANK(F94),"-",$D$101/$F$98*F94)</f>
        <v>-</v>
      </c>
      <c r="I94" s="96"/>
    </row>
    <row r="95" spans="1:11" ht="27" customHeight="1" x14ac:dyDescent="0.45">
      <c r="A95" s="77" t="s">
        <v>62</v>
      </c>
      <c r="B95" s="78">
        <v>1</v>
      </c>
      <c r="C95" s="164" t="s">
        <v>63</v>
      </c>
      <c r="D95" s="165">
        <f>AVERAGE(D91:D94)</f>
        <v>129299528</v>
      </c>
      <c r="E95" s="99">
        <f>AVERAGE(E91:E94)</f>
        <v>140723025.68234524</v>
      </c>
      <c r="F95" s="166">
        <f>AVERAGE(F91:F94)</f>
        <v>133179257.66666667</v>
      </c>
      <c r="G95" s="167">
        <f>AVERAGE(G91:G94)</f>
        <v>143822461.38770244</v>
      </c>
    </row>
    <row r="96" spans="1:11" ht="26.25" customHeight="1" x14ac:dyDescent="0.45">
      <c r="A96" s="77" t="s">
        <v>64</v>
      </c>
      <c r="B96" s="64">
        <v>1</v>
      </c>
      <c r="C96" s="168" t="s">
        <v>105</v>
      </c>
      <c r="D96" s="169">
        <v>20.49</v>
      </c>
      <c r="E96" s="91"/>
      <c r="F96" s="103">
        <v>20.65</v>
      </c>
    </row>
    <row r="97" spans="1:8" ht="26.25" customHeight="1" x14ac:dyDescent="0.45">
      <c r="A97" s="77" t="s">
        <v>66</v>
      </c>
      <c r="B97" s="64">
        <v>1</v>
      </c>
      <c r="C97" s="170" t="s">
        <v>106</v>
      </c>
      <c r="D97" s="171">
        <f>D96*$B$87</f>
        <v>20.49</v>
      </c>
      <c r="E97" s="106"/>
      <c r="F97" s="105">
        <f>F96*$B$87</f>
        <v>20.65</v>
      </c>
    </row>
    <row r="98" spans="1:8" ht="19.5" customHeight="1" x14ac:dyDescent="0.35">
      <c r="A98" s="77" t="s">
        <v>68</v>
      </c>
      <c r="B98" s="172">
        <f>(B97/B96)*(B95/B94)*(B93/B92)*(B91/B90)*B89</f>
        <v>125</v>
      </c>
      <c r="C98" s="170" t="s">
        <v>107</v>
      </c>
      <c r="D98" s="173">
        <f>D97*$B$83/100</f>
        <v>20.418284999999997</v>
      </c>
      <c r="E98" s="109"/>
      <c r="F98" s="108">
        <f>F97*$B$83/100</f>
        <v>20.577725000000001</v>
      </c>
    </row>
    <row r="99" spans="1:8" ht="19.5" customHeight="1" x14ac:dyDescent="0.35">
      <c r="A99" s="466" t="s">
        <v>70</v>
      </c>
      <c r="B99" s="481"/>
      <c r="C99" s="170" t="s">
        <v>108</v>
      </c>
      <c r="D99" s="174">
        <f>D98/$B$98</f>
        <v>0.16334627999999998</v>
      </c>
      <c r="E99" s="109"/>
      <c r="F99" s="112">
        <f>F98/$B$98</f>
        <v>0.16462180000000001</v>
      </c>
      <c r="G99" s="175"/>
      <c r="H99" s="101"/>
    </row>
    <row r="100" spans="1:8" ht="19.5" customHeight="1" x14ac:dyDescent="0.35">
      <c r="A100" s="468"/>
      <c r="B100" s="482"/>
      <c r="C100" s="170" t="s">
        <v>72</v>
      </c>
      <c r="D100" s="176">
        <f>$B$56/$B$116</f>
        <v>0.17777777777777778</v>
      </c>
      <c r="F100" s="117"/>
      <c r="G100" s="177"/>
      <c r="H100" s="101"/>
    </row>
    <row r="101" spans="1:8" ht="18" x14ac:dyDescent="0.35">
      <c r="C101" s="170" t="s">
        <v>73</v>
      </c>
      <c r="D101" s="171">
        <f>D100*$B$98</f>
        <v>22.222222222222221</v>
      </c>
      <c r="F101" s="117"/>
      <c r="G101" s="175"/>
      <c r="H101" s="101"/>
    </row>
    <row r="102" spans="1:8" ht="19.5" customHeight="1" x14ac:dyDescent="0.35">
      <c r="C102" s="178" t="s">
        <v>74</v>
      </c>
      <c r="D102" s="179">
        <f>D101/B34</f>
        <v>22.222222222222221</v>
      </c>
      <c r="F102" s="121"/>
      <c r="G102" s="175"/>
      <c r="H102" s="101"/>
    </row>
    <row r="103" spans="1:8" ht="18" x14ac:dyDescent="0.35">
      <c r="C103" s="180" t="s">
        <v>109</v>
      </c>
      <c r="D103" s="181">
        <f>AVERAGE(E91:E94,G91:G94)</f>
        <v>142272743.53502384</v>
      </c>
      <c r="F103" s="121"/>
      <c r="G103" s="182"/>
      <c r="H103" s="101"/>
    </row>
    <row r="104" spans="1:8" ht="18" x14ac:dyDescent="0.35">
      <c r="C104" s="148" t="s">
        <v>76</v>
      </c>
      <c r="D104" s="183">
        <f>STDEV(E91:E94,G91:G94)/D103</f>
        <v>1.1937901307929938E-2</v>
      </c>
      <c r="F104" s="121"/>
      <c r="G104" s="175"/>
      <c r="H104" s="101"/>
    </row>
    <row r="105" spans="1:8" ht="19.5" customHeight="1" x14ac:dyDescent="0.35">
      <c r="C105" s="150" t="s">
        <v>20</v>
      </c>
      <c r="D105" s="184">
        <f>COUNT(E91:E94,G91:G94)</f>
        <v>6</v>
      </c>
      <c r="F105" s="121"/>
      <c r="G105" s="175"/>
      <c r="H105" s="101"/>
    </row>
    <row r="106" spans="1:8" ht="19.5" customHeight="1" x14ac:dyDescent="0.35">
      <c r="A106" s="125"/>
      <c r="B106" s="125"/>
      <c r="C106" s="125"/>
      <c r="D106" s="125"/>
      <c r="E106" s="125"/>
    </row>
    <row r="107" spans="1:8" ht="26.25" customHeight="1" x14ac:dyDescent="0.45">
      <c r="A107" s="75" t="s">
        <v>110</v>
      </c>
      <c r="B107" s="76">
        <v>900</v>
      </c>
      <c r="C107" s="185" t="s">
        <v>136</v>
      </c>
      <c r="D107" s="186" t="s">
        <v>55</v>
      </c>
      <c r="E107" s="187" t="s">
        <v>112</v>
      </c>
      <c r="F107" s="188" t="s">
        <v>113</v>
      </c>
      <c r="H107" s="519"/>
    </row>
    <row r="108" spans="1:8" ht="26.25" customHeight="1" x14ac:dyDescent="0.45">
      <c r="A108" s="77" t="s">
        <v>114</v>
      </c>
      <c r="B108" s="78">
        <v>2</v>
      </c>
      <c r="C108" s="189">
        <v>1</v>
      </c>
      <c r="D108" s="190">
        <v>132275116</v>
      </c>
      <c r="E108" s="221">
        <f>IF(ISBLANK(D108),"-",D108/$D$103*$D$100*$B$116)</f>
        <v>743.78331485503315</v>
      </c>
      <c r="F108" s="191">
        <f t="shared" ref="F108:F113" si="1">IF(ISBLANK(D108), "-", E108/$B$56)</f>
        <v>0.92972914356879144</v>
      </c>
      <c r="H108" s="519"/>
    </row>
    <row r="109" spans="1:8" ht="26.25" customHeight="1" x14ac:dyDescent="0.45">
      <c r="A109" s="77" t="s">
        <v>87</v>
      </c>
      <c r="B109" s="78">
        <v>10</v>
      </c>
      <c r="C109" s="189">
        <v>2</v>
      </c>
      <c r="D109" s="190">
        <v>133663508</v>
      </c>
      <c r="E109" s="222">
        <f t="shared" ref="E108:E113" si="2">IF(ISBLANK(D109),"-",D109/$D$103*$D$100*$B$116)</f>
        <v>751.59024661442913</v>
      </c>
      <c r="F109" s="192">
        <f t="shared" si="1"/>
        <v>0.93948780826803646</v>
      </c>
      <c r="H109" s="519"/>
    </row>
    <row r="110" spans="1:8" ht="26.25" customHeight="1" x14ac:dyDescent="0.45">
      <c r="A110" s="77" t="s">
        <v>88</v>
      </c>
      <c r="B110" s="78">
        <v>1</v>
      </c>
      <c r="C110" s="189">
        <v>3</v>
      </c>
      <c r="D110" s="190">
        <v>133158773</v>
      </c>
      <c r="E110" s="222">
        <f t="shared" si="2"/>
        <v>748.75212042126554</v>
      </c>
      <c r="F110" s="192">
        <f t="shared" si="1"/>
        <v>0.93594015052658197</v>
      </c>
      <c r="H110" s="519"/>
    </row>
    <row r="111" spans="1:8" ht="26.25" customHeight="1" x14ac:dyDescent="0.45">
      <c r="A111" s="77" t="s">
        <v>89</v>
      </c>
      <c r="B111" s="78">
        <v>1</v>
      </c>
      <c r="C111" s="189">
        <v>4</v>
      </c>
      <c r="D111" s="190">
        <v>133852466</v>
      </c>
      <c r="E111" s="222">
        <f t="shared" si="2"/>
        <v>752.65275793067997</v>
      </c>
      <c r="F111" s="192">
        <f t="shared" si="1"/>
        <v>0.94081594741334995</v>
      </c>
      <c r="H111" s="519"/>
    </row>
    <row r="112" spans="1:8" ht="26.25" customHeight="1" x14ac:dyDescent="0.45">
      <c r="A112" s="77" t="s">
        <v>90</v>
      </c>
      <c r="B112" s="78">
        <v>1</v>
      </c>
      <c r="C112" s="189">
        <v>5</v>
      </c>
      <c r="D112" s="190">
        <v>133784891</v>
      </c>
      <c r="E112" s="222">
        <f t="shared" si="2"/>
        <v>752.27278353321788</v>
      </c>
      <c r="F112" s="192">
        <f t="shared" si="1"/>
        <v>0.94034097941652239</v>
      </c>
      <c r="H112" s="519"/>
    </row>
    <row r="113" spans="1:9" ht="26.25" customHeight="1" x14ac:dyDescent="0.45">
      <c r="A113" s="77" t="s">
        <v>92</v>
      </c>
      <c r="B113" s="78">
        <v>1</v>
      </c>
      <c r="C113" s="193">
        <v>6</v>
      </c>
      <c r="D113" s="194">
        <v>133334312</v>
      </c>
      <c r="E113" s="223">
        <f t="shared" si="2"/>
        <v>749.7391766662688</v>
      </c>
      <c r="F113" s="195">
        <f t="shared" si="1"/>
        <v>0.93717397083283605</v>
      </c>
      <c r="H113" s="519"/>
    </row>
    <row r="114" spans="1:9" ht="26.25" customHeight="1" x14ac:dyDescent="0.45">
      <c r="A114" s="77" t="s">
        <v>93</v>
      </c>
      <c r="B114" s="78">
        <v>1</v>
      </c>
      <c r="C114" s="189"/>
      <c r="D114" s="145"/>
      <c r="E114" s="52"/>
      <c r="F114" s="196"/>
    </row>
    <row r="115" spans="1:9" ht="26.25" customHeight="1" x14ac:dyDescent="0.45">
      <c r="A115" s="77" t="s">
        <v>94</v>
      </c>
      <c r="B115" s="78">
        <v>1</v>
      </c>
      <c r="C115" s="189"/>
      <c r="D115" s="197" t="s">
        <v>63</v>
      </c>
      <c r="E115" s="225">
        <f>AVERAGE(E108:E113)</f>
        <v>749.79840000348247</v>
      </c>
      <c r="F115" s="198">
        <f>AVERAGE(F108:F113)</f>
        <v>0.93724800000435293</v>
      </c>
    </row>
    <row r="116" spans="1:9" ht="27" customHeight="1" x14ac:dyDescent="0.45">
      <c r="A116" s="77" t="s">
        <v>95</v>
      </c>
      <c r="B116" s="107">
        <f>(B115/B114)*(B113/B112)*(B111/B110)*(B109/B108)*B107</f>
        <v>4500</v>
      </c>
      <c r="C116" s="199"/>
      <c r="D116" s="164" t="s">
        <v>76</v>
      </c>
      <c r="E116" s="200">
        <f>STDEV(E108:E113)/E115</f>
        <v>4.4136981087073389E-3</v>
      </c>
      <c r="F116" s="200">
        <f>STDEV(F108:F113)/F115</f>
        <v>4.4136981087073502E-3</v>
      </c>
      <c r="I116" s="52"/>
    </row>
    <row r="117" spans="1:9" ht="27" customHeight="1" x14ac:dyDescent="0.45">
      <c r="A117" s="466" t="s">
        <v>70</v>
      </c>
      <c r="B117" s="467"/>
      <c r="C117" s="201"/>
      <c r="D117" s="202" t="s">
        <v>20</v>
      </c>
      <c r="E117" s="203">
        <f>COUNT(E108:E113)</f>
        <v>6</v>
      </c>
      <c r="F117" s="203">
        <f>COUNT(F108:F113)</f>
        <v>6</v>
      </c>
      <c r="I117" s="52"/>
    </row>
    <row r="118" spans="1:9" ht="19.5" customHeight="1" x14ac:dyDescent="0.35">
      <c r="A118" s="468"/>
      <c r="B118" s="469"/>
      <c r="C118" s="52"/>
      <c r="D118" s="52"/>
      <c r="E118" s="52"/>
      <c r="F118" s="145"/>
      <c r="G118" s="52"/>
      <c r="H118" s="52"/>
      <c r="I118" s="52"/>
    </row>
    <row r="119" spans="1:9" ht="18" x14ac:dyDescent="0.35">
      <c r="A119" s="212"/>
      <c r="B119" s="73"/>
      <c r="C119" s="52"/>
      <c r="D119" s="52"/>
      <c r="E119" s="52"/>
      <c r="F119" s="145"/>
      <c r="G119" s="52"/>
      <c r="H119" s="52"/>
      <c r="I119" s="52"/>
    </row>
    <row r="120" spans="1:9" ht="26.25" customHeight="1" x14ac:dyDescent="0.45">
      <c r="A120" s="62" t="s">
        <v>98</v>
      </c>
      <c r="B120" s="152" t="s">
        <v>115</v>
      </c>
      <c r="C120" s="470" t="str">
        <f>B79</f>
        <v>Sulphamethoxazole</v>
      </c>
      <c r="D120" s="470"/>
      <c r="E120" s="153" t="s">
        <v>116</v>
      </c>
      <c r="F120" s="153"/>
      <c r="G120" s="154">
        <f>F115</f>
        <v>0.93724800000435293</v>
      </c>
      <c r="H120" s="52"/>
      <c r="I120" s="52"/>
    </row>
    <row r="121" spans="1:9" ht="19.5" customHeight="1" x14ac:dyDescent="0.35">
      <c r="A121" s="204"/>
      <c r="B121" s="204"/>
      <c r="C121" s="205"/>
      <c r="D121" s="205"/>
      <c r="E121" s="205"/>
      <c r="F121" s="205"/>
      <c r="G121" s="205"/>
      <c r="H121" s="205"/>
    </row>
    <row r="122" spans="1:9" ht="18" x14ac:dyDescent="0.35">
      <c r="B122" s="471" t="s">
        <v>25</v>
      </c>
      <c r="C122" s="471"/>
      <c r="E122" s="159" t="s">
        <v>26</v>
      </c>
      <c r="F122" s="206"/>
      <c r="G122" s="471" t="s">
        <v>27</v>
      </c>
      <c r="H122" s="471"/>
    </row>
    <row r="123" spans="1:9" ht="69.900000000000006" customHeight="1" x14ac:dyDescent="0.35">
      <c r="A123" s="207" t="s">
        <v>28</v>
      </c>
      <c r="B123" s="208"/>
      <c r="C123" s="208"/>
      <c r="E123" s="208"/>
      <c r="F123" s="52"/>
      <c r="G123" s="209"/>
      <c r="H123" s="209"/>
    </row>
    <row r="124" spans="1:9" ht="69.900000000000006" customHeight="1" x14ac:dyDescent="0.35">
      <c r="A124" s="207" t="s">
        <v>29</v>
      </c>
      <c r="B124" s="210"/>
      <c r="C124" s="210" t="s">
        <v>131</v>
      </c>
      <c r="E124" s="533">
        <v>42366</v>
      </c>
      <c r="F124" s="52"/>
      <c r="G124" s="211"/>
      <c r="H124" s="211"/>
    </row>
    <row r="125" spans="1:9" ht="18" x14ac:dyDescent="0.35">
      <c r="A125" s="144"/>
      <c r="B125" s="144"/>
      <c r="C125" s="145"/>
      <c r="D125" s="145"/>
      <c r="E125" s="145"/>
      <c r="F125" s="149"/>
      <c r="G125" s="145"/>
      <c r="H125" s="145"/>
      <c r="I125" s="52"/>
    </row>
    <row r="126" spans="1:9" ht="18" x14ac:dyDescent="0.35">
      <c r="A126" s="144"/>
      <c r="B126" s="144"/>
      <c r="C126" s="145"/>
      <c r="D126" s="145"/>
      <c r="E126" s="145"/>
      <c r="F126" s="149"/>
      <c r="G126" s="145"/>
      <c r="H126" s="145"/>
      <c r="I126" s="52"/>
    </row>
    <row r="127" spans="1:9" ht="18" x14ac:dyDescent="0.35">
      <c r="A127" s="144"/>
      <c r="B127" s="144"/>
      <c r="C127" s="145"/>
      <c r="D127" s="145"/>
      <c r="E127" s="145"/>
      <c r="F127" s="149"/>
      <c r="G127" s="145"/>
      <c r="H127" s="145"/>
      <c r="I127" s="52"/>
    </row>
    <row r="128" spans="1:9" ht="18" x14ac:dyDescent="0.35">
      <c r="A128" s="144"/>
      <c r="B128" s="144"/>
      <c r="C128" s="145"/>
      <c r="D128" s="145"/>
      <c r="E128" s="145"/>
      <c r="F128" s="149"/>
      <c r="G128" s="145"/>
      <c r="H128" s="145"/>
      <c r="I128" s="52"/>
    </row>
    <row r="129" spans="1:9" ht="18" x14ac:dyDescent="0.35">
      <c r="A129" s="144"/>
      <c r="B129" s="144"/>
      <c r="C129" s="145"/>
      <c r="D129" s="145"/>
      <c r="E129" s="145"/>
      <c r="F129" s="149"/>
      <c r="G129" s="145"/>
      <c r="H129" s="145"/>
      <c r="I129" s="52"/>
    </row>
    <row r="130" spans="1:9" ht="18" x14ac:dyDescent="0.35">
      <c r="A130" s="144"/>
      <c r="B130" s="144"/>
      <c r="C130" s="145"/>
      <c r="D130" s="145"/>
      <c r="E130" s="145"/>
      <c r="F130" s="149"/>
      <c r="G130" s="145"/>
      <c r="H130" s="145"/>
      <c r="I130" s="52"/>
    </row>
    <row r="131" spans="1:9" ht="18" x14ac:dyDescent="0.35">
      <c r="A131" s="144"/>
      <c r="B131" s="144"/>
      <c r="C131" s="145"/>
      <c r="D131" s="145"/>
      <c r="E131" s="145"/>
      <c r="F131" s="149"/>
      <c r="G131" s="145"/>
      <c r="H131" s="145"/>
      <c r="I131" s="52"/>
    </row>
    <row r="132" spans="1:9" ht="18" x14ac:dyDescent="0.35">
      <c r="A132" s="144"/>
      <c r="B132" s="144"/>
      <c r="C132" s="145"/>
      <c r="D132" s="145"/>
      <c r="E132" s="145"/>
      <c r="F132" s="149"/>
      <c r="G132" s="145"/>
      <c r="H132" s="145"/>
      <c r="I132" s="52"/>
    </row>
    <row r="133" spans="1:9" ht="18" x14ac:dyDescent="0.35">
      <c r="A133" s="144"/>
      <c r="B133" s="144"/>
      <c r="C133" s="145"/>
      <c r="D133" s="145"/>
      <c r="E133" s="145"/>
      <c r="F133" s="149"/>
      <c r="G133" s="145"/>
      <c r="H133" s="145"/>
      <c r="I133" s="52"/>
    </row>
    <row r="250" spans="1:1" x14ac:dyDescent="0.3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5">
    <mergeCell ref="B26:C26"/>
    <mergeCell ref="A16:H16"/>
    <mergeCell ref="A17:H17"/>
    <mergeCell ref="B18:C18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94" zoomScale="70" zoomScaleNormal="70" zoomScalePageLayoutView="60" workbookViewId="0">
      <selection activeCell="C121" sqref="C121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  <col min="13" max="16384" width="9.109375" style="516"/>
  </cols>
  <sheetData>
    <row r="1" spans="1:12" customFormat="1" ht="18.75" customHeight="1" x14ac:dyDescent="0.3">
      <c r="A1" s="464" t="s">
        <v>30</v>
      </c>
      <c r="B1" s="464"/>
      <c r="C1" s="464"/>
      <c r="D1" s="464"/>
      <c r="E1" s="464"/>
      <c r="F1" s="464"/>
      <c r="G1" s="464"/>
      <c r="H1" s="464"/>
      <c r="I1" s="464"/>
      <c r="J1" s="2"/>
      <c r="K1" s="2"/>
      <c r="L1" s="2"/>
    </row>
    <row r="2" spans="1:12" customFormat="1" ht="18.75" customHeight="1" x14ac:dyDescent="0.3">
      <c r="A2" s="464"/>
      <c r="B2" s="464"/>
      <c r="C2" s="464"/>
      <c r="D2" s="464"/>
      <c r="E2" s="464"/>
      <c r="F2" s="464"/>
      <c r="G2" s="464"/>
      <c r="H2" s="464"/>
      <c r="I2" s="464"/>
      <c r="J2" s="2"/>
      <c r="K2" s="2"/>
      <c r="L2" s="2"/>
    </row>
    <row r="3" spans="1:12" customFormat="1" ht="18.75" customHeight="1" x14ac:dyDescent="0.3">
      <c r="A3" s="464"/>
      <c r="B3" s="464"/>
      <c r="C3" s="464"/>
      <c r="D3" s="464"/>
      <c r="E3" s="464"/>
      <c r="F3" s="464"/>
      <c r="G3" s="464"/>
      <c r="H3" s="464"/>
      <c r="I3" s="464"/>
      <c r="J3" s="2"/>
      <c r="K3" s="2"/>
      <c r="L3" s="2"/>
    </row>
    <row r="4" spans="1:12" customFormat="1" ht="18.75" customHeight="1" x14ac:dyDescent="0.3">
      <c r="A4" s="464"/>
      <c r="B4" s="464"/>
      <c r="C4" s="464"/>
      <c r="D4" s="464"/>
      <c r="E4" s="464"/>
      <c r="F4" s="464"/>
      <c r="G4" s="464"/>
      <c r="H4" s="464"/>
      <c r="I4" s="464"/>
      <c r="J4" s="2"/>
      <c r="K4" s="2"/>
      <c r="L4" s="2"/>
    </row>
    <row r="5" spans="1:12" customFormat="1" ht="18.75" customHeight="1" x14ac:dyDescent="0.3">
      <c r="A5" s="464"/>
      <c r="B5" s="464"/>
      <c r="C5" s="464"/>
      <c r="D5" s="464"/>
      <c r="E5" s="464"/>
      <c r="F5" s="464"/>
      <c r="G5" s="464"/>
      <c r="H5" s="464"/>
      <c r="I5" s="464"/>
      <c r="J5" s="2"/>
      <c r="K5" s="2"/>
      <c r="L5" s="2"/>
    </row>
    <row r="6" spans="1:12" customFormat="1" ht="18.75" customHeight="1" x14ac:dyDescent="0.3">
      <c r="A6" s="464"/>
      <c r="B6" s="464"/>
      <c r="C6" s="464"/>
      <c r="D6" s="464"/>
      <c r="E6" s="464"/>
      <c r="F6" s="464"/>
      <c r="G6" s="464"/>
      <c r="H6" s="464"/>
      <c r="I6" s="464"/>
      <c r="J6" s="2"/>
      <c r="K6" s="2"/>
      <c r="L6" s="2"/>
    </row>
    <row r="7" spans="1:12" customFormat="1" ht="18.75" customHeight="1" x14ac:dyDescent="0.3">
      <c r="A7" s="464"/>
      <c r="B7" s="464"/>
      <c r="C7" s="464"/>
      <c r="D7" s="464"/>
      <c r="E7" s="464"/>
      <c r="F7" s="464"/>
      <c r="G7" s="464"/>
      <c r="H7" s="464"/>
      <c r="I7" s="464"/>
      <c r="J7" s="2"/>
      <c r="K7" s="2"/>
      <c r="L7" s="2"/>
    </row>
    <row r="8" spans="1:12" customFormat="1" x14ac:dyDescent="0.3">
      <c r="A8" s="465" t="s">
        <v>31</v>
      </c>
      <c r="B8" s="465"/>
      <c r="C8" s="465"/>
      <c r="D8" s="465"/>
      <c r="E8" s="465"/>
      <c r="F8" s="465"/>
      <c r="G8" s="465"/>
      <c r="H8" s="465"/>
      <c r="I8" s="465"/>
      <c r="J8" s="2"/>
      <c r="K8" s="2"/>
      <c r="L8" s="2"/>
    </row>
    <row r="9" spans="1:12" customFormat="1" x14ac:dyDescent="0.3">
      <c r="A9" s="465"/>
      <c r="B9" s="465"/>
      <c r="C9" s="465"/>
      <c r="D9" s="465"/>
      <c r="E9" s="465"/>
      <c r="F9" s="465"/>
      <c r="G9" s="465"/>
      <c r="H9" s="465"/>
      <c r="I9" s="465"/>
      <c r="J9" s="2"/>
      <c r="K9" s="2"/>
      <c r="L9" s="2"/>
    </row>
    <row r="10" spans="1:12" customFormat="1" x14ac:dyDescent="0.3">
      <c r="A10" s="465"/>
      <c r="B10" s="465"/>
      <c r="C10" s="465"/>
      <c r="D10" s="465"/>
      <c r="E10" s="465"/>
      <c r="F10" s="465"/>
      <c r="G10" s="465"/>
      <c r="H10" s="465"/>
      <c r="I10" s="465"/>
      <c r="J10" s="2"/>
      <c r="K10" s="2"/>
      <c r="L10" s="2"/>
    </row>
    <row r="11" spans="1:12" customFormat="1" x14ac:dyDescent="0.3">
      <c r="A11" s="465"/>
      <c r="B11" s="465"/>
      <c r="C11" s="465"/>
      <c r="D11" s="465"/>
      <c r="E11" s="465"/>
      <c r="F11" s="465"/>
      <c r="G11" s="465"/>
      <c r="H11" s="465"/>
      <c r="I11" s="465"/>
      <c r="J11" s="2"/>
      <c r="K11" s="2"/>
      <c r="L11" s="2"/>
    </row>
    <row r="12" spans="1:12" customFormat="1" x14ac:dyDescent="0.3">
      <c r="A12" s="465"/>
      <c r="B12" s="465"/>
      <c r="C12" s="465"/>
      <c r="D12" s="465"/>
      <c r="E12" s="465"/>
      <c r="F12" s="465"/>
      <c r="G12" s="465"/>
      <c r="H12" s="465"/>
      <c r="I12" s="465"/>
      <c r="J12" s="2"/>
      <c r="K12" s="2"/>
      <c r="L12" s="2"/>
    </row>
    <row r="13" spans="1:12" customFormat="1" x14ac:dyDescent="0.3">
      <c r="A13" s="465"/>
      <c r="B13" s="465"/>
      <c r="C13" s="465"/>
      <c r="D13" s="465"/>
      <c r="E13" s="465"/>
      <c r="F13" s="465"/>
      <c r="G13" s="465"/>
      <c r="H13" s="465"/>
      <c r="I13" s="465"/>
      <c r="J13" s="2"/>
      <c r="K13" s="2"/>
      <c r="L13" s="2"/>
    </row>
    <row r="14" spans="1:12" customFormat="1" x14ac:dyDescent="0.3">
      <c r="A14" s="465"/>
      <c r="B14" s="465"/>
      <c r="C14" s="465"/>
      <c r="D14" s="465"/>
      <c r="E14" s="465"/>
      <c r="F14" s="465"/>
      <c r="G14" s="465"/>
      <c r="H14" s="465"/>
      <c r="I14" s="465"/>
      <c r="J14" s="2"/>
      <c r="K14" s="2"/>
      <c r="L14" s="2"/>
    </row>
    <row r="15" spans="1:12" customFormat="1" ht="19.5" customHeight="1" x14ac:dyDescent="0.35">
      <c r="A15" s="227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customFormat="1" ht="19.5" customHeight="1" x14ac:dyDescent="0.35">
      <c r="A16" s="498" t="s">
        <v>32</v>
      </c>
      <c r="B16" s="499"/>
      <c r="C16" s="499"/>
      <c r="D16" s="499"/>
      <c r="E16" s="499"/>
      <c r="F16" s="499"/>
      <c r="G16" s="499"/>
      <c r="H16" s="500"/>
      <c r="I16" s="2"/>
      <c r="J16" s="2"/>
      <c r="K16" s="2"/>
      <c r="L16" s="2"/>
    </row>
    <row r="17" spans="1:14" customFormat="1" ht="20.25" customHeight="1" x14ac:dyDescent="0.3">
      <c r="A17" s="501" t="s">
        <v>33</v>
      </c>
      <c r="B17" s="501"/>
      <c r="C17" s="501"/>
      <c r="D17" s="501"/>
      <c r="E17" s="501"/>
      <c r="F17" s="501"/>
      <c r="G17" s="501"/>
      <c r="H17" s="501"/>
      <c r="I17" s="2"/>
      <c r="J17" s="2"/>
      <c r="K17" s="2"/>
      <c r="L17" s="2"/>
    </row>
    <row r="18" spans="1:14" customFormat="1" ht="26.25" customHeight="1" x14ac:dyDescent="0.5">
      <c r="A18" s="229" t="s">
        <v>34</v>
      </c>
      <c r="B18" s="497" t="s">
        <v>5</v>
      </c>
      <c r="C18" s="497"/>
      <c r="D18" s="395"/>
      <c r="E18" s="230"/>
      <c r="F18" s="231"/>
      <c r="G18" s="231"/>
      <c r="H18" s="231"/>
      <c r="I18" s="2"/>
      <c r="J18" s="2"/>
      <c r="K18" s="2"/>
      <c r="L18" s="2"/>
    </row>
    <row r="19" spans="1:14" customFormat="1" ht="26.25" customHeight="1" x14ac:dyDescent="0.5">
      <c r="A19" s="229" t="s">
        <v>35</v>
      </c>
      <c r="B19" s="232" t="s">
        <v>7</v>
      </c>
      <c r="C19" s="408">
        <v>29</v>
      </c>
      <c r="D19" s="231"/>
      <c r="E19" s="231"/>
      <c r="F19" s="231"/>
      <c r="G19" s="231"/>
      <c r="H19" s="231"/>
      <c r="I19" s="2"/>
      <c r="J19" s="2"/>
      <c r="K19" s="2"/>
      <c r="L19" s="2"/>
    </row>
    <row r="20" spans="1:14" customFormat="1" ht="26.25" customHeight="1" x14ac:dyDescent="0.5">
      <c r="A20" s="229" t="s">
        <v>36</v>
      </c>
      <c r="B20" s="502" t="s">
        <v>134</v>
      </c>
      <c r="C20" s="502"/>
      <c r="D20" s="231"/>
      <c r="E20" s="231"/>
      <c r="F20" s="231"/>
      <c r="G20" s="231"/>
      <c r="H20" s="231"/>
      <c r="I20" s="2"/>
      <c r="J20" s="2"/>
      <c r="K20" s="2"/>
      <c r="L20" s="2"/>
    </row>
    <row r="21" spans="1:14" customFormat="1" ht="26.25" customHeight="1" x14ac:dyDescent="0.5">
      <c r="A21" s="229" t="s">
        <v>37</v>
      </c>
      <c r="B21" s="502" t="s">
        <v>135</v>
      </c>
      <c r="C21" s="502"/>
      <c r="D21" s="502"/>
      <c r="E21" s="502"/>
      <c r="F21" s="502"/>
      <c r="G21" s="502"/>
      <c r="H21" s="502"/>
      <c r="I21" s="233"/>
      <c r="J21" s="2"/>
      <c r="K21" s="2"/>
      <c r="L21" s="2"/>
    </row>
    <row r="22" spans="1:14" customFormat="1" ht="26.25" customHeight="1" x14ac:dyDescent="0.5">
      <c r="A22" s="229" t="s">
        <v>38</v>
      </c>
      <c r="B22" s="234" t="s">
        <v>12</v>
      </c>
      <c r="C22" s="231"/>
      <c r="D22" s="231"/>
      <c r="E22" s="231"/>
      <c r="F22" s="231"/>
      <c r="G22" s="231"/>
      <c r="H22" s="231"/>
      <c r="I22" s="2"/>
      <c r="J22" s="2"/>
      <c r="K22" s="2"/>
      <c r="L22" s="2"/>
    </row>
    <row r="23" spans="1:14" customFormat="1" ht="26.25" customHeight="1" x14ac:dyDescent="0.5">
      <c r="A23" s="229" t="s">
        <v>39</v>
      </c>
      <c r="B23" s="234"/>
      <c r="C23" s="231"/>
      <c r="D23" s="231"/>
      <c r="E23" s="231"/>
      <c r="F23" s="231"/>
      <c r="G23" s="231"/>
      <c r="H23" s="231"/>
      <c r="I23" s="2"/>
      <c r="J23" s="2"/>
      <c r="K23" s="2"/>
      <c r="L23" s="2"/>
    </row>
    <row r="24" spans="1:14" customFormat="1" ht="18" x14ac:dyDescent="0.35">
      <c r="A24" s="229"/>
      <c r="B24" s="235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4" customFormat="1" ht="18" x14ac:dyDescent="0.35">
      <c r="A25" s="236" t="s">
        <v>1</v>
      </c>
      <c r="B25" s="235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4" customFormat="1" ht="26.25" customHeight="1" x14ac:dyDescent="0.45">
      <c r="A26" s="237" t="s">
        <v>4</v>
      </c>
      <c r="B26" s="497" t="s">
        <v>126</v>
      </c>
      <c r="C26" s="497"/>
      <c r="D26" s="2"/>
      <c r="E26" s="2"/>
      <c r="F26" s="2"/>
      <c r="G26" s="2"/>
      <c r="H26" s="2"/>
      <c r="I26" s="2"/>
      <c r="J26" s="2"/>
      <c r="K26" s="2"/>
      <c r="L26" s="2"/>
    </row>
    <row r="27" spans="1:14" customFormat="1" ht="26.25" customHeight="1" x14ac:dyDescent="0.5">
      <c r="A27" s="238" t="s">
        <v>40</v>
      </c>
      <c r="B27" s="495" t="s">
        <v>128</v>
      </c>
      <c r="C27" s="495"/>
      <c r="D27" s="2"/>
      <c r="E27" s="2"/>
      <c r="F27" s="2"/>
      <c r="G27" s="2"/>
      <c r="H27" s="2"/>
      <c r="I27" s="2"/>
      <c r="J27" s="2"/>
      <c r="K27" s="2"/>
      <c r="L27" s="2"/>
    </row>
    <row r="28" spans="1:14" customFormat="1" ht="27" customHeight="1" x14ac:dyDescent="0.45">
      <c r="A28" s="238" t="s">
        <v>6</v>
      </c>
      <c r="B28" s="239">
        <v>99.3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4" s="512" customFormat="1" ht="27" customHeight="1" x14ac:dyDescent="0.5">
      <c r="A29" s="238" t="s">
        <v>41</v>
      </c>
      <c r="B29" s="240">
        <v>0</v>
      </c>
      <c r="C29" s="472" t="s">
        <v>42</v>
      </c>
      <c r="D29" s="473"/>
      <c r="E29" s="473"/>
      <c r="F29" s="473"/>
      <c r="G29" s="474"/>
      <c r="H29" s="14"/>
      <c r="I29" s="241"/>
      <c r="J29" s="241"/>
      <c r="K29" s="241"/>
      <c r="L29" s="241"/>
    </row>
    <row r="30" spans="1:14" s="512" customFormat="1" ht="19.5" customHeight="1" x14ac:dyDescent="0.35">
      <c r="A30" s="238" t="s">
        <v>43</v>
      </c>
      <c r="B30" s="242">
        <f>B28-B29</f>
        <v>99.3</v>
      </c>
      <c r="C30" s="243"/>
      <c r="D30" s="243"/>
      <c r="E30" s="243"/>
      <c r="F30" s="243"/>
      <c r="G30" s="244"/>
      <c r="H30" s="14"/>
      <c r="I30" s="241"/>
      <c r="J30" s="241"/>
      <c r="K30" s="241"/>
      <c r="L30" s="241"/>
    </row>
    <row r="31" spans="1:14" s="512" customFormat="1" ht="27" customHeight="1" x14ac:dyDescent="0.45">
      <c r="A31" s="238" t="s">
        <v>44</v>
      </c>
      <c r="B31" s="245">
        <v>1</v>
      </c>
      <c r="C31" s="475" t="s">
        <v>45</v>
      </c>
      <c r="D31" s="476"/>
      <c r="E31" s="476"/>
      <c r="F31" s="476"/>
      <c r="G31" s="476"/>
      <c r="H31" s="477"/>
      <c r="I31" s="241"/>
      <c r="J31" s="241"/>
      <c r="K31" s="241"/>
      <c r="L31" s="241"/>
    </row>
    <row r="32" spans="1:14" s="512" customFormat="1" ht="27" customHeight="1" x14ac:dyDescent="0.45">
      <c r="A32" s="238" t="s">
        <v>46</v>
      </c>
      <c r="B32" s="245">
        <v>1</v>
      </c>
      <c r="C32" s="475" t="s">
        <v>47</v>
      </c>
      <c r="D32" s="476"/>
      <c r="E32" s="476"/>
      <c r="F32" s="476"/>
      <c r="G32" s="476"/>
      <c r="H32" s="477"/>
      <c r="I32" s="241"/>
      <c r="J32" s="241"/>
      <c r="K32" s="241"/>
      <c r="L32" s="246"/>
      <c r="M32" s="513"/>
      <c r="N32" s="514"/>
    </row>
    <row r="33" spans="1:14" s="512" customFormat="1" ht="17.25" customHeight="1" x14ac:dyDescent="0.35">
      <c r="A33" s="238"/>
      <c r="B33" s="247"/>
      <c r="C33" s="248"/>
      <c r="D33" s="248"/>
      <c r="E33" s="248"/>
      <c r="F33" s="248"/>
      <c r="G33" s="248"/>
      <c r="H33" s="248"/>
      <c r="I33" s="241"/>
      <c r="J33" s="241"/>
      <c r="K33" s="241"/>
      <c r="L33" s="246"/>
      <c r="M33" s="513"/>
      <c r="N33" s="514"/>
    </row>
    <row r="34" spans="1:14" s="512" customFormat="1" ht="18" x14ac:dyDescent="0.35">
      <c r="A34" s="238" t="s">
        <v>48</v>
      </c>
      <c r="B34" s="249">
        <f>B31/B32</f>
        <v>1</v>
      </c>
      <c r="C34" s="228" t="s">
        <v>49</v>
      </c>
      <c r="D34" s="228"/>
      <c r="E34" s="228"/>
      <c r="F34" s="228"/>
      <c r="G34" s="228"/>
      <c r="H34" s="14"/>
      <c r="I34" s="241"/>
      <c r="J34" s="241"/>
      <c r="K34" s="241"/>
      <c r="L34" s="246"/>
      <c r="M34" s="513"/>
      <c r="N34" s="514"/>
    </row>
    <row r="35" spans="1:14" s="512" customFormat="1" ht="19.5" customHeight="1" x14ac:dyDescent="0.35">
      <c r="A35" s="238"/>
      <c r="B35" s="242"/>
      <c r="C35" s="14"/>
      <c r="D35" s="14"/>
      <c r="E35" s="14"/>
      <c r="F35" s="14"/>
      <c r="G35" s="228"/>
      <c r="H35" s="14"/>
      <c r="I35" s="241"/>
      <c r="J35" s="241"/>
      <c r="K35" s="241"/>
      <c r="L35" s="246"/>
      <c r="M35" s="513"/>
      <c r="N35" s="514"/>
    </row>
    <row r="36" spans="1:14" s="512" customFormat="1" ht="27" customHeight="1" x14ac:dyDescent="0.45">
      <c r="A36" s="250" t="s">
        <v>50</v>
      </c>
      <c r="B36" s="251">
        <v>25</v>
      </c>
      <c r="C36" s="228"/>
      <c r="D36" s="478" t="s">
        <v>51</v>
      </c>
      <c r="E36" s="496"/>
      <c r="F36" s="478" t="s">
        <v>52</v>
      </c>
      <c r="G36" s="479"/>
      <c r="H36" s="14"/>
      <c r="I36" s="14"/>
      <c r="J36" s="241"/>
      <c r="K36" s="241"/>
      <c r="L36" s="246"/>
      <c r="M36" s="513"/>
      <c r="N36" s="514"/>
    </row>
    <row r="37" spans="1:14" s="512" customFormat="1" ht="27" customHeight="1" x14ac:dyDescent="0.45">
      <c r="A37" s="252" t="s">
        <v>53</v>
      </c>
      <c r="B37" s="253">
        <v>2</v>
      </c>
      <c r="C37" s="254" t="s">
        <v>54</v>
      </c>
      <c r="D37" s="255" t="s">
        <v>55</v>
      </c>
      <c r="E37" s="256" t="s">
        <v>56</v>
      </c>
      <c r="F37" s="255" t="s">
        <v>55</v>
      </c>
      <c r="G37" s="257" t="s">
        <v>56</v>
      </c>
      <c r="H37" s="14"/>
      <c r="I37" s="258" t="s">
        <v>57</v>
      </c>
      <c r="J37" s="241"/>
      <c r="K37" s="241"/>
      <c r="L37" s="246"/>
      <c r="M37" s="513"/>
      <c r="N37" s="514"/>
    </row>
    <row r="38" spans="1:14" s="512" customFormat="1" ht="26.25" customHeight="1" x14ac:dyDescent="0.45">
      <c r="A38" s="252" t="s">
        <v>58</v>
      </c>
      <c r="B38" s="253">
        <v>50</v>
      </c>
      <c r="C38" s="259">
        <v>1</v>
      </c>
      <c r="D38" s="260">
        <v>12799325</v>
      </c>
      <c r="E38" s="261">
        <f>IF(ISBLANK(D38),"-",$D$48/$D$45*D38)</f>
        <v>9709643.5879783724</v>
      </c>
      <c r="F38" s="260">
        <v>9357359</v>
      </c>
      <c r="G38" s="262">
        <f>IF(ISBLANK(F38),"-",$D$48/$F$45*F38)</f>
        <v>9446939.6048025396</v>
      </c>
      <c r="H38" s="14"/>
      <c r="I38" s="263"/>
      <c r="J38" s="241"/>
      <c r="K38" s="241"/>
      <c r="L38" s="246"/>
      <c r="M38" s="513"/>
      <c r="N38" s="514"/>
    </row>
    <row r="39" spans="1:14" s="512" customFormat="1" ht="26.25" customHeight="1" x14ac:dyDescent="0.45">
      <c r="A39" s="252" t="s">
        <v>59</v>
      </c>
      <c r="B39" s="253">
        <v>1</v>
      </c>
      <c r="C39" s="264">
        <v>2</v>
      </c>
      <c r="D39" s="265">
        <v>12793296</v>
      </c>
      <c r="E39" s="266">
        <f>IF(ISBLANK(D39),"-",$D$48/$D$45*D39)</f>
        <v>9705069.9529474694</v>
      </c>
      <c r="F39" s="265">
        <v>9393286</v>
      </c>
      <c r="G39" s="267">
        <f>IF(ISBLANK(F39),"-",$D$48/$F$45*F39)</f>
        <v>9483210.5439833216</v>
      </c>
      <c r="H39" s="14"/>
      <c r="I39" s="480">
        <f>ABS((F43/D43*D42)-F42)/D42</f>
        <v>1.8331305287319185E-2</v>
      </c>
      <c r="J39" s="241"/>
      <c r="K39" s="241"/>
      <c r="L39" s="246"/>
      <c r="M39" s="513"/>
      <c r="N39" s="514"/>
    </row>
    <row r="40" spans="1:14" ht="26.25" customHeight="1" x14ac:dyDescent="0.45">
      <c r="A40" s="252" t="s">
        <v>60</v>
      </c>
      <c r="B40" s="253">
        <v>1</v>
      </c>
      <c r="C40" s="264">
        <v>3</v>
      </c>
      <c r="D40" s="265">
        <v>12769177</v>
      </c>
      <c r="E40" s="266">
        <f>IF(ISBLANK(D40),"-",$D$48/$D$45*D40)</f>
        <v>9686773.1370061245</v>
      </c>
      <c r="F40" s="265">
        <v>9371665</v>
      </c>
      <c r="G40" s="267">
        <f>IF(ISBLANK(F40),"-",$D$48/$F$45*F40)</f>
        <v>9461382.5601263978</v>
      </c>
      <c r="I40" s="480"/>
      <c r="L40" s="246"/>
      <c r="M40" s="513"/>
      <c r="N40" s="517"/>
    </row>
    <row r="41" spans="1:14" ht="27" customHeight="1" x14ac:dyDescent="0.45">
      <c r="A41" s="252" t="s">
        <v>61</v>
      </c>
      <c r="B41" s="253">
        <v>1</v>
      </c>
      <c r="C41" s="269">
        <v>4</v>
      </c>
      <c r="D41" s="270"/>
      <c r="E41" s="271" t="str">
        <f>IF(ISBLANK(D41),"-",$D$48/$D$45*D41)</f>
        <v>-</v>
      </c>
      <c r="F41" s="270"/>
      <c r="G41" s="272" t="str">
        <f>IF(ISBLANK(F41),"-",$D$48/$F$45*F41)</f>
        <v>-</v>
      </c>
      <c r="I41" s="273"/>
      <c r="L41" s="246"/>
      <c r="M41" s="513"/>
      <c r="N41" s="517"/>
    </row>
    <row r="42" spans="1:14" ht="27" customHeight="1" x14ac:dyDescent="0.45">
      <c r="A42" s="252" t="s">
        <v>62</v>
      </c>
      <c r="B42" s="253">
        <v>1</v>
      </c>
      <c r="C42" s="274" t="s">
        <v>63</v>
      </c>
      <c r="D42" s="275">
        <f>AVERAGE(D38:D41)</f>
        <v>12787266</v>
      </c>
      <c r="E42" s="276">
        <f>AVERAGE(E38:E41)</f>
        <v>9700495.5593106542</v>
      </c>
      <c r="F42" s="275">
        <f>AVERAGE(F38:F41)</f>
        <v>9374103.333333334</v>
      </c>
      <c r="G42" s="277">
        <f>AVERAGE(G38:G41)</f>
        <v>9463844.2363040857</v>
      </c>
      <c r="H42" s="278"/>
    </row>
    <row r="43" spans="1:14" ht="26.25" customHeight="1" x14ac:dyDescent="0.45">
      <c r="A43" s="252" t="s">
        <v>64</v>
      </c>
      <c r="B43" s="253">
        <v>1</v>
      </c>
      <c r="C43" s="279" t="s">
        <v>65</v>
      </c>
      <c r="D43" s="280">
        <v>26.55</v>
      </c>
      <c r="E43" s="268"/>
      <c r="F43" s="280">
        <v>19.95</v>
      </c>
      <c r="H43" s="278"/>
    </row>
    <row r="44" spans="1:14" ht="26.25" customHeight="1" x14ac:dyDescent="0.45">
      <c r="A44" s="252" t="s">
        <v>66</v>
      </c>
      <c r="B44" s="253">
        <v>1</v>
      </c>
      <c r="C44" s="281" t="s">
        <v>67</v>
      </c>
      <c r="D44" s="282">
        <f>D43*$B$34</f>
        <v>26.55</v>
      </c>
      <c r="E44" s="283"/>
      <c r="F44" s="282">
        <f>F43*$B$34</f>
        <v>19.95</v>
      </c>
      <c r="H44" s="278"/>
    </row>
    <row r="45" spans="1:14" ht="19.5" customHeight="1" x14ac:dyDescent="0.35">
      <c r="A45" s="252" t="s">
        <v>68</v>
      </c>
      <c r="B45" s="284">
        <f>(B44/B43)*(B42/B41)*(B40/B39)*(B38/B37)*B36</f>
        <v>625</v>
      </c>
      <c r="C45" s="281" t="s">
        <v>69</v>
      </c>
      <c r="D45" s="285">
        <f>D44*$B$30/100</f>
        <v>26.364149999999999</v>
      </c>
      <c r="E45" s="286"/>
      <c r="F45" s="285">
        <f>F44*$B$30/100</f>
        <v>19.81035</v>
      </c>
      <c r="H45" s="278"/>
    </row>
    <row r="46" spans="1:14" ht="19.5" customHeight="1" x14ac:dyDescent="0.35">
      <c r="A46" s="466" t="s">
        <v>70</v>
      </c>
      <c r="B46" s="467"/>
      <c r="C46" s="281" t="s">
        <v>71</v>
      </c>
      <c r="D46" s="287">
        <f>D45/$B$45</f>
        <v>4.218264E-2</v>
      </c>
      <c r="E46" s="288"/>
      <c r="F46" s="289">
        <f>F45/$B$45</f>
        <v>3.1696559999999999E-2</v>
      </c>
      <c r="H46" s="278"/>
    </row>
    <row r="47" spans="1:14" ht="27" customHeight="1" x14ac:dyDescent="0.45">
      <c r="A47" s="468"/>
      <c r="B47" s="469"/>
      <c r="C47" s="290" t="s">
        <v>72</v>
      </c>
      <c r="D47" s="291">
        <f>160/200*2/50</f>
        <v>3.2000000000000001E-2</v>
      </c>
      <c r="E47" s="292"/>
      <c r="F47" s="288"/>
      <c r="H47" s="278"/>
    </row>
    <row r="48" spans="1:14" ht="18" x14ac:dyDescent="0.35">
      <c r="C48" s="293" t="s">
        <v>73</v>
      </c>
      <c r="D48" s="285">
        <f>D47*$B$45</f>
        <v>20</v>
      </c>
      <c r="F48" s="294"/>
      <c r="H48" s="278"/>
    </row>
    <row r="49" spans="1:12" ht="19.5" customHeight="1" x14ac:dyDescent="0.35">
      <c r="C49" s="295" t="s">
        <v>74</v>
      </c>
      <c r="D49" s="296">
        <f>D48/B34</f>
        <v>20</v>
      </c>
      <c r="F49" s="294"/>
      <c r="H49" s="278"/>
    </row>
    <row r="50" spans="1:12" ht="18" x14ac:dyDescent="0.35">
      <c r="C50" s="250" t="s">
        <v>75</v>
      </c>
      <c r="D50" s="297">
        <f>AVERAGE(E38:E41,G38:G41)</f>
        <v>9582169.897807369</v>
      </c>
      <c r="F50" s="298"/>
      <c r="H50" s="278"/>
    </row>
    <row r="51" spans="1:12" ht="18" x14ac:dyDescent="0.35">
      <c r="C51" s="252" t="s">
        <v>76</v>
      </c>
      <c r="D51" s="299">
        <f>STDEV(E38:E41,G38:G41)/D50</f>
        <v>1.3604187775529162E-2</v>
      </c>
      <c r="F51" s="298"/>
      <c r="H51" s="278"/>
    </row>
    <row r="52" spans="1:12" ht="19.5" customHeight="1" x14ac:dyDescent="0.35">
      <c r="C52" s="300" t="s">
        <v>20</v>
      </c>
      <c r="D52" s="301">
        <f>COUNT(E38:E41,G38:G41)</f>
        <v>6</v>
      </c>
      <c r="F52" s="298"/>
    </row>
    <row r="54" spans="1:12" ht="18" x14ac:dyDescent="0.35">
      <c r="A54" s="302" t="s">
        <v>1</v>
      </c>
      <c r="B54" s="303" t="s">
        <v>77</v>
      </c>
    </row>
    <row r="55" spans="1:12" ht="18" x14ac:dyDescent="0.35">
      <c r="A55" s="228" t="s">
        <v>78</v>
      </c>
      <c r="B55" s="304" t="str">
        <f>B21</f>
        <v>Sulphamethoxazole 800 mg and Trimethoprim 160 mg per tablet</v>
      </c>
    </row>
    <row r="56" spans="1:12" ht="26.25" customHeight="1" x14ac:dyDescent="0.45">
      <c r="A56" s="305" t="s">
        <v>79</v>
      </c>
      <c r="B56" s="306">
        <v>160</v>
      </c>
      <c r="C56" s="228" t="str">
        <f>B20</f>
        <v>Each tablet contains Trimethoprim 160 mg.</v>
      </c>
      <c r="H56" s="307"/>
    </row>
    <row r="57" spans="1:12" ht="18" x14ac:dyDescent="0.35">
      <c r="A57" s="304" t="s">
        <v>80</v>
      </c>
      <c r="B57" s="396">
        <f>Uniformity!C46</f>
        <v>1034.6849999999999</v>
      </c>
      <c r="H57" s="307"/>
    </row>
    <row r="58" spans="1:12" ht="19.5" customHeight="1" x14ac:dyDescent="0.35">
      <c r="H58" s="307"/>
    </row>
    <row r="59" spans="1:12" s="512" customFormat="1" ht="27" customHeight="1" x14ac:dyDescent="0.45">
      <c r="A59" s="250" t="s">
        <v>81</v>
      </c>
      <c r="B59" s="251">
        <v>200</v>
      </c>
      <c r="C59" s="228"/>
      <c r="D59" s="308" t="s">
        <v>82</v>
      </c>
      <c r="E59" s="309" t="s">
        <v>54</v>
      </c>
      <c r="F59" s="309" t="s">
        <v>55</v>
      </c>
      <c r="G59" s="309" t="s">
        <v>83</v>
      </c>
      <c r="H59" s="254" t="s">
        <v>84</v>
      </c>
      <c r="I59" s="15"/>
      <c r="L59" s="241"/>
    </row>
    <row r="60" spans="1:12" s="512" customFormat="1" ht="26.25" customHeight="1" x14ac:dyDescent="0.45">
      <c r="A60" s="252" t="s">
        <v>85</v>
      </c>
      <c r="B60" s="253">
        <v>2</v>
      </c>
      <c r="C60" s="483" t="s">
        <v>86</v>
      </c>
      <c r="D60" s="486">
        <v>1031.8599999999999</v>
      </c>
      <c r="E60" s="310">
        <v>1</v>
      </c>
      <c r="F60" s="311">
        <v>9368052</v>
      </c>
      <c r="G60" s="397">
        <f>IF(ISBLANK(F60),"-",(F60/$D$50*$D$47*$B$68)*($B$57/$D$60))</f>
        <v>156.85298364112705</v>
      </c>
      <c r="H60" s="312">
        <f t="shared" ref="H60:H71" si="0">IF(ISBLANK(F60),"-",G60/$B$56)</f>
        <v>0.98033114775704411</v>
      </c>
      <c r="I60" s="15"/>
      <c r="K60" s="523">
        <f>(F60/D50*D47*B68*B69/D60)/160</f>
        <v>0.98033114775704389</v>
      </c>
      <c r="L60" s="241"/>
    </row>
    <row r="61" spans="1:12" s="512" customFormat="1" ht="26.25" customHeight="1" x14ac:dyDescent="0.45">
      <c r="A61" s="252" t="s">
        <v>87</v>
      </c>
      <c r="B61" s="253">
        <v>50</v>
      </c>
      <c r="C61" s="484"/>
      <c r="D61" s="487"/>
      <c r="E61" s="313">
        <v>2</v>
      </c>
      <c r="F61" s="265">
        <v>9379629</v>
      </c>
      <c r="G61" s="398">
        <f>IF(ISBLANK(F61),"-",(F61/$D$50*$D$47*$B$68)*($B$57/$D$60))</f>
        <v>157.04682191098433</v>
      </c>
      <c r="H61" s="314">
        <f t="shared" si="0"/>
        <v>0.98154263694365207</v>
      </c>
      <c r="I61" s="15"/>
      <c r="L61" s="241"/>
    </row>
    <row r="62" spans="1:12" s="512" customFormat="1" ht="26.25" customHeight="1" x14ac:dyDescent="0.45">
      <c r="A62" s="252" t="s">
        <v>88</v>
      </c>
      <c r="B62" s="253">
        <v>1</v>
      </c>
      <c r="C62" s="484"/>
      <c r="D62" s="487"/>
      <c r="E62" s="313">
        <v>3</v>
      </c>
      <c r="F62" s="315">
        <v>9387862</v>
      </c>
      <c r="G62" s="398">
        <f>IF(ISBLANK(F62),"-",(F62/$D$50*$D$47*$B$68)*($B$57/$D$60))</f>
        <v>157.1846702720222</v>
      </c>
      <c r="H62" s="314">
        <f t="shared" si="0"/>
        <v>0.98240418920013872</v>
      </c>
      <c r="I62" s="15"/>
      <c r="L62" s="241"/>
    </row>
    <row r="63" spans="1:12" ht="27" customHeight="1" x14ac:dyDescent="0.45">
      <c r="A63" s="252" t="s">
        <v>89</v>
      </c>
      <c r="B63" s="253">
        <v>1</v>
      </c>
      <c r="C63" s="494"/>
      <c r="D63" s="488"/>
      <c r="E63" s="316">
        <v>4</v>
      </c>
      <c r="F63" s="317"/>
      <c r="G63" s="398" t="str">
        <f>IF(ISBLANK(F63),"-",(F63/$D$50*$D$47*$B$68)*($B$57/$D$60))</f>
        <v>-</v>
      </c>
      <c r="H63" s="314" t="str">
        <f t="shared" si="0"/>
        <v>-</v>
      </c>
    </row>
    <row r="64" spans="1:12" ht="26.25" customHeight="1" x14ac:dyDescent="0.45">
      <c r="A64" s="252" t="s">
        <v>90</v>
      </c>
      <c r="B64" s="253">
        <v>1</v>
      </c>
      <c r="C64" s="483" t="s">
        <v>91</v>
      </c>
      <c r="D64" s="486">
        <v>1037.1199999999999</v>
      </c>
      <c r="E64" s="310">
        <v>1</v>
      </c>
      <c r="F64" s="311">
        <v>9431860</v>
      </c>
      <c r="G64" s="399">
        <f>IF(ISBLANK(F64),"-",(F64/$D$50*$D$47*$B$68)*($B$57/$D$64))</f>
        <v>157.12041055897927</v>
      </c>
      <c r="H64" s="318">
        <f t="shared" si="0"/>
        <v>0.98200256599362046</v>
      </c>
    </row>
    <row r="65" spans="1:8" ht="26.25" customHeight="1" x14ac:dyDescent="0.45">
      <c r="A65" s="252" t="s">
        <v>92</v>
      </c>
      <c r="B65" s="253">
        <v>1</v>
      </c>
      <c r="C65" s="484"/>
      <c r="D65" s="487"/>
      <c r="E65" s="313">
        <v>2</v>
      </c>
      <c r="F65" s="265">
        <v>9464682</v>
      </c>
      <c r="G65" s="400">
        <f>IF(ISBLANK(F65),"-",(F65/$D$50*$D$47*$B$68)*($B$57/$D$64))</f>
        <v>157.66717504820693</v>
      </c>
      <c r="H65" s="319">
        <f t="shared" si="0"/>
        <v>0.98541984405129335</v>
      </c>
    </row>
    <row r="66" spans="1:8" ht="26.25" customHeight="1" x14ac:dyDescent="0.45">
      <c r="A66" s="252" t="s">
        <v>93</v>
      </c>
      <c r="B66" s="253">
        <v>1</v>
      </c>
      <c r="C66" s="484"/>
      <c r="D66" s="487"/>
      <c r="E66" s="313">
        <v>3</v>
      </c>
      <c r="F66" s="265">
        <v>9471144</v>
      </c>
      <c r="G66" s="400">
        <f>IF(ISBLANK(F66),"-",(F66/$D$50*$D$47*$B$68)*($B$57/$D$64))</f>
        <v>157.7748221181414</v>
      </c>
      <c r="H66" s="319">
        <f t="shared" si="0"/>
        <v>0.98609263823838378</v>
      </c>
    </row>
    <row r="67" spans="1:8" ht="27" customHeight="1" x14ac:dyDescent="0.45">
      <c r="A67" s="252" t="s">
        <v>94</v>
      </c>
      <c r="B67" s="253">
        <v>1</v>
      </c>
      <c r="C67" s="494"/>
      <c r="D67" s="488"/>
      <c r="E67" s="316">
        <v>4</v>
      </c>
      <c r="F67" s="317"/>
      <c r="G67" s="401" t="str">
        <f>IF(ISBLANK(F67),"-",(F67/$D$50*$D$47*$B$68)*($B$57/$D$64))</f>
        <v>-</v>
      </c>
      <c r="H67" s="320" t="str">
        <f t="shared" si="0"/>
        <v>-</v>
      </c>
    </row>
    <row r="68" spans="1:8" ht="26.25" customHeight="1" x14ac:dyDescent="0.5">
      <c r="A68" s="252" t="s">
        <v>95</v>
      </c>
      <c r="B68" s="321">
        <f>(B67/B66)*(B65/B64)*(B63/B62)*(B61/B60)*B59</f>
        <v>5000</v>
      </c>
      <c r="C68" s="483" t="s">
        <v>96</v>
      </c>
      <c r="D68" s="486">
        <v>1042.9100000000001</v>
      </c>
      <c r="E68" s="310">
        <v>1</v>
      </c>
      <c r="F68" s="311">
        <v>9258286</v>
      </c>
      <c r="G68" s="399">
        <f>IF(ISBLANK(F68),"-",(F68/$D$50*$D$47*$B$68)*($B$57/$D$68))</f>
        <v>153.37268821452216</v>
      </c>
      <c r="H68" s="314">
        <f t="shared" si="0"/>
        <v>0.95857930134076352</v>
      </c>
    </row>
    <row r="69" spans="1:8" ht="27" customHeight="1" x14ac:dyDescent="0.5">
      <c r="A69" s="300" t="s">
        <v>97</v>
      </c>
      <c r="B69" s="322">
        <f>(D47*B68)/B56*B57</f>
        <v>1034.6849999999999</v>
      </c>
      <c r="C69" s="484"/>
      <c r="D69" s="487"/>
      <c r="E69" s="313">
        <v>2</v>
      </c>
      <c r="F69" s="265">
        <v>9271670</v>
      </c>
      <c r="G69" s="400">
        <f>IF(ISBLANK(F69),"-",(F69/$D$50*$D$47*$B$68)*($B$57/$D$68))</f>
        <v>153.59440744625289</v>
      </c>
      <c r="H69" s="314">
        <f t="shared" si="0"/>
        <v>0.95996504653908055</v>
      </c>
    </row>
    <row r="70" spans="1:8" ht="26.25" customHeight="1" x14ac:dyDescent="0.45">
      <c r="A70" s="489" t="s">
        <v>70</v>
      </c>
      <c r="B70" s="490"/>
      <c r="C70" s="484"/>
      <c r="D70" s="487"/>
      <c r="E70" s="313">
        <v>3</v>
      </c>
      <c r="F70" s="265">
        <v>9266209</v>
      </c>
      <c r="G70" s="400">
        <f>IF(ISBLANK(F70),"-",(F70/$D$50*$D$47*$B$68)*($B$57/$D$68))</f>
        <v>153.50394056606149</v>
      </c>
      <c r="H70" s="314">
        <f t="shared" si="0"/>
        <v>0.9593996285378843</v>
      </c>
    </row>
    <row r="71" spans="1:8" ht="27" customHeight="1" x14ac:dyDescent="0.45">
      <c r="A71" s="491"/>
      <c r="B71" s="492"/>
      <c r="C71" s="485"/>
      <c r="D71" s="488"/>
      <c r="E71" s="316">
        <v>4</v>
      </c>
      <c r="F71" s="317"/>
      <c r="G71" s="401" t="str">
        <f>IF(ISBLANK(F71),"-",(F71/$D$50*$D$47*$B$68)*($B$57/$D$68))</f>
        <v>-</v>
      </c>
      <c r="H71" s="323" t="str">
        <f t="shared" si="0"/>
        <v>-</v>
      </c>
    </row>
    <row r="72" spans="1:8" ht="26.25" customHeight="1" x14ac:dyDescent="0.45">
      <c r="A72" s="324"/>
      <c r="B72" s="324"/>
      <c r="C72" s="324"/>
      <c r="D72" s="324"/>
      <c r="E72" s="324"/>
      <c r="F72" s="326" t="s">
        <v>63</v>
      </c>
      <c r="G72" s="406">
        <f>AVERAGE(G60:G71)</f>
        <v>156.01310219736641</v>
      </c>
      <c r="H72" s="327">
        <f>AVERAGE(H60:H71)</f>
        <v>0.97508188873354007</v>
      </c>
    </row>
    <row r="73" spans="1:8" ht="26.25" customHeight="1" x14ac:dyDescent="0.45">
      <c r="C73" s="324"/>
      <c r="D73" s="324"/>
      <c r="E73" s="324"/>
      <c r="F73" s="328" t="s">
        <v>76</v>
      </c>
      <c r="G73" s="402">
        <f>STDEV(G60:G71)/G72</f>
        <v>1.2272990266413319E-2</v>
      </c>
      <c r="H73" s="402">
        <f>STDEV(H60:H71)/H72</f>
        <v>1.2272990266413314E-2</v>
      </c>
    </row>
    <row r="74" spans="1:8" ht="27" customHeight="1" x14ac:dyDescent="0.45">
      <c r="A74" s="324"/>
      <c r="B74" s="324"/>
      <c r="C74" s="325"/>
      <c r="D74" s="325"/>
      <c r="E74" s="329"/>
      <c r="F74" s="330" t="s">
        <v>20</v>
      </c>
      <c r="G74" s="331">
        <f>COUNT(G60:G71)</f>
        <v>9</v>
      </c>
      <c r="H74" s="331">
        <f>COUNT(H60:H71)</f>
        <v>9</v>
      </c>
    </row>
    <row r="76" spans="1:8" ht="26.25" customHeight="1" x14ac:dyDescent="0.45">
      <c r="A76" s="237" t="s">
        <v>98</v>
      </c>
      <c r="B76" s="332" t="s">
        <v>99</v>
      </c>
      <c r="C76" s="470" t="str">
        <f>B26</f>
        <v>Trimethoprim</v>
      </c>
      <c r="D76" s="470"/>
      <c r="E76" s="333" t="s">
        <v>100</v>
      </c>
      <c r="F76" s="333"/>
      <c r="G76" s="334">
        <f>H72</f>
        <v>0.97508188873354007</v>
      </c>
      <c r="H76" s="335"/>
    </row>
    <row r="77" spans="1:8" ht="18" x14ac:dyDescent="0.35">
      <c r="A77" s="236" t="s">
        <v>101</v>
      </c>
      <c r="B77" s="236" t="s">
        <v>102</v>
      </c>
    </row>
    <row r="78" spans="1:8" ht="18" x14ac:dyDescent="0.35">
      <c r="A78" s="236"/>
      <c r="B78" s="236"/>
    </row>
    <row r="79" spans="1:8" ht="26.25" customHeight="1" x14ac:dyDescent="0.45">
      <c r="A79" s="237" t="s">
        <v>4</v>
      </c>
      <c r="B79" s="493" t="str">
        <f>B26</f>
        <v>Trimethoprim</v>
      </c>
      <c r="C79" s="493"/>
    </row>
    <row r="80" spans="1:8" ht="26.25" customHeight="1" x14ac:dyDescent="0.45">
      <c r="A80" s="238" t="s">
        <v>40</v>
      </c>
      <c r="B80" s="493" t="str">
        <f>B27</f>
        <v>T14 9</v>
      </c>
      <c r="C80" s="493"/>
    </row>
    <row r="81" spans="1:12" ht="27" customHeight="1" thickBot="1" x14ac:dyDescent="0.5">
      <c r="A81" s="238" t="s">
        <v>6</v>
      </c>
      <c r="B81" s="336">
        <f>B28</f>
        <v>99.3</v>
      </c>
    </row>
    <row r="82" spans="1:12" s="512" customFormat="1" ht="27" customHeight="1" thickBot="1" x14ac:dyDescent="0.55000000000000004">
      <c r="A82" s="238" t="s">
        <v>41</v>
      </c>
      <c r="B82" s="240">
        <v>0</v>
      </c>
      <c r="C82" s="529" t="s">
        <v>42</v>
      </c>
      <c r="D82" s="530"/>
      <c r="E82" s="530"/>
      <c r="F82" s="530"/>
      <c r="G82" s="531"/>
      <c r="I82" s="241"/>
      <c r="J82" s="241"/>
      <c r="K82" s="241"/>
      <c r="L82" s="241"/>
    </row>
    <row r="83" spans="1:12" s="512" customFormat="1" ht="19.5" customHeight="1" thickBot="1" x14ac:dyDescent="0.4">
      <c r="A83" s="238" t="s">
        <v>43</v>
      </c>
      <c r="B83" s="242">
        <f>B81-B82</f>
        <v>99.3</v>
      </c>
      <c r="C83" s="524"/>
      <c r="D83" s="524"/>
      <c r="E83" s="524"/>
      <c r="F83" s="524"/>
      <c r="G83" s="528"/>
      <c r="I83" s="241"/>
      <c r="J83" s="241"/>
      <c r="K83" s="241"/>
      <c r="L83" s="241"/>
    </row>
    <row r="84" spans="1:12" s="512" customFormat="1" ht="27" customHeight="1" thickBot="1" x14ac:dyDescent="0.5">
      <c r="A84" s="238" t="s">
        <v>44</v>
      </c>
      <c r="B84" s="245">
        <v>1</v>
      </c>
      <c r="C84" s="525" t="s">
        <v>103</v>
      </c>
      <c r="D84" s="526"/>
      <c r="E84" s="526"/>
      <c r="F84" s="526"/>
      <c r="G84" s="526"/>
      <c r="H84" s="527"/>
      <c r="I84" s="241"/>
      <c r="J84" s="241"/>
      <c r="K84" s="241"/>
      <c r="L84" s="241"/>
    </row>
    <row r="85" spans="1:12" s="512" customFormat="1" ht="27" customHeight="1" thickBot="1" x14ac:dyDescent="0.5">
      <c r="A85" s="238" t="s">
        <v>46</v>
      </c>
      <c r="B85" s="245">
        <v>1</v>
      </c>
      <c r="C85" s="468" t="s">
        <v>104</v>
      </c>
      <c r="D85" s="482"/>
      <c r="E85" s="482"/>
      <c r="F85" s="482"/>
      <c r="G85" s="482"/>
      <c r="H85" s="469"/>
      <c r="I85" s="241"/>
      <c r="J85" s="241"/>
      <c r="K85" s="241"/>
      <c r="L85" s="241"/>
    </row>
    <row r="86" spans="1:12" s="512" customFormat="1" ht="18" x14ac:dyDescent="0.35">
      <c r="A86" s="238"/>
      <c r="B86" s="247"/>
      <c r="C86" s="248"/>
      <c r="D86" s="248"/>
      <c r="E86" s="248"/>
      <c r="F86" s="248"/>
      <c r="G86" s="248"/>
      <c r="H86" s="248"/>
      <c r="I86" s="241"/>
      <c r="J86" s="241"/>
      <c r="K86" s="241"/>
      <c r="L86" s="241"/>
    </row>
    <row r="87" spans="1:12" s="512" customFormat="1" ht="18" x14ac:dyDescent="0.35">
      <c r="A87" s="238" t="s">
        <v>48</v>
      </c>
      <c r="B87" s="249">
        <f>B84/B85</f>
        <v>1</v>
      </c>
      <c r="C87" s="228" t="s">
        <v>49</v>
      </c>
      <c r="D87" s="228"/>
      <c r="E87" s="228"/>
      <c r="F87" s="228"/>
      <c r="G87" s="228"/>
      <c r="I87" s="241"/>
      <c r="J87" s="241"/>
      <c r="K87" s="241"/>
      <c r="L87" s="241"/>
    </row>
    <row r="88" spans="1:12" ht="19.5" customHeight="1" x14ac:dyDescent="0.35">
      <c r="A88" s="236"/>
      <c r="B88" s="236"/>
    </row>
    <row r="89" spans="1:12" ht="27" customHeight="1" x14ac:dyDescent="0.45">
      <c r="A89" s="250" t="s">
        <v>50</v>
      </c>
      <c r="B89" s="251">
        <v>25</v>
      </c>
      <c r="D89" s="337" t="s">
        <v>51</v>
      </c>
      <c r="E89" s="338"/>
      <c r="F89" s="478" t="s">
        <v>52</v>
      </c>
      <c r="G89" s="479"/>
    </row>
    <row r="90" spans="1:12" ht="27" customHeight="1" x14ac:dyDescent="0.45">
      <c r="A90" s="252" t="s">
        <v>53</v>
      </c>
      <c r="B90" s="253">
        <v>2</v>
      </c>
      <c r="C90" s="339" t="s">
        <v>54</v>
      </c>
      <c r="D90" s="255" t="s">
        <v>55</v>
      </c>
      <c r="E90" s="256" t="s">
        <v>56</v>
      </c>
      <c r="F90" s="255" t="s">
        <v>55</v>
      </c>
      <c r="G90" s="340" t="s">
        <v>56</v>
      </c>
      <c r="I90" s="258" t="s">
        <v>57</v>
      </c>
    </row>
    <row r="91" spans="1:12" ht="26.25" customHeight="1" x14ac:dyDescent="0.45">
      <c r="A91" s="252" t="s">
        <v>58</v>
      </c>
      <c r="B91" s="253">
        <v>50</v>
      </c>
      <c r="C91" s="341">
        <v>1</v>
      </c>
      <c r="D91" s="260">
        <v>12873112</v>
      </c>
      <c r="E91" s="261">
        <f>IF(ISBLANK(D91),"-",$D$101/$D$98*D91)</f>
        <v>10850687.602503989</v>
      </c>
      <c r="F91" s="260">
        <v>9449157</v>
      </c>
      <c r="G91" s="262">
        <f>IF(ISBLANK(F91),"-",$D$101/$F$98*F91)</f>
        <v>10599573.791814212</v>
      </c>
      <c r="I91" s="263"/>
    </row>
    <row r="92" spans="1:12" ht="26.25" customHeight="1" x14ac:dyDescent="0.45">
      <c r="A92" s="252" t="s">
        <v>59</v>
      </c>
      <c r="B92" s="253">
        <v>1</v>
      </c>
      <c r="C92" s="325">
        <v>2</v>
      </c>
      <c r="D92" s="265">
        <v>12875336</v>
      </c>
      <c r="E92" s="266">
        <f>IF(ISBLANK(D92),"-",$D$101/$D$98*D92)</f>
        <v>10852562.201996945</v>
      </c>
      <c r="F92" s="265">
        <v>9457705</v>
      </c>
      <c r="G92" s="267">
        <f>IF(ISBLANK(F92),"-",$D$101/$F$98*F92)</f>
        <v>10609162.494464874</v>
      </c>
      <c r="I92" s="480">
        <f>ABS((F96/D96*D95)-F95)/D95</f>
        <v>1.6922454903584586E-2</v>
      </c>
    </row>
    <row r="93" spans="1:12" ht="26.25" customHeight="1" x14ac:dyDescent="0.45">
      <c r="A93" s="252" t="s">
        <v>60</v>
      </c>
      <c r="B93" s="253">
        <v>1</v>
      </c>
      <c r="C93" s="325">
        <v>3</v>
      </c>
      <c r="D93" s="265">
        <v>12881050</v>
      </c>
      <c r="E93" s="266">
        <f>IF(ISBLANK(D93),"-",$D$101/$D$98*D93)</f>
        <v>10857378.506629478</v>
      </c>
      <c r="F93" s="265">
        <v>9466117</v>
      </c>
      <c r="G93" s="267">
        <f>IF(ISBLANK(F93),"-",$D$101/$F$98*F93)</f>
        <v>10618598.639375659</v>
      </c>
      <c r="I93" s="480"/>
    </row>
    <row r="94" spans="1:12" ht="27" customHeight="1" x14ac:dyDescent="0.45">
      <c r="A94" s="252" t="s">
        <v>61</v>
      </c>
      <c r="B94" s="253">
        <v>1</v>
      </c>
      <c r="C94" s="342">
        <v>4</v>
      </c>
      <c r="D94" s="270"/>
      <c r="E94" s="271" t="str">
        <f>IF(ISBLANK(D94),"-",$D$101/$D$98*D94)</f>
        <v>-</v>
      </c>
      <c r="F94" s="343"/>
      <c r="G94" s="272" t="str">
        <f>IF(ISBLANK(F94),"-",$D$101/$F$98*F94)</f>
        <v>-</v>
      </c>
      <c r="I94" s="273"/>
    </row>
    <row r="95" spans="1:12" ht="27" customHeight="1" x14ac:dyDescent="0.45">
      <c r="A95" s="252" t="s">
        <v>62</v>
      </c>
      <c r="B95" s="253">
        <v>1</v>
      </c>
      <c r="C95" s="344" t="s">
        <v>63</v>
      </c>
      <c r="D95" s="345">
        <f>AVERAGE(D91:D94)</f>
        <v>12876499.333333334</v>
      </c>
      <c r="E95" s="276">
        <f>AVERAGE(E91:E94)</f>
        <v>10853542.770376803</v>
      </c>
      <c r="F95" s="346">
        <f>AVERAGE(F91:F94)</f>
        <v>9457659.666666666</v>
      </c>
      <c r="G95" s="347">
        <f>AVERAGE(G91:G94)</f>
        <v>10609111.641884916</v>
      </c>
    </row>
    <row r="96" spans="1:12" ht="26.25" customHeight="1" x14ac:dyDescent="0.45">
      <c r="A96" s="252" t="s">
        <v>64</v>
      </c>
      <c r="B96" s="239">
        <v>1</v>
      </c>
      <c r="C96" s="348" t="s">
        <v>105</v>
      </c>
      <c r="D96" s="349">
        <v>26.55</v>
      </c>
      <c r="E96" s="268"/>
      <c r="F96" s="280">
        <v>19.95</v>
      </c>
    </row>
    <row r="97" spans="1:10" ht="26.25" customHeight="1" x14ac:dyDescent="0.45">
      <c r="A97" s="252" t="s">
        <v>66</v>
      </c>
      <c r="B97" s="239">
        <v>1</v>
      </c>
      <c r="C97" s="350" t="s">
        <v>106</v>
      </c>
      <c r="D97" s="351">
        <f>D96*$B$87</f>
        <v>26.55</v>
      </c>
      <c r="E97" s="283"/>
      <c r="F97" s="282">
        <f>F96*$B$87</f>
        <v>19.95</v>
      </c>
    </row>
    <row r="98" spans="1:10" ht="19.5" customHeight="1" x14ac:dyDescent="0.35">
      <c r="A98" s="252" t="s">
        <v>68</v>
      </c>
      <c r="B98" s="352">
        <f>(B97/B96)*(B95/B94)*(B93/B92)*(B91/B90)*B89</f>
        <v>625</v>
      </c>
      <c r="C98" s="350" t="s">
        <v>107</v>
      </c>
      <c r="D98" s="353">
        <f>D97*$B$83/100</f>
        <v>26.364149999999999</v>
      </c>
      <c r="E98" s="286"/>
      <c r="F98" s="285">
        <f>F97*$B$83/100</f>
        <v>19.81035</v>
      </c>
    </row>
    <row r="99" spans="1:10" ht="19.5" customHeight="1" x14ac:dyDescent="0.35">
      <c r="A99" s="466" t="s">
        <v>70</v>
      </c>
      <c r="B99" s="481"/>
      <c r="C99" s="350" t="s">
        <v>108</v>
      </c>
      <c r="D99" s="354">
        <f>D98/$B$98</f>
        <v>4.218264E-2</v>
      </c>
      <c r="E99" s="286"/>
      <c r="F99" s="289">
        <f>F98/$B$98</f>
        <v>3.1696559999999999E-2</v>
      </c>
      <c r="G99" s="355"/>
      <c r="H99" s="278"/>
    </row>
    <row r="100" spans="1:10" ht="19.5" customHeight="1" x14ac:dyDescent="0.35">
      <c r="A100" s="468"/>
      <c r="B100" s="482"/>
      <c r="C100" s="350" t="s">
        <v>72</v>
      </c>
      <c r="D100" s="356">
        <f>$B$56/$B$116</f>
        <v>3.5555555555555556E-2</v>
      </c>
      <c r="F100" s="294"/>
      <c r="G100" s="357"/>
      <c r="H100" s="278"/>
    </row>
    <row r="101" spans="1:10" ht="18" x14ac:dyDescent="0.35">
      <c r="C101" s="350" t="s">
        <v>73</v>
      </c>
      <c r="D101" s="351">
        <f>D100*$B$98</f>
        <v>22.222222222222221</v>
      </c>
      <c r="F101" s="294"/>
      <c r="G101" s="355"/>
      <c r="H101" s="278"/>
    </row>
    <row r="102" spans="1:10" ht="19.5" customHeight="1" thickBot="1" x14ac:dyDescent="0.4">
      <c r="C102" s="358" t="s">
        <v>74</v>
      </c>
      <c r="D102" s="359">
        <f>D101/B34</f>
        <v>22.222222222222221</v>
      </c>
      <c r="E102" s="519"/>
      <c r="F102" s="298"/>
      <c r="G102" s="355"/>
      <c r="H102" s="278"/>
      <c r="J102" s="360"/>
    </row>
    <row r="103" spans="1:10" ht="18" x14ac:dyDescent="0.35">
      <c r="C103" s="361" t="s">
        <v>109</v>
      </c>
      <c r="D103" s="362">
        <f>AVERAGE(E91:E94,G91:G94)</f>
        <v>10731327.20613086</v>
      </c>
      <c r="E103" s="519"/>
      <c r="F103" s="298"/>
      <c r="G103" s="363"/>
      <c r="H103" s="278"/>
      <c r="J103" s="364"/>
    </row>
    <row r="104" spans="1:10" ht="18" x14ac:dyDescent="0.35">
      <c r="C104" s="328" t="s">
        <v>76</v>
      </c>
      <c r="D104" s="365">
        <f>STDEV(E91:E94,G91:G94)/D103</f>
        <v>1.2489911755993338E-2</v>
      </c>
      <c r="E104" s="519"/>
      <c r="F104" s="298"/>
      <c r="G104" s="355"/>
      <c r="H104" s="278"/>
      <c r="J104" s="364"/>
    </row>
    <row r="105" spans="1:10" ht="19.5" customHeight="1" thickBot="1" x14ac:dyDescent="0.4">
      <c r="C105" s="330" t="s">
        <v>20</v>
      </c>
      <c r="D105" s="366">
        <f>COUNT(E91:E94,G91:G94)</f>
        <v>6</v>
      </c>
      <c r="E105" s="516"/>
      <c r="F105" s="298"/>
      <c r="G105" s="355"/>
      <c r="H105" s="278"/>
      <c r="J105" s="364"/>
    </row>
    <row r="106" spans="1:10" ht="19.5" customHeight="1" thickBot="1" x14ac:dyDescent="0.4">
      <c r="A106" s="302"/>
      <c r="B106" s="302"/>
      <c r="C106" s="302"/>
      <c r="D106" s="302"/>
      <c r="E106" s="302"/>
    </row>
    <row r="107" spans="1:10" ht="26.25" customHeight="1" x14ac:dyDescent="0.45">
      <c r="A107" s="250" t="s">
        <v>110</v>
      </c>
      <c r="B107" s="251">
        <v>900</v>
      </c>
      <c r="C107" s="367" t="s">
        <v>111</v>
      </c>
      <c r="D107" s="368" t="s">
        <v>55</v>
      </c>
      <c r="E107" s="369" t="s">
        <v>112</v>
      </c>
      <c r="F107" s="370" t="s">
        <v>113</v>
      </c>
    </row>
    <row r="108" spans="1:10" ht="26.25" customHeight="1" x14ac:dyDescent="0.45">
      <c r="A108" s="252" t="s">
        <v>114</v>
      </c>
      <c r="B108" s="253">
        <v>2</v>
      </c>
      <c r="C108" s="371">
        <v>1</v>
      </c>
      <c r="D108" s="372">
        <v>9891287</v>
      </c>
      <c r="E108" s="403">
        <f>IF(ISBLANK(D108),"-",D108/$D$103*$D$100*$B$116)</f>
        <v>147.47532058251372</v>
      </c>
      <c r="F108" s="373">
        <f t="shared" ref="F108:F113" si="1">IF(ISBLANK(D108), "-", E108/$B$56)</f>
        <v>0.92172075364071071</v>
      </c>
    </row>
    <row r="109" spans="1:10" ht="26.25" customHeight="1" x14ac:dyDescent="0.45">
      <c r="A109" s="252" t="s">
        <v>87</v>
      </c>
      <c r="B109" s="253">
        <v>10</v>
      </c>
      <c r="C109" s="371">
        <v>2</v>
      </c>
      <c r="D109" s="372">
        <v>10179578</v>
      </c>
      <c r="E109" s="404">
        <f t="shared" ref="E108:E113" si="2">IF(ISBLANK(D109),"-",D109/$D$103*$D$100*$B$116)</f>
        <v>151.77362955343466</v>
      </c>
      <c r="F109" s="374">
        <f t="shared" si="1"/>
        <v>0.94858518470896658</v>
      </c>
    </row>
    <row r="110" spans="1:10" ht="26.25" customHeight="1" x14ac:dyDescent="0.45">
      <c r="A110" s="252" t="s">
        <v>88</v>
      </c>
      <c r="B110" s="253">
        <v>1</v>
      </c>
      <c r="C110" s="371">
        <v>3</v>
      </c>
      <c r="D110" s="372">
        <v>9794601</v>
      </c>
      <c r="E110" s="404">
        <f t="shared" si="2"/>
        <v>146.03376915994951</v>
      </c>
      <c r="F110" s="374">
        <f t="shared" si="1"/>
        <v>0.91271105724968449</v>
      </c>
    </row>
    <row r="111" spans="1:10" ht="26.25" customHeight="1" x14ac:dyDescent="0.45">
      <c r="A111" s="252" t="s">
        <v>89</v>
      </c>
      <c r="B111" s="253">
        <v>1</v>
      </c>
      <c r="C111" s="371">
        <v>4</v>
      </c>
      <c r="D111" s="372">
        <v>10075447</v>
      </c>
      <c r="E111" s="404">
        <f t="shared" si="2"/>
        <v>150.22107601742078</v>
      </c>
      <c r="F111" s="374">
        <f t="shared" si="1"/>
        <v>0.93888172510887991</v>
      </c>
    </row>
    <row r="112" spans="1:10" ht="26.25" customHeight="1" x14ac:dyDescent="0.45">
      <c r="A112" s="252" t="s">
        <v>90</v>
      </c>
      <c r="B112" s="253">
        <v>1</v>
      </c>
      <c r="C112" s="371">
        <v>5</v>
      </c>
      <c r="D112" s="372">
        <v>10139039</v>
      </c>
      <c r="E112" s="404">
        <f t="shared" si="2"/>
        <v>151.16920850882292</v>
      </c>
      <c r="F112" s="374">
        <f t="shared" si="1"/>
        <v>0.9448075531801432</v>
      </c>
    </row>
    <row r="113" spans="1:10" ht="26.25" customHeight="1" x14ac:dyDescent="0.45">
      <c r="A113" s="252" t="s">
        <v>92</v>
      </c>
      <c r="B113" s="253">
        <v>1</v>
      </c>
      <c r="C113" s="375">
        <v>6</v>
      </c>
      <c r="D113" s="376">
        <v>10163147</v>
      </c>
      <c r="E113" s="405">
        <f t="shared" si="2"/>
        <v>151.5286496036575</v>
      </c>
      <c r="F113" s="377">
        <f t="shared" si="1"/>
        <v>0.94705406002285941</v>
      </c>
    </row>
    <row r="114" spans="1:10" ht="26.25" customHeight="1" x14ac:dyDescent="0.45">
      <c r="A114" s="252" t="s">
        <v>93</v>
      </c>
      <c r="B114" s="253">
        <v>1</v>
      </c>
      <c r="C114" s="371"/>
      <c r="D114" s="325"/>
      <c r="E114" s="227"/>
      <c r="F114" s="378"/>
    </row>
    <row r="115" spans="1:10" ht="26.25" customHeight="1" x14ac:dyDescent="0.45">
      <c r="A115" s="252" t="s">
        <v>94</v>
      </c>
      <c r="B115" s="253">
        <v>1</v>
      </c>
      <c r="C115" s="371"/>
      <c r="D115" s="379" t="s">
        <v>63</v>
      </c>
      <c r="E115" s="407">
        <f>AVERAGE(E108:E113)</f>
        <v>149.70027557096654</v>
      </c>
      <c r="F115" s="380">
        <f>AVERAGE(F108:F113)</f>
        <v>0.9356267223185406</v>
      </c>
    </row>
    <row r="116" spans="1:10" ht="27" customHeight="1" x14ac:dyDescent="0.45">
      <c r="A116" s="252" t="s">
        <v>95</v>
      </c>
      <c r="B116" s="284">
        <f>(B115/B114)*(B113/B112)*(B111/B110)*(B109/B108)*B107</f>
        <v>4500</v>
      </c>
      <c r="C116" s="381"/>
      <c r="D116" s="344" t="s">
        <v>76</v>
      </c>
      <c r="E116" s="382">
        <f>STDEV(E108:E113)/E115</f>
        <v>1.5938363058719495E-2</v>
      </c>
      <c r="F116" s="382">
        <f>STDEV(F108:F113)/F115</f>
        <v>1.5938363058719488E-2</v>
      </c>
      <c r="I116" s="227"/>
    </row>
    <row r="117" spans="1:10" ht="27" customHeight="1" x14ac:dyDescent="0.45">
      <c r="A117" s="466" t="s">
        <v>70</v>
      </c>
      <c r="B117" s="467"/>
      <c r="C117" s="383"/>
      <c r="D117" s="384" t="s">
        <v>20</v>
      </c>
      <c r="E117" s="385">
        <f>COUNT(E108:E113)</f>
        <v>6</v>
      </c>
      <c r="F117" s="385">
        <f>COUNT(F108:F113)</f>
        <v>6</v>
      </c>
      <c r="I117" s="227"/>
      <c r="J117" s="364"/>
    </row>
    <row r="118" spans="1:10" ht="19.5" customHeight="1" x14ac:dyDescent="0.35">
      <c r="A118" s="468"/>
      <c r="B118" s="469"/>
      <c r="C118" s="227"/>
      <c r="D118" s="227"/>
      <c r="E118" s="227"/>
      <c r="F118" s="325"/>
      <c r="G118" s="227"/>
      <c r="H118" s="227"/>
      <c r="I118" s="227"/>
    </row>
    <row r="119" spans="1:10" ht="18" x14ac:dyDescent="0.35">
      <c r="A119" s="394"/>
      <c r="B119" s="248"/>
      <c r="C119" s="227"/>
      <c r="D119" s="227"/>
      <c r="E119" s="227"/>
      <c r="F119" s="325"/>
      <c r="G119" s="227"/>
      <c r="H119" s="227"/>
      <c r="I119" s="227"/>
    </row>
    <row r="120" spans="1:10" ht="26.25" customHeight="1" x14ac:dyDescent="0.45">
      <c r="A120" s="237" t="s">
        <v>98</v>
      </c>
      <c r="B120" s="332" t="s">
        <v>115</v>
      </c>
      <c r="C120" s="470" t="str">
        <f>B79</f>
        <v>Trimethoprim</v>
      </c>
      <c r="D120" s="470"/>
      <c r="E120" s="333" t="s">
        <v>116</v>
      </c>
      <c r="F120" s="333"/>
      <c r="G120" s="334">
        <f>F115</f>
        <v>0.9356267223185406</v>
      </c>
      <c r="H120" s="227"/>
      <c r="I120" s="227"/>
    </row>
    <row r="121" spans="1:10" ht="19.5" customHeight="1" x14ac:dyDescent="0.35">
      <c r="A121" s="386"/>
      <c r="B121" s="386"/>
      <c r="C121" s="387"/>
      <c r="D121" s="387"/>
      <c r="E121" s="387"/>
      <c r="F121" s="387"/>
      <c r="G121" s="387"/>
      <c r="H121" s="387"/>
    </row>
    <row r="122" spans="1:10" ht="18" x14ac:dyDescent="0.35">
      <c r="B122" s="471" t="s">
        <v>25</v>
      </c>
      <c r="C122" s="471"/>
      <c r="E122" s="339" t="s">
        <v>26</v>
      </c>
      <c r="F122" s="388"/>
      <c r="G122" s="471" t="s">
        <v>27</v>
      </c>
      <c r="H122" s="471"/>
    </row>
    <row r="123" spans="1:10" ht="69.900000000000006" customHeight="1" x14ac:dyDescent="0.35">
      <c r="A123" s="389" t="s">
        <v>28</v>
      </c>
      <c r="B123" s="390"/>
      <c r="C123" s="390"/>
      <c r="E123" s="390"/>
      <c r="F123" s="227"/>
      <c r="G123" s="391"/>
      <c r="H123" s="391"/>
    </row>
    <row r="124" spans="1:10" ht="69.900000000000006" customHeight="1" x14ac:dyDescent="0.4">
      <c r="A124" s="389" t="s">
        <v>29</v>
      </c>
      <c r="B124" s="392"/>
      <c r="C124" s="392" t="s">
        <v>131</v>
      </c>
      <c r="E124" s="532">
        <v>42366</v>
      </c>
      <c r="F124" s="227"/>
      <c r="G124" s="393"/>
      <c r="H124" s="393"/>
    </row>
    <row r="125" spans="1:10" ht="18" x14ac:dyDescent="0.35">
      <c r="A125" s="324"/>
      <c r="B125" s="324"/>
      <c r="C125" s="325"/>
      <c r="D125" s="325"/>
      <c r="E125" s="325"/>
      <c r="F125" s="329"/>
      <c r="G125" s="325"/>
      <c r="H125" s="325"/>
      <c r="I125" s="227"/>
    </row>
    <row r="126" spans="1:10" ht="18" x14ac:dyDescent="0.35">
      <c r="A126" s="324"/>
      <c r="B126" s="324"/>
      <c r="C126" s="325"/>
      <c r="D126" s="325"/>
      <c r="E126" s="325"/>
      <c r="F126" s="329"/>
      <c r="G126" s="325"/>
      <c r="H126" s="325"/>
      <c r="I126" s="227"/>
    </row>
    <row r="127" spans="1:10" ht="18" x14ac:dyDescent="0.35">
      <c r="A127" s="324"/>
      <c r="B127" s="324"/>
      <c r="C127" s="325"/>
      <c r="D127" s="325"/>
      <c r="E127" s="325"/>
      <c r="F127" s="329"/>
      <c r="G127" s="325"/>
      <c r="H127" s="325"/>
      <c r="I127" s="227"/>
    </row>
    <row r="128" spans="1:10" ht="18" x14ac:dyDescent="0.35">
      <c r="A128" s="324"/>
      <c r="B128" s="324"/>
      <c r="C128" s="325"/>
      <c r="D128" s="325"/>
      <c r="E128" s="325"/>
      <c r="F128" s="329"/>
      <c r="G128" s="325"/>
      <c r="H128" s="325"/>
      <c r="I128" s="227"/>
    </row>
    <row r="129" spans="1:9" ht="18" x14ac:dyDescent="0.35">
      <c r="A129" s="324"/>
      <c r="B129" s="324"/>
      <c r="C129" s="325"/>
      <c r="D129" s="325"/>
      <c r="E129" s="325"/>
      <c r="F129" s="329"/>
      <c r="G129" s="325"/>
      <c r="H129" s="325"/>
      <c r="I129" s="227"/>
    </row>
    <row r="130" spans="1:9" ht="18" x14ac:dyDescent="0.35">
      <c r="A130" s="324"/>
      <c r="B130" s="324"/>
      <c r="C130" s="325"/>
      <c r="D130" s="325"/>
      <c r="E130" s="325"/>
      <c r="F130" s="329"/>
      <c r="G130" s="325"/>
      <c r="H130" s="325"/>
      <c r="I130" s="227"/>
    </row>
    <row r="131" spans="1:9" ht="18" x14ac:dyDescent="0.35">
      <c r="A131" s="324"/>
      <c r="B131" s="324"/>
      <c r="C131" s="325"/>
      <c r="D131" s="325"/>
      <c r="E131" s="325"/>
      <c r="F131" s="329"/>
      <c r="G131" s="325"/>
      <c r="H131" s="325"/>
      <c r="I131" s="227"/>
    </row>
    <row r="132" spans="1:9" ht="18" x14ac:dyDescent="0.35">
      <c r="A132" s="324"/>
      <c r="B132" s="324"/>
      <c r="C132" s="325"/>
      <c r="D132" s="325"/>
      <c r="E132" s="325"/>
      <c r="F132" s="329"/>
      <c r="G132" s="325"/>
      <c r="H132" s="325"/>
      <c r="I132" s="227"/>
    </row>
    <row r="133" spans="1:9" ht="18" x14ac:dyDescent="0.35">
      <c r="A133" s="324"/>
      <c r="B133" s="324"/>
      <c r="C133" s="325"/>
      <c r="D133" s="325"/>
      <c r="E133" s="325"/>
      <c r="F133" s="329"/>
      <c r="G133" s="325"/>
      <c r="H133" s="325"/>
      <c r="I133" s="227"/>
    </row>
    <row r="250" spans="1:1" x14ac:dyDescent="0.3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SULPHAMETHOXAZOLE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dcterms:created xsi:type="dcterms:W3CDTF">2005-07-05T10:19:27Z</dcterms:created>
  <dcterms:modified xsi:type="dcterms:W3CDTF">2016-01-04T06:32:38Z</dcterms:modified>
</cp:coreProperties>
</file>