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6" yWindow="552" windowWidth="15012" windowHeight="7620" activeTab="2"/>
  </bookViews>
  <sheets>
    <sheet name="SST" sheetId="1" r:id="rId1"/>
    <sheet name="Uniformity" sheetId="2" r:id="rId2"/>
    <sheet name="SULPHAMETHOXAZOLE" sheetId="3" r:id="rId3"/>
    <sheet name="TRIMETHOPRIM" sheetId="4" r:id="rId4"/>
  </sheets>
  <definedNames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C76" i="3" l="1"/>
  <c r="C120" i="3"/>
  <c r="H60" i="3"/>
  <c r="H72" i="3"/>
  <c r="D47" i="3"/>
  <c r="C120" i="4"/>
  <c r="F115" i="4"/>
  <c r="F108" i="4"/>
  <c r="D100" i="4"/>
  <c r="C76" i="4"/>
  <c r="D47" i="4"/>
  <c r="F52" i="1"/>
  <c r="F30" i="1"/>
  <c r="B43" i="1" l="1"/>
  <c r="B21" i="1"/>
  <c r="B116" i="4"/>
  <c r="B98" i="4"/>
  <c r="F95" i="4"/>
  <c r="D95" i="4"/>
  <c r="B87" i="4"/>
  <c r="F97" i="4" s="1"/>
  <c r="B81" i="4"/>
  <c r="B83" i="4" s="1"/>
  <c r="B80" i="4"/>
  <c r="B79" i="4"/>
  <c r="B68" i="4"/>
  <c r="C56" i="4"/>
  <c r="B55" i="4"/>
  <c r="B45" i="4"/>
  <c r="D48" i="4" s="1"/>
  <c r="F42" i="4"/>
  <c r="D42" i="4"/>
  <c r="B34" i="4"/>
  <c r="D44" i="4" s="1"/>
  <c r="B30" i="4"/>
  <c r="B116" i="3"/>
  <c r="D100" i="3" s="1"/>
  <c r="B98" i="3"/>
  <c r="F95" i="3"/>
  <c r="D95" i="3"/>
  <c r="B87" i="3"/>
  <c r="F97" i="3" s="1"/>
  <c r="B81" i="3"/>
  <c r="B83" i="3" s="1"/>
  <c r="B80" i="3"/>
  <c r="B79" i="3"/>
  <c r="B68" i="3"/>
  <c r="C56" i="3"/>
  <c r="B55" i="3"/>
  <c r="B45" i="3"/>
  <c r="D48" i="3" s="1"/>
  <c r="F42" i="3"/>
  <c r="D42" i="3"/>
  <c r="B34" i="3"/>
  <c r="F44" i="3" s="1"/>
  <c r="B30" i="3"/>
  <c r="C46" i="2"/>
  <c r="D50" i="2" s="1"/>
  <c r="C45" i="2"/>
  <c r="D37" i="2"/>
  <c r="B54" i="1"/>
  <c r="E52" i="1"/>
  <c r="D52" i="1"/>
  <c r="C52" i="1"/>
  <c r="B52" i="1"/>
  <c r="B53" i="1" s="1"/>
  <c r="B32" i="1"/>
  <c r="E30" i="1"/>
  <c r="D30" i="1"/>
  <c r="C30" i="1"/>
  <c r="B30" i="1"/>
  <c r="B31" i="1" s="1"/>
  <c r="I92" i="4" l="1"/>
  <c r="D101" i="4"/>
  <c r="D102" i="4" s="1"/>
  <c r="D97" i="4"/>
  <c r="D98" i="4" s="1"/>
  <c r="F98" i="4"/>
  <c r="G94" i="4" s="1"/>
  <c r="I39" i="4"/>
  <c r="D49" i="4"/>
  <c r="D45" i="4"/>
  <c r="D46" i="4" s="1"/>
  <c r="I92" i="3"/>
  <c r="D101" i="3"/>
  <c r="E94" i="3" s="1"/>
  <c r="D97" i="3"/>
  <c r="F98" i="3"/>
  <c r="I39" i="3"/>
  <c r="F45" i="3"/>
  <c r="F46" i="3" s="1"/>
  <c r="G41" i="3"/>
  <c r="D98" i="3"/>
  <c r="D25" i="2"/>
  <c r="D29" i="2"/>
  <c r="D33" i="2"/>
  <c r="D41" i="2"/>
  <c r="D30" i="2"/>
  <c r="D38" i="2"/>
  <c r="B49" i="2"/>
  <c r="D44" i="3"/>
  <c r="D45" i="3" s="1"/>
  <c r="E40" i="3" s="1"/>
  <c r="D49" i="3"/>
  <c r="D27" i="2"/>
  <c r="D31" i="2"/>
  <c r="D35" i="2"/>
  <c r="D39" i="2"/>
  <c r="D43" i="2"/>
  <c r="C49" i="2"/>
  <c r="E39" i="3"/>
  <c r="F44" i="4"/>
  <c r="F45" i="4" s="1"/>
  <c r="G38" i="4" s="1"/>
  <c r="D24" i="2"/>
  <c r="D28" i="2"/>
  <c r="D32" i="2"/>
  <c r="D36" i="2"/>
  <c r="D40" i="2"/>
  <c r="D49" i="2"/>
  <c r="B57" i="3"/>
  <c r="B69" i="3" s="1"/>
  <c r="B57" i="4"/>
  <c r="B69" i="4" s="1"/>
  <c r="C50" i="2"/>
  <c r="D26" i="2"/>
  <c r="D34" i="2"/>
  <c r="D42" i="2"/>
  <c r="E91" i="4" l="1"/>
  <c r="G93" i="4"/>
  <c r="E94" i="4"/>
  <c r="F99" i="4"/>
  <c r="G92" i="4"/>
  <c r="G91" i="4"/>
  <c r="E40" i="4"/>
  <c r="E38" i="4"/>
  <c r="G39" i="4"/>
  <c r="E41" i="4"/>
  <c r="E39" i="4"/>
  <c r="E92" i="4"/>
  <c r="E92" i="3"/>
  <c r="D102" i="3"/>
  <c r="G94" i="3"/>
  <c r="G91" i="3"/>
  <c r="G92" i="3"/>
  <c r="G93" i="3"/>
  <c r="F99" i="3"/>
  <c r="E41" i="3"/>
  <c r="G39" i="3"/>
  <c r="G38" i="3"/>
  <c r="G40" i="3"/>
  <c r="E91" i="3"/>
  <c r="G41" i="4"/>
  <c r="F46" i="4"/>
  <c r="G40" i="4"/>
  <c r="D99" i="4"/>
  <c r="E93" i="4"/>
  <c r="E38" i="3"/>
  <c r="D46" i="3"/>
  <c r="D99" i="3"/>
  <c r="E93" i="3"/>
  <c r="G95" i="4" l="1"/>
  <c r="D105" i="4"/>
  <c r="E95" i="4"/>
  <c r="E42" i="4"/>
  <c r="D52" i="4"/>
  <c r="D50" i="4"/>
  <c r="G68" i="4" s="1"/>
  <c r="H68" i="4" s="1"/>
  <c r="D103" i="4"/>
  <c r="E112" i="4" s="1"/>
  <c r="F112" i="4" s="1"/>
  <c r="G42" i="4"/>
  <c r="G95" i="3"/>
  <c r="G42" i="3"/>
  <c r="D52" i="3"/>
  <c r="D50" i="3"/>
  <c r="E42" i="3"/>
  <c r="D105" i="3"/>
  <c r="D103" i="3"/>
  <c r="E95" i="3"/>
  <c r="E113" i="4" l="1"/>
  <c r="F113" i="4" s="1"/>
  <c r="E109" i="4"/>
  <c r="F109" i="4" s="1"/>
  <c r="E110" i="4"/>
  <c r="F110" i="4" s="1"/>
  <c r="D104" i="4"/>
  <c r="E108" i="4"/>
  <c r="D51" i="4"/>
  <c r="G69" i="4"/>
  <c r="H69" i="4" s="1"/>
  <c r="G63" i="4"/>
  <c r="H63" i="4" s="1"/>
  <c r="G60" i="4"/>
  <c r="H60" i="4" s="1"/>
  <c r="G71" i="4"/>
  <c r="H71" i="4" s="1"/>
  <c r="G65" i="4"/>
  <c r="H65" i="4" s="1"/>
  <c r="G62" i="4"/>
  <c r="H62" i="4" s="1"/>
  <c r="G67" i="4"/>
  <c r="H67" i="4" s="1"/>
  <c r="G66" i="4"/>
  <c r="H66" i="4" s="1"/>
  <c r="G61" i="4"/>
  <c r="H61" i="4" s="1"/>
  <c r="G70" i="4"/>
  <c r="H70" i="4" s="1"/>
  <c r="G64" i="4"/>
  <c r="H64" i="4" s="1"/>
  <c r="E111" i="4"/>
  <c r="F111" i="4" s="1"/>
  <c r="G68" i="3"/>
  <c r="H68" i="3" s="1"/>
  <c r="G71" i="3"/>
  <c r="H71" i="3" s="1"/>
  <c r="G69" i="3"/>
  <c r="H69" i="3" s="1"/>
  <c r="G66" i="3"/>
  <c r="H66" i="3" s="1"/>
  <c r="G64" i="3"/>
  <c r="H64" i="3" s="1"/>
  <c r="G60" i="3"/>
  <c r="D51" i="3"/>
  <c r="G70" i="3"/>
  <c r="H70" i="3" s="1"/>
  <c r="G67" i="3"/>
  <c r="H67" i="3" s="1"/>
  <c r="G65" i="3"/>
  <c r="H65" i="3" s="1"/>
  <c r="G63" i="3"/>
  <c r="H63" i="3" s="1"/>
  <c r="G61" i="3"/>
  <c r="H61" i="3" s="1"/>
  <c r="G62" i="3"/>
  <c r="H62" i="3" s="1"/>
  <c r="E112" i="3"/>
  <c r="F112" i="3" s="1"/>
  <c r="E110" i="3"/>
  <c r="F110" i="3" s="1"/>
  <c r="E113" i="3"/>
  <c r="F113" i="3" s="1"/>
  <c r="E111" i="3"/>
  <c r="F111" i="3" s="1"/>
  <c r="E109" i="3"/>
  <c r="F109" i="3" s="1"/>
  <c r="D104" i="3"/>
  <c r="E108" i="3"/>
  <c r="E117" i="4" l="1"/>
  <c r="E115" i="4"/>
  <c r="E116" i="4" s="1"/>
  <c r="G72" i="4"/>
  <c r="G73" i="4" s="1"/>
  <c r="G74" i="4"/>
  <c r="G74" i="3"/>
  <c r="G72" i="3"/>
  <c r="G73" i="3" s="1"/>
  <c r="H74" i="4"/>
  <c r="H72" i="4"/>
  <c r="E115" i="3"/>
  <c r="E116" i="3" s="1"/>
  <c r="E117" i="3"/>
  <c r="F108" i="3"/>
  <c r="F117" i="4" l="1"/>
  <c r="G120" i="4"/>
  <c r="F116" i="4"/>
  <c r="F117" i="3"/>
  <c r="F115" i="3"/>
  <c r="H74" i="3"/>
  <c r="G76" i="4"/>
  <c r="H73" i="4"/>
  <c r="G76" i="3" l="1"/>
  <c r="H73" i="3"/>
  <c r="G120" i="3"/>
  <c r="F116" i="3"/>
</calcChain>
</file>

<file path=xl/sharedStrings.xml><?xml version="1.0" encoding="utf-8"?>
<sst xmlns="http://schemas.openxmlformats.org/spreadsheetml/2006/main" count="400" uniqueCount="136">
  <si>
    <t>HPLC System Suitability Report</t>
  </si>
  <si>
    <t>Analysis Data</t>
  </si>
  <si>
    <t>Assay</t>
  </si>
  <si>
    <t>Sample(s)</t>
  </si>
  <si>
    <t>Reference Substance:</t>
  </si>
  <si>
    <t>Sulfran DS Tablets</t>
  </si>
  <si>
    <t>% age Purity:</t>
  </si>
  <si>
    <t>NDQB201512626</t>
  </si>
  <si>
    <t>Weight (mg):</t>
  </si>
  <si>
    <t>Standard Conc (mg/mL):</t>
  </si>
  <si>
    <t>Sulphamethoxazole 800mg Trimethoprim 160 per tablets</t>
  </si>
  <si>
    <t>2015-12-09 09:52:54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</si>
  <si>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</si>
  <si>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</si>
  <si>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</si>
  <si>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</si>
  <si>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</si>
  <si>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</si>
  <si>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</si>
  <si>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</si>
  <si>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</si>
  <si>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</si>
  <si>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</si>
  <si>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</si>
  <si>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</si>
  <si>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</si>
  <si>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</si>
  <si>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</si>
  <si>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</si>
  <si>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</si>
  <si>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</si>
  <si>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</si>
  <si>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</si>
  <si>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</si>
  <si>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</si>
  <si>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</si>
  <si>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</si>
  <si>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</si>
  <si>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</si>
  <si>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</si>
  <si>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</si>
  <si>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</si>
  <si>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</si>
  <si>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</si>
  <si>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</si>
  <si>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</si>
  <si>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</si>
  <si>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</si>
  <si>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</si>
  <si>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</si>
  <si>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</si>
  <si>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</si>
  <si>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</si>
  <si>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</si>
  <si>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</si>
  <si>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</si>
  <si>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</si>
  <si>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</si>
  <si>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</si>
  <si>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</si>
  <si>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</si>
  <si>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</si>
  <si>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</si>
  <si>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</si>
  <si>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</si>
  <si>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</si>
  <si>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</si>
  <si>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</si>
  <si>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</si>
  <si>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</si>
  <si>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</si>
  <si>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</si>
  <si>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</si>
  <si>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</si>
  <si>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</si>
  <si>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</si>
  <si>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</si>
  <si>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</si>
  <si>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</si>
  <si>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</si>
  <si>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</si>
  <si>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</si>
  <si>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</si>
  <si>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</si>
  <si>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</si>
  <si>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</si>
  <si>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</si>
  <si>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</si>
  <si>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</si>
  <si>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</si>
  <si>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</si>
  <si>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</si>
  <si>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</si>
  <si>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</si>
  <si>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</si>
  <si>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</si>
  <si>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</si>
  <si>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</si>
  <si>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</si>
  <si>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</si>
  <si>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</si>
  <si>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</si>
  <si>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</si>
  <si>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</si>
  <si>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</si>
  <si>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</si>
  <si>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</si>
  <si>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</si>
  <si>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</si>
  <si>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</si>
  <si>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</si>
  <si>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</si>
  <si>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</si>
  <si>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</si>
  <si>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</si>
  <si>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</si>
  <si>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</si>
  <si>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</si>
  <si>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</si>
  <si>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</si>
  <si>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</si>
  <si>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</si>
  <si>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</si>
  <si>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Sulphamethoxazole</t>
  </si>
  <si>
    <t>Trimethoprim</t>
  </si>
  <si>
    <t>S 12 4</t>
  </si>
  <si>
    <t>T14 9</t>
  </si>
  <si>
    <t>Resolution</t>
  </si>
  <si>
    <t>Resolution between component peaks is not less than 5.0</t>
  </si>
  <si>
    <t xml:space="preserve">N. MWAURA </t>
  </si>
  <si>
    <t>Each tablet contains Sulphamethoxazole 800 mg and Trimethoprim 160mg.</t>
  </si>
  <si>
    <t>N. MWAURA</t>
  </si>
  <si>
    <t>Sulphamethoxazole 800 mg and Trimethoprim 160 mg per tablet</t>
  </si>
  <si>
    <t>Each tablet contains Trimethoprim 160 mg.</t>
  </si>
  <si>
    <t>Average Tablet  Weight (mg):</t>
  </si>
  <si>
    <t xml:space="preserve">Each tablet contains Sulphamethoxazole 800 mg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</si>
</sst>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"/>
    <numFmt numFmtId="174" formatCode="d\-mmm\-yyyy"/>
  </numFmts>
  <fonts count="25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u/>
      <sz val="1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7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4" fillId="2" borderId="0"/>
  </cellStyleXfs>
  <cellXfs count="543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173" fontId="7" fillId="3" borderId="4" xfId="1" applyNumberFormat="1" applyFont="1" applyFill="1" applyBorder="1" applyAlignment="1" applyProtection="1">
      <alignment horizontal="center"/>
      <protection locked="0"/>
    </xf>
    <xf numFmtId="173" fontId="7" fillId="3" borderId="3" xfId="1" applyNumberFormat="1" applyFont="1" applyFill="1" applyBorder="1" applyAlignment="1" applyProtection="1">
      <alignment horizontal="center"/>
      <protection locked="0"/>
    </xf>
    <xf numFmtId="173" fontId="7" fillId="3" borderId="5" xfId="1" applyNumberFormat="1" applyFont="1" applyFill="1" applyBorder="1" applyAlignment="1" applyProtection="1">
      <alignment horizontal="center"/>
      <protection locked="0"/>
    </xf>
    <xf numFmtId="2" fontId="5" fillId="4" borderId="4" xfId="0" applyNumberFormat="1" applyFont="1" applyFill="1" applyBorder="1" applyAlignment="1">
      <alignment horizontal="center"/>
    </xf>
    <xf numFmtId="0" fontId="2" fillId="2" borderId="59" xfId="0" applyFont="1" applyFill="1" applyBorder="1"/>
    <xf numFmtId="0" fontId="2" fillId="2" borderId="60" xfId="0" applyFont="1" applyFill="1" applyBorder="1"/>
    <xf numFmtId="174" fontId="1" fillId="2" borderId="11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Alignment="1" applyProtection="1">
      <alignment horizontal="center"/>
      <protection locked="0"/>
    </xf>
    <xf numFmtId="2" fontId="6" fillId="3" borderId="15" xfId="0" applyNumberFormat="1" applyFont="1" applyFill="1" applyBorder="1" applyAlignment="1" applyProtection="1">
      <alignment horizontal="center"/>
      <protection locked="0"/>
    </xf>
    <xf numFmtId="0" fontId="2" fillId="2" borderId="0" xfId="0" applyFont="1" applyFill="1" applyBorder="1"/>
    <xf numFmtId="0" fontId="0" fillId="2" borderId="0" xfId="0" applyFill="1" applyBorder="1"/>
    <xf numFmtId="0" fontId="15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vertical="center" wrapText="1"/>
    </xf>
    <xf numFmtId="0" fontId="18" fillId="2" borderId="0" xfId="0" applyFont="1" applyFill="1" applyBorder="1"/>
    <xf numFmtId="0" fontId="11" fillId="2" borderId="0" xfId="0" applyFont="1" applyFill="1" applyBorder="1"/>
    <xf numFmtId="174" fontId="12" fillId="2" borderId="11" xfId="0" applyNumberFormat="1" applyFont="1" applyFill="1" applyBorder="1" applyAlignment="1">
      <alignment horizontal="center"/>
    </xf>
    <xf numFmtId="0" fontId="14" fillId="3" borderId="0" xfId="0" applyFont="1" applyFill="1" applyAlignment="1" applyProtection="1">
      <protection locked="0"/>
    </xf>
    <xf numFmtId="0" fontId="5" fillId="2" borderId="61" xfId="0" applyFont="1" applyFill="1" applyBorder="1" applyAlignment="1">
      <alignment horizontal="center"/>
    </xf>
    <xf numFmtId="0" fontId="12" fillId="2" borderId="20" xfId="0" applyFont="1" applyFill="1" applyBorder="1" applyAlignment="1">
      <alignment horizontal="center"/>
    </xf>
    <xf numFmtId="0" fontId="18" fillId="2" borderId="22" xfId="0" applyFont="1" applyFill="1" applyBorder="1"/>
    <xf numFmtId="10" fontId="15" fillId="2" borderId="24" xfId="0" applyNumberFormat="1" applyFont="1" applyFill="1" applyBorder="1" applyAlignment="1">
      <alignment horizontal="center" vertical="center"/>
    </xf>
    <xf numFmtId="0" fontId="13" fillId="3" borderId="45" xfId="0" applyFont="1" applyFill="1" applyBorder="1" applyAlignment="1" applyProtection="1">
      <alignment horizontal="center"/>
      <protection locked="0"/>
    </xf>
    <xf numFmtId="0" fontId="13" fillId="3" borderId="62" xfId="0" applyFont="1" applyFill="1" applyBorder="1" applyAlignment="1" applyProtection="1">
      <alignment horizontal="center"/>
      <protection locked="0"/>
    </xf>
    <xf numFmtId="171" fontId="11" fillId="2" borderId="63" xfId="0" applyNumberFormat="1" applyFont="1" applyFill="1" applyBorder="1" applyAlignment="1">
      <alignment horizontal="center"/>
    </xf>
    <xf numFmtId="0" fontId="13" fillId="3" borderId="64" xfId="0" applyFont="1" applyFill="1" applyBorder="1" applyAlignment="1" applyProtection="1">
      <alignment horizontal="center"/>
      <protection locked="0"/>
    </xf>
    <xf numFmtId="171" fontId="11" fillId="2" borderId="65" xfId="0" applyNumberFormat="1" applyFont="1" applyFill="1" applyBorder="1" applyAlignment="1">
      <alignment horizontal="center"/>
    </xf>
    <xf numFmtId="0" fontId="13" fillId="3" borderId="66" xfId="0" applyFont="1" applyFill="1" applyBorder="1" applyAlignment="1" applyProtection="1">
      <alignment horizontal="center"/>
      <protection locked="0"/>
    </xf>
    <xf numFmtId="171" fontId="11" fillId="2" borderId="67" xfId="0" applyNumberFormat="1" applyFont="1" applyFill="1" applyBorder="1" applyAlignment="1">
      <alignment horizontal="center"/>
    </xf>
    <xf numFmtId="1" fontId="12" fillId="6" borderId="68" xfId="0" applyNumberFormat="1" applyFont="1" applyFill="1" applyBorder="1" applyAlignment="1">
      <alignment horizontal="center"/>
    </xf>
    <xf numFmtId="171" fontId="12" fillId="6" borderId="69" xfId="0" applyNumberFormat="1" applyFont="1" applyFill="1" applyBorder="1" applyAlignment="1">
      <alignment horizontal="center"/>
    </xf>
    <xf numFmtId="0" fontId="13" fillId="3" borderId="10" xfId="0" applyFont="1" applyFill="1" applyBorder="1" applyAlignment="1" applyProtection="1">
      <alignment horizontal="center"/>
      <protection locked="0"/>
    </xf>
    <xf numFmtId="0" fontId="12" fillId="2" borderId="24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31" xfId="0" applyFont="1" applyFill="1" applyBorder="1" applyAlignment="1">
      <alignment horizontal="center"/>
    </xf>
    <xf numFmtId="0" fontId="12" fillId="2" borderId="71" xfId="0" applyFont="1" applyFill="1" applyBorder="1" applyAlignment="1">
      <alignment horizontal="center"/>
    </xf>
    <xf numFmtId="0" fontId="12" fillId="2" borderId="67" xfId="0" applyFont="1" applyFill="1" applyBorder="1" applyAlignment="1">
      <alignment horizontal="center"/>
    </xf>
    <xf numFmtId="0" fontId="11" fillId="2" borderId="72" xfId="0" applyFont="1" applyFill="1" applyBorder="1"/>
    <xf numFmtId="0" fontId="12" fillId="2" borderId="73" xfId="0" applyFont="1" applyFill="1" applyBorder="1" applyAlignment="1">
      <alignment horizontal="center"/>
    </xf>
    <xf numFmtId="0" fontId="12" fillId="2" borderId="74" xfId="0" applyFont="1" applyFill="1" applyBorder="1" applyAlignment="1">
      <alignment horizontal="center"/>
    </xf>
    <xf numFmtId="0" fontId="12" fillId="2" borderId="72" xfId="0" applyFont="1" applyFill="1" applyBorder="1" applyAlignment="1">
      <alignment horizontal="center"/>
    </xf>
    <xf numFmtId="0" fontId="12" fillId="2" borderId="75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2"/>
  <sheetViews>
    <sheetView topLeftCell="A43" workbookViewId="0">
      <selection activeCell="D69" sqref="D69"/>
    </sheetView>
  </sheetViews>
  <sheetFormatPr defaultRowHeight="13.8" x14ac:dyDescent="0.3"/>
  <cols>
    <col min="1" max="1" width="27.5546875" style="4" customWidth="1"/>
    <col min="2" max="2" width="20.44140625" style="4" customWidth="1"/>
    <col min="3" max="3" width="31.88671875" style="4" customWidth="1"/>
    <col min="4" max="4" width="25.88671875" style="4" customWidth="1"/>
    <col min="5" max="5" width="25.6640625" style="4" customWidth="1"/>
    <col min="6" max="6" width="23.109375" style="4" customWidth="1"/>
    <col min="7" max="7" width="28.44140625" style="4" customWidth="1"/>
    <col min="8" max="8" width="21.5546875" style="4" customWidth="1"/>
    <col min="9" max="9" width="9.10937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5">
      <c r="A15" s="452" t="s">
        <v>0</v>
      </c>
      <c r="B15" s="452"/>
      <c r="C15" s="452"/>
      <c r="D15" s="452"/>
      <c r="E15" s="452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72" t="s">
        <v>123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99.65</v>
      </c>
      <c r="C19" s="10"/>
      <c r="D19" s="10"/>
      <c r="E19" s="10"/>
    </row>
    <row r="20" spans="1:6" ht="16.5" customHeight="1" x14ac:dyDescent="0.3">
      <c r="A20" s="7" t="s">
        <v>8</v>
      </c>
      <c r="B20" s="12">
        <v>20.49</v>
      </c>
      <c r="C20" s="10"/>
      <c r="D20" s="10"/>
      <c r="E20" s="10"/>
    </row>
    <row r="21" spans="1:6" ht="16.5" customHeight="1" x14ac:dyDescent="0.3">
      <c r="A21" s="7" t="s">
        <v>9</v>
      </c>
      <c r="B21" s="13">
        <f>B20/25*10/50</f>
        <v>0.16391999999999995</v>
      </c>
      <c r="C21" s="10"/>
      <c r="D21" s="10"/>
      <c r="E21" s="10"/>
    </row>
    <row r="22" spans="1:6" ht="15.75" customHeight="1" x14ac:dyDescent="0.3">
      <c r="A22" s="10"/>
      <c r="B22" s="10"/>
      <c r="C22" s="10"/>
      <c r="D22" s="10"/>
      <c r="E22" s="10"/>
    </row>
    <row r="23" spans="1:6" ht="16.5" customHeight="1" x14ac:dyDescent="0.3">
      <c r="A23" s="14" t="s">
        <v>12</v>
      </c>
      <c r="B23" s="15" t="s">
        <v>13</v>
      </c>
      <c r="C23" s="14" t="s">
        <v>14</v>
      </c>
      <c r="D23" s="14" t="s">
        <v>15</v>
      </c>
      <c r="E23" s="16" t="s">
        <v>16</v>
      </c>
      <c r="F23" s="16" t="s">
        <v>127</v>
      </c>
    </row>
    <row r="24" spans="1:6" ht="16.5" customHeight="1" x14ac:dyDescent="0.3">
      <c r="A24" s="17">
        <v>1</v>
      </c>
      <c r="B24" s="18">
        <v>128878758</v>
      </c>
      <c r="C24" s="18">
        <v>11212.5</v>
      </c>
      <c r="D24" s="19">
        <v>1</v>
      </c>
      <c r="E24" s="20">
        <v>7.8</v>
      </c>
      <c r="F24" s="501">
        <v>15.6</v>
      </c>
    </row>
    <row r="25" spans="1:6" ht="16.5" customHeight="1" x14ac:dyDescent="0.3">
      <c r="A25" s="17">
        <v>2</v>
      </c>
      <c r="B25" s="18">
        <v>129078980</v>
      </c>
      <c r="C25" s="18">
        <v>11206.3</v>
      </c>
      <c r="D25" s="19">
        <v>1</v>
      </c>
      <c r="E25" s="19">
        <v>7.8</v>
      </c>
      <c r="F25" s="502">
        <v>15.7</v>
      </c>
    </row>
    <row r="26" spans="1:6" ht="16.5" customHeight="1" x14ac:dyDescent="0.3">
      <c r="A26" s="17">
        <v>3</v>
      </c>
      <c r="B26" s="18">
        <v>129419325</v>
      </c>
      <c r="C26" s="18">
        <v>11213.7</v>
      </c>
      <c r="D26" s="19">
        <v>1</v>
      </c>
      <c r="E26" s="19">
        <v>7.8</v>
      </c>
      <c r="F26" s="502">
        <v>15.6</v>
      </c>
    </row>
    <row r="27" spans="1:6" ht="16.5" customHeight="1" x14ac:dyDescent="0.3">
      <c r="A27" s="17">
        <v>4</v>
      </c>
      <c r="B27" s="18">
        <v>129453116</v>
      </c>
      <c r="C27" s="18">
        <v>11225.3</v>
      </c>
      <c r="D27" s="19">
        <v>1</v>
      </c>
      <c r="E27" s="19">
        <v>7.8</v>
      </c>
      <c r="F27" s="502">
        <v>15.7</v>
      </c>
    </row>
    <row r="28" spans="1:6" ht="16.5" customHeight="1" x14ac:dyDescent="0.3">
      <c r="A28" s="17">
        <v>5</v>
      </c>
      <c r="B28" s="18">
        <v>129436794</v>
      </c>
      <c r="C28" s="18">
        <v>11227</v>
      </c>
      <c r="D28" s="19">
        <v>1</v>
      </c>
      <c r="E28" s="19">
        <v>7.8</v>
      </c>
      <c r="F28" s="502">
        <v>15.6</v>
      </c>
    </row>
    <row r="29" spans="1:6" ht="16.5" customHeight="1" x14ac:dyDescent="0.3">
      <c r="A29" s="17">
        <v>6</v>
      </c>
      <c r="B29" s="21">
        <v>129462891</v>
      </c>
      <c r="C29" s="21">
        <v>11223.9</v>
      </c>
      <c r="D29" s="22">
        <v>1</v>
      </c>
      <c r="E29" s="22">
        <v>7.8</v>
      </c>
      <c r="F29" s="503">
        <v>15.7</v>
      </c>
    </row>
    <row r="30" spans="1:6" ht="16.5" customHeight="1" x14ac:dyDescent="0.3">
      <c r="A30" s="23" t="s">
        <v>17</v>
      </c>
      <c r="B30" s="24">
        <f>AVERAGE(B24:B29)</f>
        <v>129288310.66666667</v>
      </c>
      <c r="C30" s="25">
        <f>AVERAGE(C24:C29)</f>
        <v>11218.116666666667</v>
      </c>
      <c r="D30" s="26">
        <f>AVERAGE(D24:D29)</f>
        <v>1</v>
      </c>
      <c r="E30" s="26">
        <f>AVERAGE(E24:E29)</f>
        <v>7.8</v>
      </c>
      <c r="F30" s="504">
        <f>AVERAGE(F24:F29)</f>
        <v>15.649999999999999</v>
      </c>
    </row>
    <row r="31" spans="1:6" ht="16.5" customHeight="1" x14ac:dyDescent="0.3">
      <c r="A31" s="27" t="s">
        <v>18</v>
      </c>
      <c r="B31" s="28">
        <f>(STDEV(B24:B29)/B30)</f>
        <v>1.9209481404733305E-3</v>
      </c>
      <c r="C31" s="29"/>
      <c r="D31" s="29"/>
      <c r="E31" s="30"/>
      <c r="F31" s="505"/>
    </row>
    <row r="32" spans="1:6" s="2" customFormat="1" ht="16.5" customHeight="1" x14ac:dyDescent="0.3">
      <c r="A32" s="31" t="s">
        <v>19</v>
      </c>
      <c r="B32" s="32">
        <f>COUNT(B24:B29)</f>
        <v>6</v>
      </c>
      <c r="C32" s="33"/>
      <c r="D32" s="34"/>
      <c r="E32" s="35"/>
      <c r="F32" s="506"/>
    </row>
    <row r="33" spans="1:9" s="2" customFormat="1" ht="15.75" customHeight="1" x14ac:dyDescent="0.3">
      <c r="A33" s="10"/>
      <c r="B33" s="10"/>
      <c r="C33" s="10"/>
      <c r="D33" s="10"/>
      <c r="E33" s="36"/>
    </row>
    <row r="34" spans="1:9" s="2" customFormat="1" ht="16.5" customHeight="1" x14ac:dyDescent="0.3">
      <c r="A34" s="11" t="s">
        <v>20</v>
      </c>
      <c r="B34" s="37" t="s">
        <v>21</v>
      </c>
      <c r="C34" s="38"/>
      <c r="D34" s="38"/>
      <c r="E34" s="39"/>
    </row>
    <row r="35" spans="1:9" ht="16.5" customHeight="1" x14ac:dyDescent="0.3">
      <c r="A35" s="11"/>
      <c r="B35" s="37" t="s">
        <v>22</v>
      </c>
      <c r="C35" s="38"/>
      <c r="D35" s="38"/>
      <c r="E35" s="39"/>
      <c r="F35" s="2"/>
    </row>
    <row r="36" spans="1:9" ht="16.5" customHeight="1" x14ac:dyDescent="0.3">
      <c r="A36" s="11"/>
      <c r="B36" s="40" t="s">
        <v>23</v>
      </c>
      <c r="C36" s="38"/>
      <c r="D36" s="38"/>
      <c r="E36" s="38"/>
    </row>
    <row r="37" spans="1:9" s="44" customFormat="1" ht="16.5" customHeight="1" x14ac:dyDescent="0.3">
      <c r="A37" s="75"/>
      <c r="B37" s="40" t="s">
        <v>128</v>
      </c>
      <c r="C37" s="39"/>
      <c r="D37" s="39"/>
      <c r="E37" s="39"/>
      <c r="F37" s="400"/>
      <c r="G37" s="400"/>
      <c r="H37" s="400"/>
      <c r="I37" s="400"/>
    </row>
    <row r="38" spans="1:9" ht="15.75" customHeight="1" x14ac:dyDescent="0.3">
      <c r="A38" s="10"/>
      <c r="B38" s="10"/>
      <c r="C38" s="10"/>
      <c r="D38" s="10"/>
      <c r="E38" s="10"/>
    </row>
    <row r="39" spans="1:9" ht="16.5" customHeight="1" x14ac:dyDescent="0.3">
      <c r="A39" s="5" t="s">
        <v>1</v>
      </c>
      <c r="B39" s="6"/>
    </row>
    <row r="40" spans="1:9" ht="16.5" customHeight="1" x14ac:dyDescent="0.3">
      <c r="A40" s="11" t="s">
        <v>4</v>
      </c>
      <c r="B40" s="8" t="s">
        <v>124</v>
      </c>
      <c r="C40" s="10"/>
      <c r="D40" s="10"/>
      <c r="E40" s="10"/>
    </row>
    <row r="41" spans="1:9" ht="16.5" customHeight="1" x14ac:dyDescent="0.3">
      <c r="A41" s="11" t="s">
        <v>6</v>
      </c>
      <c r="B41" s="12">
        <v>99.3</v>
      </c>
      <c r="C41" s="10"/>
      <c r="D41" s="10"/>
      <c r="E41" s="10"/>
    </row>
    <row r="42" spans="1:9" ht="16.5" customHeight="1" x14ac:dyDescent="0.3">
      <c r="A42" s="7" t="s">
        <v>8</v>
      </c>
      <c r="B42" s="12">
        <v>26.55</v>
      </c>
      <c r="C42" s="10"/>
      <c r="D42" s="10"/>
      <c r="E42" s="10"/>
    </row>
    <row r="43" spans="1:9" ht="16.5" customHeight="1" x14ac:dyDescent="0.3">
      <c r="A43" s="7" t="s">
        <v>9</v>
      </c>
      <c r="B43" s="13">
        <f>B42/25*2/50</f>
        <v>4.2480000000000004E-2</v>
      </c>
      <c r="C43" s="10"/>
      <c r="D43" s="10"/>
      <c r="E43" s="10"/>
    </row>
    <row r="44" spans="1:9" ht="15.75" customHeight="1" x14ac:dyDescent="0.3">
      <c r="A44" s="10"/>
      <c r="B44" s="10"/>
      <c r="C44" s="10"/>
      <c r="D44" s="10"/>
      <c r="E44" s="10"/>
    </row>
    <row r="45" spans="1:9" ht="16.5" customHeight="1" x14ac:dyDescent="0.3">
      <c r="A45" s="14" t="s">
        <v>12</v>
      </c>
      <c r="B45" s="15" t="s">
        <v>13</v>
      </c>
      <c r="C45" s="14" t="s">
        <v>14</v>
      </c>
      <c r="D45" s="14" t="s">
        <v>15</v>
      </c>
      <c r="E45" s="16" t="s">
        <v>16</v>
      </c>
      <c r="F45" s="16" t="s">
        <v>127</v>
      </c>
    </row>
    <row r="46" spans="1:9" ht="16.5" customHeight="1" x14ac:dyDescent="0.3">
      <c r="A46" s="17">
        <v>1</v>
      </c>
      <c r="B46" s="18">
        <v>12754878</v>
      </c>
      <c r="C46" s="18">
        <v>8286.1</v>
      </c>
      <c r="D46" s="19">
        <v>1.1000000000000001</v>
      </c>
      <c r="E46" s="20">
        <v>4.0999999999999996</v>
      </c>
      <c r="F46" s="501">
        <v>15.6</v>
      </c>
    </row>
    <row r="47" spans="1:9" ht="16.5" customHeight="1" x14ac:dyDescent="0.3">
      <c r="A47" s="17">
        <v>2</v>
      </c>
      <c r="B47" s="18">
        <v>12768826</v>
      </c>
      <c r="C47" s="18">
        <v>8355.2000000000007</v>
      </c>
      <c r="D47" s="19">
        <v>1.2</v>
      </c>
      <c r="E47" s="19">
        <v>4.0999999999999996</v>
      </c>
      <c r="F47" s="502">
        <v>15.7</v>
      </c>
    </row>
    <row r="48" spans="1:9" ht="16.5" customHeight="1" x14ac:dyDescent="0.3">
      <c r="A48" s="17">
        <v>3</v>
      </c>
      <c r="B48" s="18">
        <v>12797469</v>
      </c>
      <c r="C48" s="18">
        <v>8279.5</v>
      </c>
      <c r="D48" s="19">
        <v>1.1000000000000001</v>
      </c>
      <c r="E48" s="19">
        <v>4.0999999999999996</v>
      </c>
      <c r="F48" s="502">
        <v>15.6</v>
      </c>
    </row>
    <row r="49" spans="1:7" ht="16.5" customHeight="1" x14ac:dyDescent="0.3">
      <c r="A49" s="17">
        <v>4</v>
      </c>
      <c r="B49" s="18">
        <v>12804055</v>
      </c>
      <c r="C49" s="18">
        <v>8362</v>
      </c>
      <c r="D49" s="19">
        <v>1.2</v>
      </c>
      <c r="E49" s="19">
        <v>4.0999999999999996</v>
      </c>
      <c r="F49" s="502">
        <v>15.7</v>
      </c>
    </row>
    <row r="50" spans="1:7" ht="16.5" customHeight="1" x14ac:dyDescent="0.3">
      <c r="A50" s="17">
        <v>5</v>
      </c>
      <c r="B50" s="18">
        <v>12796383</v>
      </c>
      <c r="C50" s="18">
        <v>8284.2999999999993</v>
      </c>
      <c r="D50" s="19">
        <v>1.1000000000000001</v>
      </c>
      <c r="E50" s="19">
        <v>4.0999999999999996</v>
      </c>
      <c r="F50" s="502">
        <v>15.6</v>
      </c>
    </row>
    <row r="51" spans="1:7" ht="16.5" customHeight="1" x14ac:dyDescent="0.3">
      <c r="A51" s="17">
        <v>6</v>
      </c>
      <c r="B51" s="21">
        <v>12795080</v>
      </c>
      <c r="C51" s="21">
        <v>8298.2000000000007</v>
      </c>
      <c r="D51" s="22">
        <v>1.1000000000000001</v>
      </c>
      <c r="E51" s="22">
        <v>4.0999999999999996</v>
      </c>
      <c r="F51" s="503">
        <v>15.7</v>
      </c>
    </row>
    <row r="52" spans="1:7" ht="16.5" customHeight="1" x14ac:dyDescent="0.3">
      <c r="A52" s="23" t="s">
        <v>17</v>
      </c>
      <c r="B52" s="24">
        <f>AVERAGE(B46:B51)</f>
        <v>12786115.166666666</v>
      </c>
      <c r="C52" s="25">
        <f>AVERAGE(C46:C51)</f>
        <v>8310.8833333333332</v>
      </c>
      <c r="D52" s="26">
        <f>AVERAGE(D46:D51)</f>
        <v>1.1333333333333331</v>
      </c>
      <c r="E52" s="26">
        <f>AVERAGE(E46:E51)</f>
        <v>4.1000000000000005</v>
      </c>
      <c r="F52" s="504">
        <f>AVERAGE(F46:F51)</f>
        <v>15.649999999999999</v>
      </c>
    </row>
    <row r="53" spans="1:7" ht="16.5" customHeight="1" x14ac:dyDescent="0.3">
      <c r="A53" s="27" t="s">
        <v>18</v>
      </c>
      <c r="B53" s="28">
        <f>(STDEV(B46:B51)/B52)</f>
        <v>1.5290852093817445E-3</v>
      </c>
      <c r="C53" s="29"/>
      <c r="D53" s="29"/>
      <c r="E53" s="30"/>
      <c r="F53" s="505"/>
    </row>
    <row r="54" spans="1:7" s="2" customFormat="1" ht="16.5" customHeight="1" x14ac:dyDescent="0.3">
      <c r="A54" s="31" t="s">
        <v>19</v>
      </c>
      <c r="B54" s="32">
        <f>COUNT(B46:B51)</f>
        <v>6</v>
      </c>
      <c r="C54" s="33"/>
      <c r="D54" s="34"/>
      <c r="E54" s="35"/>
      <c r="F54" s="506"/>
    </row>
    <row r="55" spans="1:7" s="2" customFormat="1" ht="15.75" customHeight="1" x14ac:dyDescent="0.3">
      <c r="A55" s="10"/>
      <c r="B55" s="10"/>
      <c r="C55" s="10"/>
      <c r="D55" s="10"/>
      <c r="E55" s="36"/>
    </row>
    <row r="56" spans="1:7" s="2" customFormat="1" ht="16.5" customHeight="1" x14ac:dyDescent="0.3">
      <c r="A56" s="11" t="s">
        <v>20</v>
      </c>
      <c r="B56" s="37" t="s">
        <v>21</v>
      </c>
      <c r="C56" s="38"/>
      <c r="D56" s="38"/>
      <c r="E56" s="39"/>
    </row>
    <row r="57" spans="1:7" ht="16.5" customHeight="1" x14ac:dyDescent="0.3">
      <c r="A57" s="11"/>
      <c r="B57" s="37" t="s">
        <v>22</v>
      </c>
      <c r="C57" s="38"/>
      <c r="D57" s="38"/>
      <c r="E57" s="39"/>
      <c r="F57" s="2"/>
    </row>
    <row r="58" spans="1:7" ht="16.5" customHeight="1" x14ac:dyDescent="0.3">
      <c r="A58" s="11"/>
      <c r="B58" s="40" t="s">
        <v>23</v>
      </c>
      <c r="C58" s="38"/>
      <c r="D58" s="39"/>
      <c r="E58" s="38"/>
    </row>
    <row r="59" spans="1:7" ht="14.25" customHeight="1" x14ac:dyDescent="0.3">
      <c r="A59" s="41"/>
      <c r="B59" s="42"/>
      <c r="D59" s="43"/>
      <c r="F59" s="44"/>
      <c r="G59" s="44"/>
    </row>
    <row r="60" spans="1:7" ht="15" customHeight="1" x14ac:dyDescent="0.3">
      <c r="B60" s="453" t="s">
        <v>24</v>
      </c>
      <c r="C60" s="453"/>
      <c r="E60" s="45" t="s">
        <v>25</v>
      </c>
      <c r="F60" s="46"/>
      <c r="G60" s="45" t="s">
        <v>26</v>
      </c>
    </row>
    <row r="61" spans="1:7" ht="15" customHeight="1" x14ac:dyDescent="0.3">
      <c r="A61" s="47" t="s">
        <v>27</v>
      </c>
      <c r="B61" s="48"/>
      <c r="C61" s="48"/>
      <c r="E61" s="48"/>
      <c r="F61" s="2"/>
      <c r="G61" s="49"/>
    </row>
    <row r="62" spans="1:7" ht="24.6" customHeight="1" x14ac:dyDescent="0.3">
      <c r="A62" s="47" t="s">
        <v>28</v>
      </c>
      <c r="B62" s="50"/>
      <c r="C62" s="50" t="s">
        <v>129</v>
      </c>
      <c r="E62" s="507">
        <v>42376</v>
      </c>
      <c r="F62" s="2"/>
      <c r="G62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60:C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9" zoomScale="120" zoomScaleSheetLayoutView="120" workbookViewId="0">
      <selection activeCell="D54" sqref="D54"/>
    </sheetView>
  </sheetViews>
  <sheetFormatPr defaultRowHeight="13.8" x14ac:dyDescent="0.3"/>
  <cols>
    <col min="1" max="1" width="15.5546875" style="1" customWidth="1"/>
    <col min="2" max="2" width="18.44140625" style="1" customWidth="1"/>
    <col min="3" max="3" width="14.33203125" style="1" customWidth="1"/>
    <col min="4" max="4" width="15" style="1" customWidth="1"/>
    <col min="5" max="5" width="9.109375" style="1" customWidth="1"/>
    <col min="6" max="6" width="27.88671875" style="1" customWidth="1"/>
    <col min="7" max="7" width="12.33203125" style="1" customWidth="1"/>
    <col min="8" max="8" width="9.109375" style="1" customWidth="1"/>
  </cols>
  <sheetData>
    <row r="10" spans="1:7" ht="13.5" customHeight="1" x14ac:dyDescent="0.3"/>
    <row r="11" spans="1:7" ht="13.5" customHeight="1" x14ac:dyDescent="0.3">
      <c r="A11" s="457" t="s">
        <v>29</v>
      </c>
      <c r="B11" s="458"/>
      <c r="C11" s="458"/>
      <c r="D11" s="458"/>
      <c r="E11" s="458"/>
      <c r="F11" s="459"/>
      <c r="G11" s="91"/>
    </row>
    <row r="12" spans="1:7" ht="16.5" customHeight="1" x14ac:dyDescent="0.3">
      <c r="A12" s="456" t="s">
        <v>30</v>
      </c>
      <c r="B12" s="456"/>
      <c r="C12" s="456"/>
      <c r="D12" s="456"/>
      <c r="E12" s="456"/>
      <c r="F12" s="456"/>
      <c r="G12" s="90"/>
    </row>
    <row r="14" spans="1:7" ht="16.5" customHeight="1" x14ac:dyDescent="0.3">
      <c r="A14" s="461" t="s">
        <v>31</v>
      </c>
      <c r="B14" s="461"/>
      <c r="C14" s="60" t="s">
        <v>5</v>
      </c>
    </row>
    <row r="15" spans="1:7" ht="16.5" customHeight="1" x14ac:dyDescent="0.3">
      <c r="A15" s="461" t="s">
        <v>32</v>
      </c>
      <c r="B15" s="461"/>
      <c r="C15" s="60" t="s">
        <v>7</v>
      </c>
    </row>
    <row r="16" spans="1:7" ht="16.5" customHeight="1" x14ac:dyDescent="0.3">
      <c r="A16" s="461" t="s">
        <v>33</v>
      </c>
      <c r="B16" s="461"/>
      <c r="C16" s="60" t="s">
        <v>130</v>
      </c>
    </row>
    <row r="17" spans="1:5" ht="16.5" customHeight="1" x14ac:dyDescent="0.3">
      <c r="A17" s="461" t="s">
        <v>34</v>
      </c>
      <c r="B17" s="461"/>
      <c r="C17" s="60" t="s">
        <v>10</v>
      </c>
    </row>
    <row r="18" spans="1:5" ht="16.5" customHeight="1" x14ac:dyDescent="0.3">
      <c r="A18" s="461" t="s">
        <v>35</v>
      </c>
      <c r="B18" s="461"/>
      <c r="C18" s="95" t="s">
        <v>11</v>
      </c>
    </row>
    <row r="19" spans="1:5" ht="16.5" customHeight="1" x14ac:dyDescent="0.3">
      <c r="A19" s="461" t="s">
        <v>36</v>
      </c>
      <c r="B19" s="461"/>
      <c r="C19" s="95"/>
    </row>
    <row r="20" spans="1:5" ht="16.5" customHeight="1" x14ac:dyDescent="0.3">
      <c r="A20" s="62"/>
      <c r="B20" s="62"/>
      <c r="C20" s="77"/>
    </row>
    <row r="21" spans="1:5" ht="16.5" customHeight="1" x14ac:dyDescent="0.3">
      <c r="A21" s="456" t="s">
        <v>1</v>
      </c>
      <c r="B21" s="456"/>
      <c r="C21" s="59" t="s">
        <v>37</v>
      </c>
      <c r="D21" s="66"/>
    </row>
    <row r="22" spans="1:5" ht="15.75" customHeight="1" x14ac:dyDescent="0.3">
      <c r="A22" s="460"/>
      <c r="B22" s="460"/>
      <c r="C22" s="57"/>
      <c r="D22" s="460"/>
      <c r="E22" s="460"/>
    </row>
    <row r="23" spans="1:5" ht="33.75" customHeight="1" x14ac:dyDescent="0.3">
      <c r="C23" s="86" t="s">
        <v>38</v>
      </c>
      <c r="D23" s="85" t="s">
        <v>39</v>
      </c>
      <c r="E23" s="52"/>
    </row>
    <row r="24" spans="1:5" ht="15.75" customHeight="1" x14ac:dyDescent="0.3">
      <c r="C24" s="508">
        <v>1047.51</v>
      </c>
      <c r="D24" s="87">
        <f t="shared" ref="D24:D43" si="0">(C24-$C$46)/$C$46</f>
        <v>6.0588656470432151E-3</v>
      </c>
      <c r="E24" s="53"/>
    </row>
    <row r="25" spans="1:5" ht="15.75" customHeight="1" x14ac:dyDescent="0.3">
      <c r="C25" s="508">
        <v>1042.78</v>
      </c>
      <c r="D25" s="88">
        <f t="shared" si="0"/>
        <v>1.5160370014832372E-3</v>
      </c>
      <c r="E25" s="53"/>
    </row>
    <row r="26" spans="1:5" ht="15.75" customHeight="1" x14ac:dyDescent="0.3">
      <c r="C26" s="508">
        <v>1045.67</v>
      </c>
      <c r="D26" s="88">
        <f t="shared" si="0"/>
        <v>4.2916764910537952E-3</v>
      </c>
      <c r="E26" s="53"/>
    </row>
    <row r="27" spans="1:5" ht="15.75" customHeight="1" x14ac:dyDescent="0.3">
      <c r="C27" s="508">
        <v>1049.56</v>
      </c>
      <c r="D27" s="88">
        <f t="shared" si="0"/>
        <v>8.0277448697488631E-3</v>
      </c>
      <c r="E27" s="53"/>
    </row>
    <row r="28" spans="1:5" ht="15.75" customHeight="1" x14ac:dyDescent="0.3">
      <c r="C28" s="508">
        <v>1045.75</v>
      </c>
      <c r="D28" s="88">
        <f t="shared" si="0"/>
        <v>4.3685108021837039E-3</v>
      </c>
      <c r="E28" s="53"/>
    </row>
    <row r="29" spans="1:5" ht="15.75" customHeight="1" x14ac:dyDescent="0.3">
      <c r="C29" s="508">
        <v>1042.74</v>
      </c>
      <c r="D29" s="88">
        <f t="shared" si="0"/>
        <v>1.477619845918283E-3</v>
      </c>
      <c r="E29" s="53"/>
    </row>
    <row r="30" spans="1:5" ht="15.75" customHeight="1" x14ac:dyDescent="0.3">
      <c r="C30" s="508">
        <v>1042.4100000000001</v>
      </c>
      <c r="D30" s="88">
        <f t="shared" si="0"/>
        <v>1.1606783125071929E-3</v>
      </c>
      <c r="E30" s="53"/>
    </row>
    <row r="31" spans="1:5" ht="15.75" customHeight="1" x14ac:dyDescent="0.3">
      <c r="C31" s="508">
        <v>1032.58</v>
      </c>
      <c r="D31" s="88">
        <f t="shared" si="0"/>
        <v>-8.2803376675890262E-3</v>
      </c>
      <c r="E31" s="53"/>
    </row>
    <row r="32" spans="1:5" ht="15.75" customHeight="1" x14ac:dyDescent="0.3">
      <c r="C32" s="508">
        <v>1043.94</v>
      </c>
      <c r="D32" s="88">
        <f t="shared" si="0"/>
        <v>2.6301345128679995E-3</v>
      </c>
      <c r="E32" s="53"/>
    </row>
    <row r="33" spans="1:7" ht="15.75" customHeight="1" x14ac:dyDescent="0.3">
      <c r="C33" s="508">
        <v>1042.58</v>
      </c>
      <c r="D33" s="88">
        <f t="shared" si="0"/>
        <v>1.323951223658248E-3</v>
      </c>
      <c r="E33" s="53"/>
    </row>
    <row r="34" spans="1:7" ht="15.75" customHeight="1" x14ac:dyDescent="0.3">
      <c r="C34" s="508">
        <v>1039.1099999999999</v>
      </c>
      <c r="D34" s="88">
        <f t="shared" si="0"/>
        <v>-2.0087370216045823E-3</v>
      </c>
      <c r="E34" s="53"/>
    </row>
    <row r="35" spans="1:7" ht="15.75" customHeight="1" x14ac:dyDescent="0.3">
      <c r="C35" s="508">
        <v>1051.5999999999999</v>
      </c>
      <c r="D35" s="88">
        <f t="shared" si="0"/>
        <v>9.9870198035632712E-3</v>
      </c>
      <c r="E35" s="53"/>
    </row>
    <row r="36" spans="1:7" ht="15.75" customHeight="1" x14ac:dyDescent="0.3">
      <c r="C36" s="508">
        <v>1032.5999999999999</v>
      </c>
      <c r="D36" s="88">
        <f t="shared" si="0"/>
        <v>-8.2611290898065484E-3</v>
      </c>
      <c r="E36" s="53"/>
    </row>
    <row r="37" spans="1:7" ht="15.75" customHeight="1" x14ac:dyDescent="0.3">
      <c r="C37" s="508">
        <v>1040.45</v>
      </c>
      <c r="D37" s="88">
        <f t="shared" si="0"/>
        <v>-7.2176231017730781E-4</v>
      </c>
      <c r="E37" s="53"/>
    </row>
    <row r="38" spans="1:7" ht="15.75" customHeight="1" x14ac:dyDescent="0.3">
      <c r="C38" s="508">
        <v>1017.13</v>
      </c>
      <c r="D38" s="88">
        <f t="shared" si="0"/>
        <v>-2.3118964004565999E-2</v>
      </c>
      <c r="E38" s="53"/>
    </row>
    <row r="39" spans="1:7" ht="15.75" customHeight="1" x14ac:dyDescent="0.3">
      <c r="C39" s="508">
        <v>1028.3499999999999</v>
      </c>
      <c r="D39" s="88">
        <f t="shared" si="0"/>
        <v>-1.2342951868586641E-2</v>
      </c>
      <c r="E39" s="53"/>
    </row>
    <row r="40" spans="1:7" ht="15.75" customHeight="1" x14ac:dyDescent="0.3">
      <c r="C40" s="508">
        <v>1046.44</v>
      </c>
      <c r="D40" s="88">
        <f t="shared" si="0"/>
        <v>5.0312067356798182E-3</v>
      </c>
      <c r="E40" s="53"/>
    </row>
    <row r="41" spans="1:7" ht="15.75" customHeight="1" x14ac:dyDescent="0.3">
      <c r="C41" s="508">
        <v>1044.05</v>
      </c>
      <c r="D41" s="88">
        <f t="shared" si="0"/>
        <v>2.7357816906716237E-3</v>
      </c>
      <c r="E41" s="53"/>
    </row>
    <row r="42" spans="1:7" ht="15.75" customHeight="1" x14ac:dyDescent="0.3">
      <c r="C42" s="508">
        <v>1044.31</v>
      </c>
      <c r="D42" s="88">
        <f t="shared" si="0"/>
        <v>2.9854932018440442E-3</v>
      </c>
      <c r="E42" s="53"/>
    </row>
    <row r="43" spans="1:7" ht="16.5" customHeight="1" x14ac:dyDescent="0.3">
      <c r="C43" s="509">
        <v>1044.47</v>
      </c>
      <c r="D43" s="89">
        <f t="shared" si="0"/>
        <v>3.1391618241040789E-3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40</v>
      </c>
      <c r="C45" s="83">
        <f>SUM(C24:C44)</f>
        <v>20824.030000000002</v>
      </c>
      <c r="D45" s="78"/>
      <c r="E45" s="54"/>
    </row>
    <row r="46" spans="1:7" ht="17.25" customHeight="1" x14ac:dyDescent="0.3">
      <c r="B46" s="82" t="s">
        <v>41</v>
      </c>
      <c r="C46" s="84">
        <f>AVERAGE(C24:C44)</f>
        <v>1041.2015000000001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41</v>
      </c>
      <c r="C48" s="85" t="s">
        <v>42</v>
      </c>
      <c r="D48" s="80"/>
      <c r="G48" s="58"/>
    </row>
    <row r="49" spans="1:6" ht="17.25" customHeight="1" x14ac:dyDescent="0.3">
      <c r="B49" s="454">
        <f>C46</f>
        <v>1041.2015000000001</v>
      </c>
      <c r="C49" s="93">
        <f>-IF(C46&lt;=80,10%,IF(C46&lt;250,7.5%,5%))</f>
        <v>-0.05</v>
      </c>
      <c r="D49" s="81">
        <f>IF(C46&lt;=80,C46*0.9,IF(C46&lt;250,C46*0.925,C46*0.95))</f>
        <v>989.14142500000003</v>
      </c>
    </row>
    <row r="50" spans="1:6" ht="17.25" customHeight="1" x14ac:dyDescent="0.3">
      <c r="B50" s="455"/>
      <c r="C50" s="94">
        <f>IF(C46&lt;=80, 10%, IF(C46&lt;250, 7.5%, 5%))</f>
        <v>0.05</v>
      </c>
      <c r="D50" s="81">
        <f>IF(C46&lt;=80, C46*1.1, IF(C46&lt;250, C46*1.075, C46*1.05))</f>
        <v>1093.2615750000002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24</v>
      </c>
      <c r="C52" s="67"/>
      <c r="D52" s="68" t="s">
        <v>25</v>
      </c>
      <c r="E52" s="69"/>
      <c r="F52" s="68" t="s">
        <v>26</v>
      </c>
    </row>
    <row r="53" spans="1:6" ht="34.5" customHeight="1" x14ac:dyDescent="0.3">
      <c r="A53" s="70" t="s">
        <v>27</v>
      </c>
      <c r="B53" s="71"/>
      <c r="C53" s="72"/>
      <c r="D53" s="71"/>
      <c r="E53" s="61"/>
      <c r="F53" s="73"/>
    </row>
    <row r="54" spans="1:6" ht="34.5" customHeight="1" x14ac:dyDescent="0.3">
      <c r="A54" s="70" t="s">
        <v>28</v>
      </c>
      <c r="B54" s="74" t="s">
        <v>131</v>
      </c>
      <c r="C54" s="75"/>
      <c r="D54" s="507">
        <v>42376</v>
      </c>
      <c r="E54" s="61"/>
      <c r="F54" s="76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0"/>
  <sheetViews>
    <sheetView tabSelected="1" topLeftCell="B116" zoomScale="70" zoomScaleNormal="70" zoomScalePageLayoutView="55" workbookViewId="0">
      <pane xSplit="22584" topLeftCell="H1"/>
      <selection activeCell="E131" sqref="E131"/>
      <selection pane="topRight" activeCell="H49" sqref="H49"/>
    </sheetView>
  </sheetViews>
  <sheetFormatPr defaultColWidth="9.109375" defaultRowHeight="13.8" x14ac:dyDescent="0.3"/>
  <cols>
    <col min="1" max="1" width="55.44140625" style="2" customWidth="1"/>
    <col min="2" max="2" width="33.6640625" style="2" customWidth="1"/>
    <col min="3" max="3" width="42.33203125" style="2" customWidth="1"/>
    <col min="4" max="4" width="30.5546875" style="2" customWidth="1"/>
    <col min="5" max="5" width="39.88671875" style="2" customWidth="1"/>
    <col min="6" max="6" width="30.6640625" style="2" customWidth="1"/>
    <col min="7" max="7" width="39.88671875" style="2" customWidth="1"/>
    <col min="8" max="8" width="30" style="2" customWidth="1"/>
    <col min="9" max="9" width="30.33203125" style="2" hidden="1" customWidth="1"/>
    <col min="10" max="10" width="9.109375" style="2"/>
    <col min="11" max="16384" width="9.109375" style="511"/>
  </cols>
  <sheetData>
    <row r="1" spans="1:9" ht="18.75" customHeight="1" x14ac:dyDescent="0.3">
      <c r="A1" s="490" t="s">
        <v>43</v>
      </c>
      <c r="B1" s="490"/>
      <c r="C1" s="490"/>
      <c r="D1" s="490"/>
      <c r="E1" s="490"/>
      <c r="F1" s="490"/>
      <c r="G1" s="490"/>
      <c r="H1" s="490"/>
      <c r="I1" s="490"/>
    </row>
    <row r="2" spans="1:9" ht="18.75" customHeight="1" x14ac:dyDescent="0.3">
      <c r="A2" s="490"/>
      <c r="B2" s="490"/>
      <c r="C2" s="490"/>
      <c r="D2" s="490"/>
      <c r="E2" s="490"/>
      <c r="F2" s="490"/>
      <c r="G2" s="490"/>
      <c r="H2" s="490"/>
      <c r="I2" s="490"/>
    </row>
    <row r="3" spans="1:9" ht="18.75" customHeight="1" x14ac:dyDescent="0.3">
      <c r="A3" s="490"/>
      <c r="B3" s="490"/>
      <c r="C3" s="490"/>
      <c r="D3" s="490"/>
      <c r="E3" s="490"/>
      <c r="F3" s="490"/>
      <c r="G3" s="490"/>
      <c r="H3" s="490"/>
      <c r="I3" s="490"/>
    </row>
    <row r="4" spans="1:9" ht="18.75" customHeight="1" x14ac:dyDescent="0.3">
      <c r="A4" s="490"/>
      <c r="B4" s="490"/>
      <c r="C4" s="490"/>
      <c r="D4" s="490"/>
      <c r="E4" s="490"/>
      <c r="F4" s="490"/>
      <c r="G4" s="490"/>
      <c r="H4" s="490"/>
      <c r="I4" s="490"/>
    </row>
    <row r="5" spans="1:9" ht="18.75" customHeight="1" x14ac:dyDescent="0.3">
      <c r="A5" s="490"/>
      <c r="B5" s="490"/>
      <c r="C5" s="490"/>
      <c r="D5" s="490"/>
      <c r="E5" s="490"/>
      <c r="F5" s="490"/>
      <c r="G5" s="490"/>
      <c r="H5" s="490"/>
      <c r="I5" s="490"/>
    </row>
    <row r="6" spans="1:9" ht="18.75" customHeight="1" x14ac:dyDescent="0.3">
      <c r="A6" s="490"/>
      <c r="B6" s="490"/>
      <c r="C6" s="490"/>
      <c r="D6" s="490"/>
      <c r="E6" s="490"/>
      <c r="F6" s="490"/>
      <c r="G6" s="490"/>
      <c r="H6" s="490"/>
      <c r="I6" s="490"/>
    </row>
    <row r="7" spans="1:9" ht="18.75" customHeight="1" x14ac:dyDescent="0.3">
      <c r="A7" s="490"/>
      <c r="B7" s="490"/>
      <c r="C7" s="490"/>
      <c r="D7" s="490"/>
      <c r="E7" s="490"/>
      <c r="F7" s="490"/>
      <c r="G7" s="490"/>
      <c r="H7" s="490"/>
      <c r="I7" s="490"/>
    </row>
    <row r="8" spans="1:9" x14ac:dyDescent="0.3">
      <c r="A8" s="491" t="s">
        <v>44</v>
      </c>
      <c r="B8" s="491"/>
      <c r="C8" s="491"/>
      <c r="D8" s="491"/>
      <c r="E8" s="491"/>
      <c r="F8" s="491"/>
      <c r="G8" s="491"/>
      <c r="H8" s="491"/>
      <c r="I8" s="491"/>
    </row>
    <row r="9" spans="1:9" x14ac:dyDescent="0.3">
      <c r="A9" s="491"/>
      <c r="B9" s="491"/>
      <c r="C9" s="491"/>
      <c r="D9" s="491"/>
      <c r="E9" s="491"/>
      <c r="F9" s="491"/>
      <c r="G9" s="491"/>
      <c r="H9" s="491"/>
      <c r="I9" s="491"/>
    </row>
    <row r="10" spans="1:9" x14ac:dyDescent="0.3">
      <c r="A10" s="491"/>
      <c r="B10" s="491"/>
      <c r="C10" s="491"/>
      <c r="D10" s="491"/>
      <c r="E10" s="491"/>
      <c r="F10" s="491"/>
      <c r="G10" s="491"/>
      <c r="H10" s="491"/>
      <c r="I10" s="491"/>
    </row>
    <row r="11" spans="1:9" x14ac:dyDescent="0.3">
      <c r="A11" s="491"/>
      <c r="B11" s="491"/>
      <c r="C11" s="491"/>
      <c r="D11" s="491"/>
      <c r="E11" s="491"/>
      <c r="F11" s="491"/>
      <c r="G11" s="491"/>
      <c r="H11" s="491"/>
      <c r="I11" s="491"/>
    </row>
    <row r="12" spans="1:9" x14ac:dyDescent="0.3">
      <c r="A12" s="491"/>
      <c r="B12" s="491"/>
      <c r="C12" s="491"/>
      <c r="D12" s="491"/>
      <c r="E12" s="491"/>
      <c r="F12" s="491"/>
      <c r="G12" s="491"/>
      <c r="H12" s="491"/>
      <c r="I12" s="491"/>
    </row>
    <row r="13" spans="1:9" x14ac:dyDescent="0.3">
      <c r="A13" s="491"/>
      <c r="B13" s="491"/>
      <c r="C13" s="491"/>
      <c r="D13" s="491"/>
      <c r="E13" s="491"/>
      <c r="F13" s="491"/>
      <c r="G13" s="491"/>
      <c r="H13" s="491"/>
      <c r="I13" s="491"/>
    </row>
    <row r="14" spans="1:9" x14ac:dyDescent="0.3">
      <c r="A14" s="491"/>
      <c r="B14" s="491"/>
      <c r="C14" s="491"/>
      <c r="D14" s="491"/>
      <c r="E14" s="491"/>
      <c r="F14" s="491"/>
      <c r="G14" s="491"/>
      <c r="H14" s="491"/>
      <c r="I14" s="491"/>
    </row>
    <row r="15" spans="1:9" ht="19.5" customHeight="1" x14ac:dyDescent="0.35">
      <c r="A15" s="96"/>
    </row>
    <row r="16" spans="1:9" ht="19.5" customHeight="1" x14ac:dyDescent="0.35">
      <c r="A16" s="463" t="s">
        <v>29</v>
      </c>
      <c r="B16" s="464"/>
      <c r="C16" s="464"/>
      <c r="D16" s="464"/>
      <c r="E16" s="464"/>
      <c r="F16" s="464"/>
      <c r="G16" s="464"/>
      <c r="H16" s="465"/>
    </row>
    <row r="17" spans="1:12" ht="20.25" customHeight="1" x14ac:dyDescent="0.3">
      <c r="A17" s="466" t="s">
        <v>45</v>
      </c>
      <c r="B17" s="466"/>
      <c r="C17" s="466"/>
      <c r="D17" s="466"/>
      <c r="E17" s="466"/>
      <c r="F17" s="466"/>
      <c r="G17" s="466"/>
      <c r="H17" s="466"/>
    </row>
    <row r="18" spans="1:12" ht="26.25" customHeight="1" x14ac:dyDescent="0.5">
      <c r="A18" s="98" t="s">
        <v>31</v>
      </c>
      <c r="B18" s="462" t="s">
        <v>5</v>
      </c>
      <c r="C18" s="462"/>
      <c r="D18" s="259"/>
      <c r="E18" s="99"/>
      <c r="F18" s="100"/>
      <c r="G18" s="100"/>
      <c r="H18" s="100"/>
    </row>
    <row r="19" spans="1:12" ht="26.25" customHeight="1" x14ac:dyDescent="0.5">
      <c r="A19" s="98" t="s">
        <v>32</v>
      </c>
      <c r="B19" s="101" t="s">
        <v>7</v>
      </c>
      <c r="C19" s="272">
        <v>29</v>
      </c>
      <c r="D19" s="100"/>
      <c r="E19" s="100"/>
      <c r="F19" s="100"/>
      <c r="G19" s="100"/>
      <c r="H19" s="100"/>
    </row>
    <row r="20" spans="1:12" ht="26.25" customHeight="1" x14ac:dyDescent="0.5">
      <c r="A20" s="98" t="s">
        <v>33</v>
      </c>
      <c r="B20" s="518" t="s">
        <v>135</v>
      </c>
      <c r="C20" s="518"/>
      <c r="D20" s="100"/>
      <c r="E20" s="100"/>
      <c r="F20" s="100"/>
      <c r="G20" s="100"/>
      <c r="H20" s="100"/>
    </row>
    <row r="21" spans="1:12" ht="26.25" customHeight="1" x14ac:dyDescent="0.5">
      <c r="A21" s="98" t="s">
        <v>34</v>
      </c>
      <c r="B21" s="467" t="s">
        <v>132</v>
      </c>
      <c r="C21" s="467"/>
      <c r="D21" s="467"/>
      <c r="E21" s="467"/>
      <c r="F21" s="467"/>
      <c r="G21" s="467"/>
      <c r="H21" s="467"/>
      <c r="I21" s="102"/>
    </row>
    <row r="22" spans="1:12" ht="26.25" customHeight="1" x14ac:dyDescent="0.5">
      <c r="A22" s="98" t="s">
        <v>35</v>
      </c>
      <c r="B22" s="103" t="s">
        <v>11</v>
      </c>
      <c r="C22" s="100"/>
      <c r="D22" s="100"/>
      <c r="E22" s="100"/>
      <c r="F22" s="100"/>
      <c r="G22" s="100"/>
      <c r="H22" s="100"/>
    </row>
    <row r="23" spans="1:12" ht="26.25" customHeight="1" x14ac:dyDescent="0.5">
      <c r="A23" s="98" t="s">
        <v>36</v>
      </c>
      <c r="B23" s="103"/>
      <c r="C23" s="100"/>
      <c r="D23" s="100"/>
      <c r="E23" s="100"/>
      <c r="F23" s="100"/>
      <c r="G23" s="100"/>
      <c r="H23" s="100"/>
    </row>
    <row r="24" spans="1:12" ht="18" x14ac:dyDescent="0.35">
      <c r="A24" s="98"/>
      <c r="B24" s="104"/>
    </row>
    <row r="25" spans="1:12" ht="18" x14ac:dyDescent="0.35">
      <c r="A25" s="105" t="s">
        <v>1</v>
      </c>
      <c r="B25" s="104"/>
    </row>
    <row r="26" spans="1:12" ht="26.25" customHeight="1" x14ac:dyDescent="0.45">
      <c r="A26" s="106" t="s">
        <v>4</v>
      </c>
      <c r="B26" s="462" t="s">
        <v>123</v>
      </c>
      <c r="C26" s="462"/>
    </row>
    <row r="27" spans="1:12" ht="26.25" customHeight="1" x14ac:dyDescent="0.5">
      <c r="A27" s="107" t="s">
        <v>46</v>
      </c>
      <c r="B27" s="468" t="s">
        <v>125</v>
      </c>
      <c r="C27" s="468"/>
    </row>
    <row r="28" spans="1:12" ht="27" customHeight="1" x14ac:dyDescent="0.45">
      <c r="A28" s="107" t="s">
        <v>6</v>
      </c>
      <c r="B28" s="108">
        <v>99.65</v>
      </c>
    </row>
    <row r="29" spans="1:12" s="513" customFormat="1" ht="27" customHeight="1" x14ac:dyDescent="0.5">
      <c r="A29" s="107" t="s">
        <v>47</v>
      </c>
      <c r="B29" s="109">
        <v>0</v>
      </c>
      <c r="C29" s="469" t="s">
        <v>48</v>
      </c>
      <c r="D29" s="470"/>
      <c r="E29" s="470"/>
      <c r="F29" s="470"/>
      <c r="G29" s="471"/>
      <c r="H29" s="14"/>
      <c r="I29" s="110"/>
      <c r="J29" s="110"/>
    </row>
    <row r="30" spans="1:12" s="513" customFormat="1" ht="19.5" customHeight="1" x14ac:dyDescent="0.35">
      <c r="A30" s="107" t="s">
        <v>49</v>
      </c>
      <c r="B30" s="111">
        <f>B28-B29</f>
        <v>99.65</v>
      </c>
      <c r="C30" s="112"/>
      <c r="D30" s="112"/>
      <c r="E30" s="112"/>
      <c r="F30" s="112"/>
      <c r="G30" s="113"/>
      <c r="H30" s="14"/>
      <c r="I30" s="110"/>
      <c r="J30" s="110"/>
    </row>
    <row r="31" spans="1:12" s="513" customFormat="1" ht="27" customHeight="1" x14ac:dyDescent="0.45">
      <c r="A31" s="107" t="s">
        <v>50</v>
      </c>
      <c r="B31" s="114">
        <v>1</v>
      </c>
      <c r="C31" s="472" t="s">
        <v>51</v>
      </c>
      <c r="D31" s="473"/>
      <c r="E31" s="473"/>
      <c r="F31" s="473"/>
      <c r="G31" s="473"/>
      <c r="H31" s="474"/>
      <c r="I31" s="110"/>
      <c r="J31" s="110"/>
    </row>
    <row r="32" spans="1:12" s="513" customFormat="1" ht="27" customHeight="1" x14ac:dyDescent="0.45">
      <c r="A32" s="107" t="s">
        <v>52</v>
      </c>
      <c r="B32" s="114">
        <v>1</v>
      </c>
      <c r="C32" s="472" t="s">
        <v>53</v>
      </c>
      <c r="D32" s="473"/>
      <c r="E32" s="473"/>
      <c r="F32" s="473"/>
      <c r="G32" s="473"/>
      <c r="H32" s="474"/>
      <c r="I32" s="110"/>
      <c r="J32" s="115"/>
      <c r="K32" s="514"/>
      <c r="L32" s="515"/>
    </row>
    <row r="33" spans="1:12" s="513" customFormat="1" ht="17.25" customHeight="1" x14ac:dyDescent="0.35">
      <c r="A33" s="107"/>
      <c r="B33" s="116"/>
      <c r="C33" s="117"/>
      <c r="D33" s="117"/>
      <c r="E33" s="117"/>
      <c r="F33" s="117"/>
      <c r="G33" s="117"/>
      <c r="H33" s="117"/>
      <c r="I33" s="110"/>
      <c r="J33" s="115"/>
      <c r="K33" s="514"/>
      <c r="L33" s="515"/>
    </row>
    <row r="34" spans="1:12" s="513" customFormat="1" ht="18" x14ac:dyDescent="0.35">
      <c r="A34" s="107" t="s">
        <v>54</v>
      </c>
      <c r="B34" s="118">
        <f>B31/B32</f>
        <v>1</v>
      </c>
      <c r="C34" s="97" t="s">
        <v>55</v>
      </c>
      <c r="D34" s="97"/>
      <c r="E34" s="97"/>
      <c r="F34" s="97"/>
      <c r="G34" s="97"/>
      <c r="I34" s="110"/>
      <c r="J34" s="115"/>
      <c r="K34" s="514"/>
      <c r="L34" s="515"/>
    </row>
    <row r="35" spans="1:12" s="513" customFormat="1" ht="19.5" customHeight="1" thickBot="1" x14ac:dyDescent="0.4">
      <c r="A35" s="107"/>
      <c r="B35" s="111"/>
      <c r="G35" s="97"/>
      <c r="I35" s="110"/>
      <c r="J35" s="115"/>
      <c r="K35" s="514"/>
      <c r="L35" s="515"/>
    </row>
    <row r="36" spans="1:12" s="513" customFormat="1" ht="27" customHeight="1" thickBot="1" x14ac:dyDescent="0.5">
      <c r="A36" s="119" t="s">
        <v>56</v>
      </c>
      <c r="B36" s="532">
        <v>25</v>
      </c>
      <c r="C36" s="538"/>
      <c r="D36" s="539" t="s">
        <v>57</v>
      </c>
      <c r="E36" s="540"/>
      <c r="F36" s="541" t="s">
        <v>58</v>
      </c>
      <c r="G36" s="542"/>
      <c r="I36" s="519"/>
      <c r="J36" s="115"/>
      <c r="K36" s="514"/>
      <c r="L36" s="515"/>
    </row>
    <row r="37" spans="1:12" s="513" customFormat="1" ht="27" customHeight="1" thickBot="1" x14ac:dyDescent="0.5">
      <c r="A37" s="121" t="s">
        <v>59</v>
      </c>
      <c r="B37" s="122">
        <v>10</v>
      </c>
      <c r="C37" s="533" t="s">
        <v>60</v>
      </c>
      <c r="D37" s="534" t="s">
        <v>61</v>
      </c>
      <c r="E37" s="535" t="s">
        <v>62</v>
      </c>
      <c r="F37" s="536" t="s">
        <v>61</v>
      </c>
      <c r="G37" s="537" t="s">
        <v>62</v>
      </c>
      <c r="I37" s="520" t="s">
        <v>63</v>
      </c>
      <c r="J37" s="115"/>
      <c r="K37" s="514"/>
      <c r="L37" s="515"/>
    </row>
    <row r="38" spans="1:12" s="513" customFormat="1" ht="26.25" customHeight="1" x14ac:dyDescent="0.45">
      <c r="A38" s="121" t="s">
        <v>64</v>
      </c>
      <c r="B38" s="122">
        <v>50</v>
      </c>
      <c r="C38" s="127">
        <v>1</v>
      </c>
      <c r="D38" s="305">
        <v>129551375</v>
      </c>
      <c r="E38" s="128">
        <f>IF(ISBLANK(D38),"-",$D$48/$D$45*D38)</f>
        <v>126897410.82563989</v>
      </c>
      <c r="F38" s="524">
        <v>133260156</v>
      </c>
      <c r="G38" s="525">
        <f>IF(ISBLANK(F38),"-",$D$48/$F$45*F38)</f>
        <v>129518842.34044337</v>
      </c>
      <c r="I38" s="521"/>
      <c r="J38" s="115"/>
      <c r="K38" s="514"/>
      <c r="L38" s="515"/>
    </row>
    <row r="39" spans="1:12" s="513" customFormat="1" ht="26.25" customHeight="1" x14ac:dyDescent="0.45">
      <c r="A39" s="121" t="s">
        <v>65</v>
      </c>
      <c r="B39" s="122">
        <v>1</v>
      </c>
      <c r="C39" s="131">
        <v>2</v>
      </c>
      <c r="D39" s="310">
        <v>129546709</v>
      </c>
      <c r="E39" s="133">
        <f>IF(ISBLANK(D39),"-",$D$48/$D$45*D39)</f>
        <v>126892840.41240488</v>
      </c>
      <c r="F39" s="526">
        <v>133790103</v>
      </c>
      <c r="G39" s="527">
        <f>IF(ISBLANK(F39),"-",$D$48/$F$45*F39)</f>
        <v>130033910.94010635</v>
      </c>
      <c r="I39" s="522">
        <f>ABS((F43/D43*D42)-F42)/D42</f>
        <v>2.3613431960707823E-2</v>
      </c>
      <c r="J39" s="115"/>
      <c r="K39" s="514"/>
      <c r="L39" s="515"/>
    </row>
    <row r="40" spans="1:12" ht="26.25" customHeight="1" x14ac:dyDescent="0.45">
      <c r="A40" s="121" t="s">
        <v>66</v>
      </c>
      <c r="B40" s="122">
        <v>1</v>
      </c>
      <c r="C40" s="131">
        <v>3</v>
      </c>
      <c r="D40" s="310">
        <v>129319131</v>
      </c>
      <c r="E40" s="133">
        <f>IF(ISBLANK(D40),"-",$D$48/$D$45*D40)</f>
        <v>126669924.53088006</v>
      </c>
      <c r="F40" s="526">
        <v>133571848</v>
      </c>
      <c r="G40" s="527">
        <f>IF(ISBLANK(F40),"-",$D$48/$F$45*F40)</f>
        <v>129821783.5061942</v>
      </c>
      <c r="I40" s="479"/>
      <c r="J40" s="115"/>
      <c r="K40" s="514"/>
      <c r="L40" s="516"/>
    </row>
    <row r="41" spans="1:12" ht="27" customHeight="1" x14ac:dyDescent="0.45">
      <c r="A41" s="121" t="s">
        <v>67</v>
      </c>
      <c r="B41" s="122">
        <v>1</v>
      </c>
      <c r="C41" s="136">
        <v>4</v>
      </c>
      <c r="D41" s="137"/>
      <c r="E41" s="138" t="str">
        <f>IF(ISBLANK(D41),"-",$D$48/$D$45*D41)</f>
        <v>-</v>
      </c>
      <c r="F41" s="528"/>
      <c r="G41" s="529" t="str">
        <f>IF(ISBLANK(F41),"-",$D$48/$F$45*F41)</f>
        <v>-</v>
      </c>
      <c r="I41" s="140"/>
      <c r="J41" s="115"/>
      <c r="K41" s="514"/>
      <c r="L41" s="516"/>
    </row>
    <row r="42" spans="1:12" ht="27" customHeight="1" x14ac:dyDescent="0.45">
      <c r="A42" s="121" t="s">
        <v>68</v>
      </c>
      <c r="B42" s="122">
        <v>1</v>
      </c>
      <c r="C42" s="141" t="s">
        <v>69</v>
      </c>
      <c r="D42" s="142">
        <f>AVERAGE(D38:D41)</f>
        <v>129472405</v>
      </c>
      <c r="E42" s="143">
        <f>AVERAGE(E38:E41)</f>
        <v>126820058.58964162</v>
      </c>
      <c r="F42" s="530">
        <f>AVERAGE(F38:F41)</f>
        <v>133540702.33333333</v>
      </c>
      <c r="G42" s="531">
        <f>AVERAGE(G38:G41)</f>
        <v>129791512.26224796</v>
      </c>
      <c r="H42" s="144"/>
    </row>
    <row r="43" spans="1:12" ht="26.25" customHeight="1" x14ac:dyDescent="0.45">
      <c r="A43" s="121" t="s">
        <v>70</v>
      </c>
      <c r="B43" s="122">
        <v>1</v>
      </c>
      <c r="C43" s="145" t="s">
        <v>71</v>
      </c>
      <c r="D43" s="146">
        <v>20.49</v>
      </c>
      <c r="E43" s="135"/>
      <c r="F43" s="523">
        <v>20.65</v>
      </c>
      <c r="H43" s="144"/>
    </row>
    <row r="44" spans="1:12" ht="26.25" customHeight="1" x14ac:dyDescent="0.45">
      <c r="A44" s="121" t="s">
        <v>72</v>
      </c>
      <c r="B44" s="122">
        <v>1</v>
      </c>
      <c r="C44" s="147" t="s">
        <v>73</v>
      </c>
      <c r="D44" s="148">
        <f>D43*$B$34</f>
        <v>20.49</v>
      </c>
      <c r="E44" s="149"/>
      <c r="F44" s="148">
        <f>F43*$B$34</f>
        <v>20.65</v>
      </c>
      <c r="H44" s="144"/>
    </row>
    <row r="45" spans="1:12" ht="19.5" customHeight="1" x14ac:dyDescent="0.35">
      <c r="A45" s="121" t="s">
        <v>74</v>
      </c>
      <c r="B45" s="150">
        <f>(B44/B43)*(B42/B41)*(B40/B39)*(B38/B37)*B36</f>
        <v>125</v>
      </c>
      <c r="C45" s="147" t="s">
        <v>75</v>
      </c>
      <c r="D45" s="151">
        <f>D44*$B$30/100</f>
        <v>20.418284999999997</v>
      </c>
      <c r="E45" s="152"/>
      <c r="F45" s="151">
        <f>F44*$B$30/100</f>
        <v>20.577725000000001</v>
      </c>
      <c r="H45" s="144"/>
    </row>
    <row r="46" spans="1:12" ht="19.5" customHeight="1" x14ac:dyDescent="0.35">
      <c r="A46" s="480" t="s">
        <v>76</v>
      </c>
      <c r="B46" s="481"/>
      <c r="C46" s="147" t="s">
        <v>77</v>
      </c>
      <c r="D46" s="153">
        <f>D45/$B$45</f>
        <v>0.16334627999999998</v>
      </c>
      <c r="E46" s="154"/>
      <c r="F46" s="155">
        <f>F45/$B$45</f>
        <v>0.16462180000000001</v>
      </c>
      <c r="H46" s="144"/>
    </row>
    <row r="47" spans="1:12" ht="27" customHeight="1" x14ac:dyDescent="0.45">
      <c r="A47" s="482"/>
      <c r="B47" s="483"/>
      <c r="C47" s="156" t="s">
        <v>78</v>
      </c>
      <c r="D47" s="157">
        <f>800/200*2/50</f>
        <v>0.16</v>
      </c>
      <c r="E47" s="158"/>
      <c r="F47" s="154"/>
      <c r="H47" s="144"/>
    </row>
    <row r="48" spans="1:12" ht="18" x14ac:dyDescent="0.35">
      <c r="C48" s="159" t="s">
        <v>79</v>
      </c>
      <c r="D48" s="151">
        <f>D47*$B$45</f>
        <v>20</v>
      </c>
      <c r="F48" s="160"/>
      <c r="H48" s="144"/>
    </row>
    <row r="49" spans="1:12" ht="19.5" customHeight="1" x14ac:dyDescent="0.35">
      <c r="C49" s="161" t="s">
        <v>80</v>
      </c>
      <c r="D49" s="162">
        <f>D48/B34</f>
        <v>20</v>
      </c>
      <c r="F49" s="160"/>
      <c r="H49" s="144"/>
    </row>
    <row r="50" spans="1:12" ht="18" x14ac:dyDescent="0.35">
      <c r="C50" s="119" t="s">
        <v>81</v>
      </c>
      <c r="D50" s="163">
        <f>AVERAGE(E38:E41,G38:G41)</f>
        <v>128305785.42594481</v>
      </c>
      <c r="F50" s="164"/>
      <c r="H50" s="144"/>
    </row>
    <row r="51" spans="1:12" ht="18" x14ac:dyDescent="0.35">
      <c r="C51" s="121" t="s">
        <v>82</v>
      </c>
      <c r="D51" s="165">
        <f>STDEV(E38:E41,G38:G41)/D50</f>
        <v>1.2764915247168614E-2</v>
      </c>
      <c r="F51" s="164"/>
      <c r="H51" s="144"/>
    </row>
    <row r="52" spans="1:12" ht="19.5" customHeight="1" x14ac:dyDescent="0.35">
      <c r="C52" s="166" t="s">
        <v>19</v>
      </c>
      <c r="D52" s="167">
        <f>COUNT(E38:E41,G38:G41)</f>
        <v>6</v>
      </c>
      <c r="F52" s="164"/>
    </row>
    <row r="54" spans="1:12" ht="18" x14ac:dyDescent="0.35">
      <c r="A54" s="168" t="s">
        <v>1</v>
      </c>
      <c r="B54" s="169" t="s">
        <v>83</v>
      </c>
    </row>
    <row r="55" spans="1:12" ht="18" x14ac:dyDescent="0.35">
      <c r="A55" s="97" t="s">
        <v>84</v>
      </c>
      <c r="B55" s="170" t="str">
        <f>B21</f>
        <v>Sulphamethoxazole 800 mg and Trimethoprim 160 mg per tablet</v>
      </c>
    </row>
    <row r="56" spans="1:12" ht="26.25" customHeight="1" x14ac:dyDescent="0.45">
      <c r="A56" s="171" t="s">
        <v>85</v>
      </c>
      <c r="B56" s="172">
        <v>800</v>
      </c>
      <c r="C56" s="97" t="str">
        <f>B20</f>
        <v xml:space="preserve">Each tablet contains Sulphamethoxazole 800 mg </v>
      </c>
      <c r="H56" s="173"/>
    </row>
    <row r="57" spans="1:12" ht="18" x14ac:dyDescent="0.35">
      <c r="A57" s="170" t="s">
        <v>86</v>
      </c>
      <c r="B57" s="260">
        <f>Uniformity!C46</f>
        <v>1041.2015000000001</v>
      </c>
      <c r="H57" s="173"/>
    </row>
    <row r="58" spans="1:12" ht="19.5" customHeight="1" x14ac:dyDescent="0.35">
      <c r="H58" s="173"/>
    </row>
    <row r="59" spans="1:12" s="513" customFormat="1" ht="27" customHeight="1" x14ac:dyDescent="0.45">
      <c r="A59" s="119" t="s">
        <v>87</v>
      </c>
      <c r="B59" s="120">
        <v>200</v>
      </c>
      <c r="C59" s="97"/>
      <c r="D59" s="174" t="s">
        <v>88</v>
      </c>
      <c r="E59" s="175" t="s">
        <v>60</v>
      </c>
      <c r="F59" s="175" t="s">
        <v>61</v>
      </c>
      <c r="G59" s="175" t="s">
        <v>89</v>
      </c>
      <c r="H59" s="123" t="s">
        <v>90</v>
      </c>
      <c r="I59" s="14"/>
      <c r="J59" s="110"/>
    </row>
    <row r="60" spans="1:12" s="513" customFormat="1" ht="26.25" customHeight="1" x14ac:dyDescent="0.45">
      <c r="A60" s="121" t="s">
        <v>91</v>
      </c>
      <c r="B60" s="122">
        <v>2</v>
      </c>
      <c r="C60" s="484" t="s">
        <v>92</v>
      </c>
      <c r="D60" s="487">
        <v>1029.01</v>
      </c>
      <c r="E60" s="176">
        <v>1</v>
      </c>
      <c r="F60" s="177">
        <v>128030372</v>
      </c>
      <c r="G60" s="261">
        <f>IF(ISBLANK(F60),"-",(F60/$D$50*$D$47*$B$68)*($B$57/$D$60))</f>
        <v>807.74065942092557</v>
      </c>
      <c r="H60" s="178">
        <f>IF(ISBLANK(F60),"-",G60/$B$56)</f>
        <v>1.009675824276157</v>
      </c>
      <c r="I60" s="14"/>
      <c r="J60" s="110"/>
    </row>
    <row r="61" spans="1:12" s="513" customFormat="1" ht="26.25" customHeight="1" x14ac:dyDescent="0.45">
      <c r="A61" s="121" t="s">
        <v>93</v>
      </c>
      <c r="B61" s="122">
        <v>50</v>
      </c>
      <c r="C61" s="485"/>
      <c r="D61" s="488"/>
      <c r="E61" s="179">
        <v>2</v>
      </c>
      <c r="F61" s="132">
        <v>128153993</v>
      </c>
      <c r="G61" s="262">
        <f>IF(ISBLANK(F61),"-",(F61/$D$50*$D$47*$B$68)*($B$57/$D$60))</f>
        <v>808.52058145425576</v>
      </c>
      <c r="H61" s="180">
        <f t="shared" ref="H60:H71" si="0">IF(ISBLANK(F61),"-",G61/$B$56)</f>
        <v>1.0106507268178198</v>
      </c>
      <c r="I61" s="14"/>
      <c r="J61" s="110"/>
    </row>
    <row r="62" spans="1:12" s="513" customFormat="1" ht="26.25" customHeight="1" x14ac:dyDescent="0.45">
      <c r="A62" s="121" t="s">
        <v>94</v>
      </c>
      <c r="B62" s="122">
        <v>1</v>
      </c>
      <c r="C62" s="485"/>
      <c r="D62" s="488"/>
      <c r="E62" s="179">
        <v>3</v>
      </c>
      <c r="F62" s="181">
        <v>128172549</v>
      </c>
      <c r="G62" s="262">
        <f>IF(ISBLANK(F62),"-",(F62/$D$50*$D$47*$B$68)*($B$57/$D$60))</f>
        <v>808.63765082960856</v>
      </c>
      <c r="H62" s="180">
        <f t="shared" si="0"/>
        <v>1.0107970635370107</v>
      </c>
      <c r="I62" s="14"/>
      <c r="J62" s="110"/>
    </row>
    <row r="63" spans="1:12" ht="27" customHeight="1" x14ac:dyDescent="0.45">
      <c r="A63" s="121" t="s">
        <v>95</v>
      </c>
      <c r="B63" s="122">
        <v>1</v>
      </c>
      <c r="C63" s="486"/>
      <c r="D63" s="489"/>
      <c r="E63" s="182">
        <v>4</v>
      </c>
      <c r="F63" s="183"/>
      <c r="G63" s="262" t="str">
        <f>IF(ISBLANK(F63),"-",(F63/$D$50*$D$47*$B$68)*($B$57/$D$60))</f>
        <v>-</v>
      </c>
      <c r="H63" s="180" t="str">
        <f t="shared" si="0"/>
        <v>-</v>
      </c>
      <c r="L63" s="513"/>
    </row>
    <row r="64" spans="1:12" ht="26.25" customHeight="1" x14ac:dyDescent="0.45">
      <c r="A64" s="121" t="s">
        <v>96</v>
      </c>
      <c r="B64" s="122">
        <v>1</v>
      </c>
      <c r="C64" s="484" t="s">
        <v>97</v>
      </c>
      <c r="D64" s="487">
        <v>1040.8900000000001</v>
      </c>
      <c r="E64" s="176">
        <v>1</v>
      </c>
      <c r="F64" s="177">
        <v>129974101</v>
      </c>
      <c r="G64" s="263">
        <f>IF(ISBLANK(F64),"-",(F64/$D$50*$D$47*$B$68)*($B$57/$D$64))</f>
        <v>810.64464567828236</v>
      </c>
      <c r="H64" s="184">
        <f t="shared" si="0"/>
        <v>1.0133058070978529</v>
      </c>
      <c r="L64" s="513"/>
    </row>
    <row r="65" spans="1:12" ht="26.25" customHeight="1" x14ac:dyDescent="0.45">
      <c r="A65" s="121" t="s">
        <v>98</v>
      </c>
      <c r="B65" s="122">
        <v>1</v>
      </c>
      <c r="C65" s="485"/>
      <c r="D65" s="488"/>
      <c r="E65" s="179">
        <v>2</v>
      </c>
      <c r="F65" s="132">
        <v>129858426</v>
      </c>
      <c r="G65" s="264">
        <f>IF(ISBLANK(F65),"-",(F65/$D$50*$D$47*$B$68)*($B$57/$D$64))</f>
        <v>809.92318410503526</v>
      </c>
      <c r="H65" s="185">
        <f t="shared" si="0"/>
        <v>1.0124039801312941</v>
      </c>
      <c r="L65" s="513"/>
    </row>
    <row r="66" spans="1:12" ht="26.25" customHeight="1" x14ac:dyDescent="0.45">
      <c r="A66" s="121" t="s">
        <v>99</v>
      </c>
      <c r="B66" s="122">
        <v>1</v>
      </c>
      <c r="C66" s="485"/>
      <c r="D66" s="488"/>
      <c r="E66" s="179">
        <v>3</v>
      </c>
      <c r="F66" s="132">
        <v>130042001</v>
      </c>
      <c r="G66" s="264">
        <f>IF(ISBLANK(F66),"-",(F66/$D$50*$D$47*$B$68)*($B$57/$D$64))</f>
        <v>811.06813598148926</v>
      </c>
      <c r="H66" s="185">
        <f t="shared" si="0"/>
        <v>1.0138351699768615</v>
      </c>
      <c r="L66" s="513"/>
    </row>
    <row r="67" spans="1:12" ht="27" customHeight="1" x14ac:dyDescent="0.45">
      <c r="A67" s="121" t="s">
        <v>100</v>
      </c>
      <c r="B67" s="122">
        <v>1</v>
      </c>
      <c r="C67" s="486"/>
      <c r="D67" s="489"/>
      <c r="E67" s="182">
        <v>4</v>
      </c>
      <c r="F67" s="183"/>
      <c r="G67" s="265" t="str">
        <f>IF(ISBLANK(F67),"-",(F67/$D$50*$D$47*$B$68)*($B$57/$D$64))</f>
        <v>-</v>
      </c>
      <c r="H67" s="186" t="str">
        <f t="shared" si="0"/>
        <v>-</v>
      </c>
    </row>
    <row r="68" spans="1:12" ht="26.25" customHeight="1" x14ac:dyDescent="0.5">
      <c r="A68" s="121" t="s">
        <v>101</v>
      </c>
      <c r="B68" s="187">
        <f>(B67/B66)*(B65/B64)*(B63/B62)*(B61/B60)*B59</f>
        <v>5000</v>
      </c>
      <c r="C68" s="484" t="s">
        <v>102</v>
      </c>
      <c r="D68" s="487">
        <v>1038.6099999999999</v>
      </c>
      <c r="E68" s="176">
        <v>1</v>
      </c>
      <c r="F68" s="177">
        <v>127403994</v>
      </c>
      <c r="G68" s="263">
        <f>IF(ISBLANK(F68),"-",(F68/$D$50*$D$47*$B$68)*($B$57/$D$68))</f>
        <v>796.35933581854238</v>
      </c>
      <c r="H68" s="180">
        <f t="shared" si="0"/>
        <v>0.99544916977317799</v>
      </c>
    </row>
    <row r="69" spans="1:12" ht="27" customHeight="1" x14ac:dyDescent="0.5">
      <c r="A69" s="166" t="s">
        <v>103</v>
      </c>
      <c r="B69" s="188">
        <f>(D47*B68)/B56*B57</f>
        <v>1041.2015000000001</v>
      </c>
      <c r="C69" s="485"/>
      <c r="D69" s="488"/>
      <c r="E69" s="179">
        <v>2</v>
      </c>
      <c r="F69" s="132">
        <v>127266260</v>
      </c>
      <c r="G69" s="264">
        <f>IF(ISBLANK(F69),"-",(F69/$D$50*$D$47*$B$68)*($B$57/$D$68))</f>
        <v>795.49840710417527</v>
      </c>
      <c r="H69" s="180">
        <f t="shared" si="0"/>
        <v>0.99437300888021907</v>
      </c>
    </row>
    <row r="70" spans="1:12" ht="26.25" customHeight="1" x14ac:dyDescent="0.45">
      <c r="A70" s="497" t="s">
        <v>76</v>
      </c>
      <c r="B70" s="498"/>
      <c r="C70" s="485"/>
      <c r="D70" s="488"/>
      <c r="E70" s="179">
        <v>3</v>
      </c>
      <c r="F70" s="132">
        <v>127414838</v>
      </c>
      <c r="G70" s="264">
        <f>IF(ISBLANK(F70),"-",(F70/$D$50*$D$47*$B$68)*($B$57/$D$68))</f>
        <v>796.42711799998324</v>
      </c>
      <c r="H70" s="180">
        <f t="shared" si="0"/>
        <v>0.995533897499979</v>
      </c>
    </row>
    <row r="71" spans="1:12" ht="27" customHeight="1" x14ac:dyDescent="0.45">
      <c r="A71" s="499"/>
      <c r="B71" s="500"/>
      <c r="C71" s="496"/>
      <c r="D71" s="489"/>
      <c r="E71" s="182">
        <v>4</v>
      </c>
      <c r="F71" s="183"/>
      <c r="G71" s="265" t="str">
        <f>IF(ISBLANK(F71),"-",(F71/$D$50*$D$47*$B$68)*($B$57/$D$68))</f>
        <v>-</v>
      </c>
      <c r="H71" s="189" t="str">
        <f t="shared" si="0"/>
        <v>-</v>
      </c>
    </row>
    <row r="72" spans="1:12" ht="26.25" customHeight="1" x14ac:dyDescent="0.45">
      <c r="A72" s="190"/>
      <c r="B72" s="190"/>
      <c r="C72" s="190"/>
      <c r="D72" s="190"/>
      <c r="E72" s="190"/>
      <c r="F72" s="192" t="s">
        <v>69</v>
      </c>
      <c r="G72" s="270">
        <f>AVERAGE(G60:G71)</f>
        <v>804.97996871025532</v>
      </c>
      <c r="H72" s="193">
        <f>AVERAGE(H60:H71)</f>
        <v>1.0062249608878189</v>
      </c>
    </row>
    <row r="73" spans="1:12" ht="26.25" customHeight="1" x14ac:dyDescent="0.45">
      <c r="C73" s="190"/>
      <c r="D73" s="190"/>
      <c r="E73" s="190"/>
      <c r="F73" s="194" t="s">
        <v>82</v>
      </c>
      <c r="G73" s="266">
        <f>STDEV(G60:G71)/G72</f>
        <v>8.3852131605077415E-3</v>
      </c>
      <c r="H73" s="266">
        <f>STDEV(H60:H71)/H72</f>
        <v>8.3852131605077467E-3</v>
      </c>
    </row>
    <row r="74" spans="1:12" ht="27" customHeight="1" x14ac:dyDescent="0.45">
      <c r="A74" s="190"/>
      <c r="B74" s="190"/>
      <c r="C74" s="191"/>
      <c r="D74" s="191"/>
      <c r="E74" s="195"/>
      <c r="F74" s="196" t="s">
        <v>19</v>
      </c>
      <c r="G74" s="197">
        <f>COUNT(G60:G71)</f>
        <v>9</v>
      </c>
      <c r="H74" s="197">
        <f>COUNT(H60:H71)</f>
        <v>9</v>
      </c>
    </row>
    <row r="76" spans="1:12" ht="26.25" customHeight="1" x14ac:dyDescent="0.45">
      <c r="A76" s="106" t="s">
        <v>104</v>
      </c>
      <c r="B76" s="198" t="s">
        <v>105</v>
      </c>
      <c r="C76" s="492" t="str">
        <f>B26</f>
        <v>Sulphamethoxazole</v>
      </c>
      <c r="D76" s="492"/>
      <c r="E76" s="199" t="s">
        <v>106</v>
      </c>
      <c r="F76" s="199"/>
      <c r="G76" s="200">
        <f>H72</f>
        <v>1.0062249608878189</v>
      </c>
      <c r="H76" s="201"/>
    </row>
    <row r="77" spans="1:12" ht="18" x14ac:dyDescent="0.35">
      <c r="A77" s="105" t="s">
        <v>107</v>
      </c>
      <c r="B77" s="105" t="s">
        <v>108</v>
      </c>
    </row>
    <row r="78" spans="1:12" ht="18" x14ac:dyDescent="0.35">
      <c r="A78" s="105"/>
      <c r="B78" s="105"/>
    </row>
    <row r="79" spans="1:12" ht="26.25" customHeight="1" x14ac:dyDescent="0.45">
      <c r="A79" s="106" t="s">
        <v>4</v>
      </c>
      <c r="B79" s="478" t="str">
        <f>B26</f>
        <v>Sulphamethoxazole</v>
      </c>
      <c r="C79" s="478"/>
    </row>
    <row r="80" spans="1:12" ht="26.25" customHeight="1" x14ac:dyDescent="0.45">
      <c r="A80" s="107" t="s">
        <v>46</v>
      </c>
      <c r="B80" s="478" t="str">
        <f>B27</f>
        <v>S 12 4</v>
      </c>
      <c r="C80" s="478"/>
    </row>
    <row r="81" spans="1:10" ht="27" customHeight="1" x14ac:dyDescent="0.45">
      <c r="A81" s="107" t="s">
        <v>6</v>
      </c>
      <c r="B81" s="202">
        <f>B28</f>
        <v>99.65</v>
      </c>
    </row>
    <row r="82" spans="1:10" s="513" customFormat="1" ht="27" customHeight="1" x14ac:dyDescent="0.5">
      <c r="A82" s="107" t="s">
        <v>47</v>
      </c>
      <c r="B82" s="109">
        <v>0</v>
      </c>
      <c r="C82" s="469" t="s">
        <v>48</v>
      </c>
      <c r="D82" s="470"/>
      <c r="E82" s="470"/>
      <c r="F82" s="470"/>
      <c r="G82" s="471"/>
      <c r="H82" s="14"/>
      <c r="I82" s="110"/>
      <c r="J82" s="110"/>
    </row>
    <row r="83" spans="1:10" s="513" customFormat="1" ht="19.5" customHeight="1" x14ac:dyDescent="0.35">
      <c r="A83" s="107" t="s">
        <v>49</v>
      </c>
      <c r="B83" s="111">
        <f>B81-B82</f>
        <v>99.65</v>
      </c>
      <c r="C83" s="112"/>
      <c r="D83" s="112"/>
      <c r="E83" s="112"/>
      <c r="F83" s="112"/>
      <c r="G83" s="113"/>
      <c r="H83" s="14"/>
      <c r="I83" s="110"/>
      <c r="J83" s="110"/>
    </row>
    <row r="84" spans="1:10" s="513" customFormat="1" ht="27" customHeight="1" x14ac:dyDescent="0.45">
      <c r="A84" s="107" t="s">
        <v>50</v>
      </c>
      <c r="B84" s="114">
        <v>1</v>
      </c>
      <c r="C84" s="472" t="s">
        <v>109</v>
      </c>
      <c r="D84" s="473"/>
      <c r="E84" s="473"/>
      <c r="F84" s="473"/>
      <c r="G84" s="473"/>
      <c r="H84" s="474"/>
      <c r="I84" s="110"/>
      <c r="J84" s="110"/>
    </row>
    <row r="85" spans="1:10" s="513" customFormat="1" ht="27" customHeight="1" x14ac:dyDescent="0.45">
      <c r="A85" s="107" t="s">
        <v>52</v>
      </c>
      <c r="B85" s="114">
        <v>1</v>
      </c>
      <c r="C85" s="472" t="s">
        <v>110</v>
      </c>
      <c r="D85" s="473"/>
      <c r="E85" s="473"/>
      <c r="F85" s="473"/>
      <c r="G85" s="473"/>
      <c r="H85" s="474"/>
      <c r="I85" s="110"/>
      <c r="J85" s="110"/>
    </row>
    <row r="86" spans="1:10" s="513" customFormat="1" ht="18" x14ac:dyDescent="0.35">
      <c r="A86" s="107"/>
      <c r="B86" s="116"/>
      <c r="C86" s="117"/>
      <c r="D86" s="117"/>
      <c r="E86" s="117"/>
      <c r="F86" s="117"/>
      <c r="G86" s="117"/>
      <c r="H86" s="117"/>
      <c r="I86" s="110"/>
      <c r="J86" s="110"/>
    </row>
    <row r="87" spans="1:10" s="513" customFormat="1" ht="18" x14ac:dyDescent="0.35">
      <c r="A87" s="107" t="s">
        <v>54</v>
      </c>
      <c r="B87" s="118">
        <f>B84/B85</f>
        <v>1</v>
      </c>
      <c r="C87" s="97" t="s">
        <v>55</v>
      </c>
      <c r="D87" s="97"/>
      <c r="E87" s="97"/>
      <c r="F87" s="97"/>
      <c r="G87" s="97"/>
      <c r="I87" s="110"/>
      <c r="J87" s="110"/>
    </row>
    <row r="88" spans="1:10" ht="19.5" customHeight="1" x14ac:dyDescent="0.35">
      <c r="A88" s="105"/>
      <c r="B88" s="105"/>
    </row>
    <row r="89" spans="1:10" ht="27" customHeight="1" x14ac:dyDescent="0.45">
      <c r="A89" s="119" t="s">
        <v>56</v>
      </c>
      <c r="B89" s="120">
        <v>25</v>
      </c>
      <c r="D89" s="203" t="s">
        <v>57</v>
      </c>
      <c r="E89" s="204"/>
      <c r="F89" s="475" t="s">
        <v>58</v>
      </c>
      <c r="G89" s="477"/>
    </row>
    <row r="90" spans="1:10" ht="27" customHeight="1" x14ac:dyDescent="0.45">
      <c r="A90" s="121" t="s">
        <v>59</v>
      </c>
      <c r="B90" s="122">
        <v>10</v>
      </c>
      <c r="C90" s="205" t="s">
        <v>60</v>
      </c>
      <c r="D90" s="124" t="s">
        <v>61</v>
      </c>
      <c r="E90" s="125" t="s">
        <v>62</v>
      </c>
      <c r="F90" s="124" t="s">
        <v>61</v>
      </c>
      <c r="G90" s="206" t="s">
        <v>62</v>
      </c>
      <c r="I90" s="126" t="s">
        <v>63</v>
      </c>
    </row>
    <row r="91" spans="1:10" ht="26.25" customHeight="1" x14ac:dyDescent="0.45">
      <c r="A91" s="121" t="s">
        <v>64</v>
      </c>
      <c r="B91" s="122">
        <v>50</v>
      </c>
      <c r="C91" s="207">
        <v>1</v>
      </c>
      <c r="D91" s="305">
        <v>129338659</v>
      </c>
      <c r="E91" s="128">
        <f>IF(ISBLANK(D91),"-",$D$101/$D$98*D91)</f>
        <v>140765613.87120527</v>
      </c>
      <c r="F91" s="305">
        <v>133112355</v>
      </c>
      <c r="G91" s="129">
        <f>IF(ISBLANK(F91),"-",$D$101/$F$98*F91)</f>
        <v>143750212.10232586</v>
      </c>
      <c r="I91" s="130"/>
    </row>
    <row r="92" spans="1:10" ht="26.25" customHeight="1" x14ac:dyDescent="0.45">
      <c r="A92" s="121" t="s">
        <v>65</v>
      </c>
      <c r="B92" s="122">
        <v>1</v>
      </c>
      <c r="C92" s="191">
        <v>2</v>
      </c>
      <c r="D92" s="310">
        <v>129263949</v>
      </c>
      <c r="E92" s="133">
        <f>IF(ISBLANK(D92),"-",$D$101/$D$98*D92)</f>
        <v>140684303.3095091</v>
      </c>
      <c r="F92" s="310">
        <v>133179663</v>
      </c>
      <c r="G92" s="134">
        <f>IF(ISBLANK(F92),"-",$D$101/$F$98*F92)</f>
        <v>143822899.11380711</v>
      </c>
      <c r="I92" s="479">
        <f>ABS((F96/D96*D95)-F95)/D95</f>
        <v>2.2197065576302657E-2</v>
      </c>
    </row>
    <row r="93" spans="1:10" ht="26.25" customHeight="1" x14ac:dyDescent="0.45">
      <c r="A93" s="121" t="s">
        <v>66</v>
      </c>
      <c r="B93" s="122">
        <v>1</v>
      </c>
      <c r="C93" s="191">
        <v>3</v>
      </c>
      <c r="D93" s="310">
        <v>129295976</v>
      </c>
      <c r="E93" s="133">
        <f>IF(ISBLANK(D93),"-",$D$101/$D$98*D93)</f>
        <v>140719159.86632136</v>
      </c>
      <c r="F93" s="310">
        <v>133245755</v>
      </c>
      <c r="G93" s="134">
        <f>IF(ISBLANK(F93),"-",$D$101/$F$98*F93)</f>
        <v>143894272.94697434</v>
      </c>
      <c r="I93" s="479"/>
    </row>
    <row r="94" spans="1:10" ht="27" customHeight="1" x14ac:dyDescent="0.45">
      <c r="A94" s="121" t="s">
        <v>67</v>
      </c>
      <c r="B94" s="122">
        <v>1</v>
      </c>
      <c r="C94" s="208">
        <v>4</v>
      </c>
      <c r="D94" s="137"/>
      <c r="E94" s="138" t="str">
        <f>IF(ISBLANK(D94),"-",$D$101/$D$98*D94)</f>
        <v>-</v>
      </c>
      <c r="F94" s="209"/>
      <c r="G94" s="139" t="str">
        <f>IF(ISBLANK(F94),"-",$D$101/$F$98*F94)</f>
        <v>-</v>
      </c>
      <c r="I94" s="140"/>
    </row>
    <row r="95" spans="1:10" ht="27" customHeight="1" x14ac:dyDescent="0.45">
      <c r="A95" s="121" t="s">
        <v>68</v>
      </c>
      <c r="B95" s="122">
        <v>1</v>
      </c>
      <c r="C95" s="210" t="s">
        <v>69</v>
      </c>
      <c r="D95" s="211">
        <f>AVERAGE(D91:D94)</f>
        <v>129299528</v>
      </c>
      <c r="E95" s="143">
        <f>AVERAGE(E91:E94)</f>
        <v>140723025.68234524</v>
      </c>
      <c r="F95" s="212">
        <f>AVERAGE(F91:F94)</f>
        <v>133179257.66666667</v>
      </c>
      <c r="G95" s="213">
        <f>AVERAGE(G91:G94)</f>
        <v>143822461.38770244</v>
      </c>
    </row>
    <row r="96" spans="1:10" ht="26.25" customHeight="1" x14ac:dyDescent="0.45">
      <c r="A96" s="121" t="s">
        <v>70</v>
      </c>
      <c r="B96" s="108">
        <v>1</v>
      </c>
      <c r="C96" s="214" t="s">
        <v>111</v>
      </c>
      <c r="D96" s="215">
        <v>20.49</v>
      </c>
      <c r="E96" s="135"/>
      <c r="F96" s="146">
        <v>20.65</v>
      </c>
    </row>
    <row r="97" spans="1:8" ht="26.25" customHeight="1" x14ac:dyDescent="0.45">
      <c r="A97" s="121" t="s">
        <v>72</v>
      </c>
      <c r="B97" s="108">
        <v>1</v>
      </c>
      <c r="C97" s="216" t="s">
        <v>112</v>
      </c>
      <c r="D97" s="217">
        <f>D96*$B$87</f>
        <v>20.49</v>
      </c>
      <c r="E97" s="149"/>
      <c r="F97" s="148">
        <f>F96*$B$87</f>
        <v>20.65</v>
      </c>
    </row>
    <row r="98" spans="1:8" ht="19.5" customHeight="1" x14ac:dyDescent="0.35">
      <c r="A98" s="121" t="s">
        <v>74</v>
      </c>
      <c r="B98" s="218">
        <f>(B97/B96)*(B95/B94)*(B93/B92)*(B91/B90)*B89</f>
        <v>125</v>
      </c>
      <c r="C98" s="216" t="s">
        <v>113</v>
      </c>
      <c r="D98" s="219">
        <f>D97*$B$83/100</f>
        <v>20.418284999999997</v>
      </c>
      <c r="E98" s="152"/>
      <c r="F98" s="151">
        <f>F97*$B$83/100</f>
        <v>20.577725000000001</v>
      </c>
    </row>
    <row r="99" spans="1:8" ht="19.5" customHeight="1" x14ac:dyDescent="0.35">
      <c r="A99" s="480" t="s">
        <v>76</v>
      </c>
      <c r="B99" s="494"/>
      <c r="C99" s="216" t="s">
        <v>114</v>
      </c>
      <c r="D99" s="220">
        <f>D98/$B$98</f>
        <v>0.16334627999999998</v>
      </c>
      <c r="E99" s="152"/>
      <c r="F99" s="155">
        <f>F98/$B$98</f>
        <v>0.16462180000000001</v>
      </c>
      <c r="G99" s="221"/>
      <c r="H99" s="144"/>
    </row>
    <row r="100" spans="1:8" ht="19.5" customHeight="1" x14ac:dyDescent="0.35">
      <c r="A100" s="482"/>
      <c r="B100" s="495"/>
      <c r="C100" s="216" t="s">
        <v>78</v>
      </c>
      <c r="D100" s="222">
        <f>$B$56/$B$116</f>
        <v>0.17777777777777778</v>
      </c>
      <c r="F100" s="160"/>
      <c r="G100" s="223"/>
      <c r="H100" s="144"/>
    </row>
    <row r="101" spans="1:8" ht="18" x14ac:dyDescent="0.35">
      <c r="C101" s="216" t="s">
        <v>79</v>
      </c>
      <c r="D101" s="217">
        <f>D100*$B$98</f>
        <v>22.222222222222221</v>
      </c>
      <c r="F101" s="160"/>
      <c r="G101" s="221"/>
      <c r="H101" s="144"/>
    </row>
    <row r="102" spans="1:8" ht="19.5" customHeight="1" x14ac:dyDescent="0.35">
      <c r="C102" s="224" t="s">
        <v>80</v>
      </c>
      <c r="D102" s="225">
        <f>D101/B34</f>
        <v>22.222222222222221</v>
      </c>
      <c r="F102" s="164"/>
      <c r="G102" s="221"/>
      <c r="H102" s="144"/>
    </row>
    <row r="103" spans="1:8" ht="18" x14ac:dyDescent="0.35">
      <c r="C103" s="226" t="s">
        <v>115</v>
      </c>
      <c r="D103" s="227">
        <f>AVERAGE(E91:E94,G91:G94)</f>
        <v>142272743.53502384</v>
      </c>
      <c r="F103" s="164"/>
      <c r="G103" s="228"/>
      <c r="H103" s="144"/>
    </row>
    <row r="104" spans="1:8" ht="18" x14ac:dyDescent="0.35">
      <c r="C104" s="194" t="s">
        <v>82</v>
      </c>
      <c r="D104" s="229">
        <f>STDEV(E91:E94,G91:G94)/D103</f>
        <v>1.1937901307929938E-2</v>
      </c>
      <c r="F104" s="164"/>
      <c r="G104" s="221"/>
      <c r="H104" s="144"/>
    </row>
    <row r="105" spans="1:8" ht="19.5" customHeight="1" x14ac:dyDescent="0.35">
      <c r="C105" s="196" t="s">
        <v>19</v>
      </c>
      <c r="D105" s="230">
        <f>COUNT(E91:E94,G91:G94)</f>
        <v>6</v>
      </c>
      <c r="F105" s="164"/>
      <c r="G105" s="221"/>
      <c r="H105" s="144"/>
    </row>
    <row r="106" spans="1:8" ht="19.5" customHeight="1" x14ac:dyDescent="0.35">
      <c r="A106" s="168"/>
      <c r="B106" s="168"/>
      <c r="C106" s="168"/>
      <c r="D106" s="168"/>
      <c r="E106" s="168"/>
    </row>
    <row r="107" spans="1:8" ht="26.25" customHeight="1" x14ac:dyDescent="0.45">
      <c r="A107" s="119" t="s">
        <v>116</v>
      </c>
      <c r="B107" s="120">
        <v>900</v>
      </c>
      <c r="C107" s="231" t="s">
        <v>117</v>
      </c>
      <c r="D107" s="232" t="s">
        <v>61</v>
      </c>
      <c r="E107" s="233" t="s">
        <v>118</v>
      </c>
      <c r="F107" s="234" t="s">
        <v>119</v>
      </c>
    </row>
    <row r="108" spans="1:8" ht="26.25" customHeight="1" x14ac:dyDescent="0.45">
      <c r="A108" s="121" t="s">
        <v>120</v>
      </c>
      <c r="B108" s="122">
        <v>2</v>
      </c>
      <c r="C108" s="235">
        <v>1</v>
      </c>
      <c r="D108" s="236">
        <v>132931745</v>
      </c>
      <c r="E108" s="267">
        <f t="shared" ref="E108:E113" si="1">IF(ISBLANK(D108),"-",D108/$D$103*$D$100*$B$116)</f>
        <v>747.47554139785416</v>
      </c>
      <c r="F108" s="237">
        <f t="shared" ref="F108:F113" si="2">IF(ISBLANK(D108), "-", E108/$B$56)</f>
        <v>0.93434442674731766</v>
      </c>
    </row>
    <row r="109" spans="1:8" ht="26.25" customHeight="1" x14ac:dyDescent="0.45">
      <c r="A109" s="121" t="s">
        <v>93</v>
      </c>
      <c r="B109" s="122">
        <v>10</v>
      </c>
      <c r="C109" s="235">
        <v>2</v>
      </c>
      <c r="D109" s="236">
        <v>131497755</v>
      </c>
      <c r="E109" s="268">
        <f t="shared" si="1"/>
        <v>739.41221196808476</v>
      </c>
      <c r="F109" s="238">
        <f t="shared" si="2"/>
        <v>0.92426526496010597</v>
      </c>
    </row>
    <row r="110" spans="1:8" ht="26.25" customHeight="1" x14ac:dyDescent="0.45">
      <c r="A110" s="121" t="s">
        <v>94</v>
      </c>
      <c r="B110" s="122">
        <v>1</v>
      </c>
      <c r="C110" s="235">
        <v>3</v>
      </c>
      <c r="D110" s="236">
        <v>134374607</v>
      </c>
      <c r="E110" s="268">
        <f t="shared" si="1"/>
        <v>755.58875810626637</v>
      </c>
      <c r="F110" s="238">
        <f t="shared" si="2"/>
        <v>0.944485947632833</v>
      </c>
    </row>
    <row r="111" spans="1:8" ht="26.25" customHeight="1" x14ac:dyDescent="0.45">
      <c r="A111" s="121" t="s">
        <v>95</v>
      </c>
      <c r="B111" s="122">
        <v>1</v>
      </c>
      <c r="C111" s="235">
        <v>4</v>
      </c>
      <c r="D111" s="236">
        <v>132261223</v>
      </c>
      <c r="E111" s="268">
        <f t="shared" si="1"/>
        <v>743.70519448057598</v>
      </c>
      <c r="F111" s="238">
        <f t="shared" si="2"/>
        <v>0.92963149310072002</v>
      </c>
    </row>
    <row r="112" spans="1:8" ht="26.25" customHeight="1" x14ac:dyDescent="0.45">
      <c r="A112" s="121" t="s">
        <v>96</v>
      </c>
      <c r="B112" s="122">
        <v>1</v>
      </c>
      <c r="C112" s="235">
        <v>5</v>
      </c>
      <c r="D112" s="236">
        <v>134421876</v>
      </c>
      <c r="E112" s="268">
        <f t="shared" si="1"/>
        <v>755.85455181390432</v>
      </c>
      <c r="F112" s="238">
        <f t="shared" si="2"/>
        <v>0.94481818976738041</v>
      </c>
    </row>
    <row r="113" spans="1:9" ht="26.25" customHeight="1" x14ac:dyDescent="0.45">
      <c r="A113" s="121" t="s">
        <v>98</v>
      </c>
      <c r="B113" s="122">
        <v>1</v>
      </c>
      <c r="C113" s="239">
        <v>6</v>
      </c>
      <c r="D113" s="240">
        <v>133208730</v>
      </c>
      <c r="E113" s="269">
        <f t="shared" si="1"/>
        <v>749.03302875976374</v>
      </c>
      <c r="F113" s="241">
        <f t="shared" si="2"/>
        <v>0.93629128594970468</v>
      </c>
    </row>
    <row r="114" spans="1:9" ht="26.25" customHeight="1" x14ac:dyDescent="0.45">
      <c r="A114" s="121" t="s">
        <v>99</v>
      </c>
      <c r="B114" s="122">
        <v>1</v>
      </c>
      <c r="C114" s="235"/>
      <c r="D114" s="191"/>
      <c r="E114" s="96"/>
      <c r="F114" s="242"/>
    </row>
    <row r="115" spans="1:9" ht="26.25" customHeight="1" x14ac:dyDescent="0.45">
      <c r="A115" s="121" t="s">
        <v>100</v>
      </c>
      <c r="B115" s="122">
        <v>1</v>
      </c>
      <c r="C115" s="235"/>
      <c r="D115" s="243" t="s">
        <v>69</v>
      </c>
      <c r="E115" s="271">
        <f>AVERAGE(E108:E113)</f>
        <v>748.51154775440818</v>
      </c>
      <c r="F115" s="244">
        <f>AVERAGE(F108:F113)</f>
        <v>0.93563943469301025</v>
      </c>
    </row>
    <row r="116" spans="1:9" ht="27" customHeight="1" x14ac:dyDescent="0.45">
      <c r="A116" s="121" t="s">
        <v>101</v>
      </c>
      <c r="B116" s="150">
        <f>(B115/B114)*(B113/B112)*(B111/B110)*(B109/B108)*B107</f>
        <v>4500</v>
      </c>
      <c r="C116" s="245"/>
      <c r="D116" s="210" t="s">
        <v>82</v>
      </c>
      <c r="E116" s="246">
        <f>STDEV(E108:E113)/E115</f>
        <v>8.6839174133476384E-3</v>
      </c>
      <c r="F116" s="246">
        <f>STDEV(F108:F113)/F115</f>
        <v>8.6839174133476367E-3</v>
      </c>
      <c r="I116" s="96"/>
    </row>
    <row r="117" spans="1:9" ht="27" customHeight="1" x14ac:dyDescent="0.45">
      <c r="A117" s="480" t="s">
        <v>76</v>
      </c>
      <c r="B117" s="481"/>
      <c r="C117" s="247"/>
      <c r="D117" s="248" t="s">
        <v>19</v>
      </c>
      <c r="E117" s="249">
        <f>COUNT(E108:E113)</f>
        <v>6</v>
      </c>
      <c r="F117" s="249">
        <f>COUNT(F108:F113)</f>
        <v>6</v>
      </c>
      <c r="I117" s="96"/>
    </row>
    <row r="118" spans="1:9" ht="19.5" customHeight="1" x14ac:dyDescent="0.35">
      <c r="A118" s="482"/>
      <c r="B118" s="483"/>
      <c r="C118" s="96"/>
      <c r="D118" s="96"/>
      <c r="E118" s="96"/>
      <c r="F118" s="191"/>
      <c r="G118" s="96"/>
      <c r="H118" s="96"/>
      <c r="I118" s="96"/>
    </row>
    <row r="119" spans="1:9" ht="18" x14ac:dyDescent="0.35">
      <c r="A119" s="258"/>
      <c r="B119" s="117"/>
      <c r="C119" s="96"/>
      <c r="D119" s="96"/>
      <c r="E119" s="96"/>
      <c r="F119" s="191"/>
      <c r="G119" s="96"/>
      <c r="H119" s="96"/>
      <c r="I119" s="96"/>
    </row>
    <row r="120" spans="1:9" ht="26.25" customHeight="1" x14ac:dyDescent="0.45">
      <c r="A120" s="106" t="s">
        <v>104</v>
      </c>
      <c r="B120" s="198" t="s">
        <v>121</v>
      </c>
      <c r="C120" s="492" t="str">
        <f>B79</f>
        <v>Sulphamethoxazole</v>
      </c>
      <c r="D120" s="492"/>
      <c r="E120" s="199" t="s">
        <v>122</v>
      </c>
      <c r="F120" s="199"/>
      <c r="G120" s="200">
        <f>F115</f>
        <v>0.93563943469301025</v>
      </c>
      <c r="H120" s="96"/>
      <c r="I120" s="96"/>
    </row>
    <row r="121" spans="1:9" ht="19.5" customHeight="1" x14ac:dyDescent="0.35">
      <c r="A121" s="250"/>
      <c r="B121" s="250"/>
      <c r="C121" s="251"/>
      <c r="D121" s="251"/>
      <c r="E121" s="251"/>
      <c r="F121" s="251"/>
      <c r="G121" s="251"/>
      <c r="H121" s="251"/>
    </row>
    <row r="122" spans="1:9" ht="18" x14ac:dyDescent="0.35">
      <c r="B122" s="493" t="s">
        <v>24</v>
      </c>
      <c r="C122" s="493"/>
      <c r="E122" s="205" t="s">
        <v>25</v>
      </c>
      <c r="F122" s="252"/>
      <c r="G122" s="493" t="s">
        <v>26</v>
      </c>
      <c r="H122" s="493"/>
    </row>
    <row r="123" spans="1:9" ht="69.900000000000006" customHeight="1" x14ac:dyDescent="0.35">
      <c r="A123" s="253" t="s">
        <v>27</v>
      </c>
      <c r="B123" s="254"/>
      <c r="C123" s="254"/>
      <c r="E123" s="254"/>
      <c r="F123" s="96"/>
      <c r="G123" s="255"/>
      <c r="H123" s="255"/>
    </row>
    <row r="124" spans="1:9" ht="69.900000000000006" customHeight="1" x14ac:dyDescent="0.35">
      <c r="A124" s="253" t="s">
        <v>28</v>
      </c>
      <c r="B124" s="256"/>
      <c r="C124" s="435" t="s">
        <v>131</v>
      </c>
      <c r="D124" s="400"/>
      <c r="E124" s="517">
        <v>42376</v>
      </c>
      <c r="F124" s="96"/>
      <c r="G124" s="257"/>
      <c r="H124" s="257"/>
    </row>
    <row r="125" spans="1:9" ht="18" x14ac:dyDescent="0.35">
      <c r="A125" s="190"/>
      <c r="B125" s="190"/>
      <c r="C125" s="191"/>
      <c r="D125" s="191"/>
      <c r="E125" s="191"/>
      <c r="F125" s="195"/>
      <c r="G125" s="191"/>
      <c r="H125" s="191"/>
      <c r="I125" s="96"/>
    </row>
    <row r="126" spans="1:9" ht="18" x14ac:dyDescent="0.35">
      <c r="A126" s="190"/>
      <c r="B126" s="190"/>
      <c r="C126" s="191"/>
      <c r="D126" s="191"/>
      <c r="E126" s="191"/>
      <c r="F126" s="195"/>
      <c r="G126" s="191"/>
      <c r="H126" s="191"/>
      <c r="I126" s="96"/>
    </row>
    <row r="127" spans="1:9" ht="18" x14ac:dyDescent="0.35">
      <c r="A127" s="190"/>
      <c r="B127" s="190"/>
      <c r="C127" s="191"/>
      <c r="D127" s="191"/>
      <c r="E127" s="191"/>
      <c r="F127" s="195"/>
      <c r="G127" s="191"/>
      <c r="H127" s="191"/>
      <c r="I127" s="96"/>
    </row>
    <row r="128" spans="1:9" ht="18" x14ac:dyDescent="0.35">
      <c r="A128" s="190"/>
      <c r="B128" s="190"/>
      <c r="C128" s="191"/>
      <c r="D128" s="191"/>
      <c r="E128" s="191"/>
      <c r="F128" s="195"/>
      <c r="G128" s="191"/>
      <c r="H128" s="191"/>
      <c r="I128" s="96"/>
    </row>
    <row r="129" spans="1:9" ht="18" x14ac:dyDescent="0.35">
      <c r="A129" s="190"/>
      <c r="B129" s="190"/>
      <c r="C129" s="191"/>
      <c r="D129" s="191"/>
      <c r="E129" s="191"/>
      <c r="F129" s="195"/>
      <c r="G129" s="191"/>
      <c r="H129" s="191"/>
      <c r="I129" s="96"/>
    </row>
    <row r="130" spans="1:9" ht="18" x14ac:dyDescent="0.35">
      <c r="A130" s="190"/>
      <c r="B130" s="190"/>
      <c r="C130" s="191"/>
      <c r="D130" s="191"/>
      <c r="E130" s="191"/>
      <c r="F130" s="195"/>
      <c r="G130" s="191"/>
      <c r="H130" s="191"/>
      <c r="I130" s="96"/>
    </row>
    <row r="131" spans="1:9" ht="18" x14ac:dyDescent="0.35">
      <c r="A131" s="190"/>
      <c r="B131" s="190"/>
      <c r="C131" s="191"/>
      <c r="D131" s="191"/>
      <c r="E131" s="191"/>
      <c r="F131" s="195"/>
      <c r="G131" s="191"/>
      <c r="H131" s="191"/>
      <c r="I131" s="96"/>
    </row>
    <row r="132" spans="1:9" ht="18" x14ac:dyDescent="0.35">
      <c r="A132" s="190"/>
      <c r="B132" s="190"/>
      <c r="C132" s="191"/>
      <c r="D132" s="191"/>
      <c r="E132" s="191"/>
      <c r="F132" s="195"/>
      <c r="G132" s="191"/>
      <c r="H132" s="191"/>
      <c r="I132" s="96"/>
    </row>
    <row r="133" spans="1:9" ht="18" x14ac:dyDescent="0.35">
      <c r="A133" s="190"/>
      <c r="B133" s="190"/>
      <c r="C133" s="191"/>
      <c r="D133" s="191"/>
      <c r="E133" s="191"/>
      <c r="F133" s="195"/>
      <c r="G133" s="191"/>
      <c r="H133" s="191"/>
      <c r="I133" s="96"/>
    </row>
    <row r="250" spans="1:1" x14ac:dyDescent="0.3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5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1:H21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0"/>
  <sheetViews>
    <sheetView topLeftCell="A115" zoomScale="70" zoomScaleNormal="70" zoomScalePageLayoutView="55" workbookViewId="0">
      <selection activeCell="C124" sqref="C124:E124"/>
    </sheetView>
  </sheetViews>
  <sheetFormatPr defaultColWidth="9.109375" defaultRowHeight="13.8" x14ac:dyDescent="0.3"/>
  <cols>
    <col min="1" max="1" width="55.44140625" style="2" customWidth="1"/>
    <col min="2" max="2" width="33.6640625" style="2" customWidth="1"/>
    <col min="3" max="3" width="42.33203125" style="2" customWidth="1"/>
    <col min="4" max="4" width="30.5546875" style="2" customWidth="1"/>
    <col min="5" max="5" width="39.88671875" style="2" customWidth="1"/>
    <col min="6" max="6" width="30.6640625" style="2" customWidth="1"/>
    <col min="7" max="7" width="39.88671875" style="2" customWidth="1"/>
    <col min="8" max="8" width="30" style="2" customWidth="1"/>
    <col min="9" max="9" width="30.33203125" style="2" hidden="1" customWidth="1"/>
    <col min="10" max="10" width="21.33203125" style="510" customWidth="1"/>
    <col min="11" max="11" width="9.109375" style="510"/>
    <col min="12" max="16384" width="9.109375" style="511"/>
  </cols>
  <sheetData>
    <row r="1" spans="1:9" ht="18.75" customHeight="1" x14ac:dyDescent="0.3">
      <c r="A1" s="490" t="s">
        <v>43</v>
      </c>
      <c r="B1" s="490"/>
      <c r="C1" s="490"/>
      <c r="D1" s="490"/>
      <c r="E1" s="490"/>
      <c r="F1" s="490"/>
      <c r="G1" s="490"/>
      <c r="H1" s="490"/>
      <c r="I1" s="490"/>
    </row>
    <row r="2" spans="1:9" ht="18.75" customHeight="1" x14ac:dyDescent="0.3">
      <c r="A2" s="490"/>
      <c r="B2" s="490"/>
      <c r="C2" s="490"/>
      <c r="D2" s="490"/>
      <c r="E2" s="490"/>
      <c r="F2" s="490"/>
      <c r="G2" s="490"/>
      <c r="H2" s="490"/>
      <c r="I2" s="490"/>
    </row>
    <row r="3" spans="1:9" ht="18.75" customHeight="1" x14ac:dyDescent="0.3">
      <c r="A3" s="490"/>
      <c r="B3" s="490"/>
      <c r="C3" s="490"/>
      <c r="D3" s="490"/>
      <c r="E3" s="490"/>
      <c r="F3" s="490"/>
      <c r="G3" s="490"/>
      <c r="H3" s="490"/>
      <c r="I3" s="490"/>
    </row>
    <row r="4" spans="1:9" ht="18.75" customHeight="1" x14ac:dyDescent="0.3">
      <c r="A4" s="490"/>
      <c r="B4" s="490"/>
      <c r="C4" s="490"/>
      <c r="D4" s="490"/>
      <c r="E4" s="490"/>
      <c r="F4" s="490"/>
      <c r="G4" s="490"/>
      <c r="H4" s="490"/>
      <c r="I4" s="490"/>
    </row>
    <row r="5" spans="1:9" ht="18.75" customHeight="1" x14ac:dyDescent="0.3">
      <c r="A5" s="490"/>
      <c r="B5" s="490"/>
      <c r="C5" s="490"/>
      <c r="D5" s="490"/>
      <c r="E5" s="490"/>
      <c r="F5" s="490"/>
      <c r="G5" s="490"/>
      <c r="H5" s="490"/>
      <c r="I5" s="490"/>
    </row>
    <row r="6" spans="1:9" ht="18.75" customHeight="1" x14ac:dyDescent="0.3">
      <c r="A6" s="490"/>
      <c r="B6" s="490"/>
      <c r="C6" s="490"/>
      <c r="D6" s="490"/>
      <c r="E6" s="490"/>
      <c r="F6" s="490"/>
      <c r="G6" s="490"/>
      <c r="H6" s="490"/>
      <c r="I6" s="490"/>
    </row>
    <row r="7" spans="1:9" ht="18.75" customHeight="1" x14ac:dyDescent="0.3">
      <c r="A7" s="490"/>
      <c r="B7" s="490"/>
      <c r="C7" s="490"/>
      <c r="D7" s="490"/>
      <c r="E7" s="490"/>
      <c r="F7" s="490"/>
      <c r="G7" s="490"/>
      <c r="H7" s="490"/>
      <c r="I7" s="490"/>
    </row>
    <row r="8" spans="1:9" x14ac:dyDescent="0.3">
      <c r="A8" s="491" t="s">
        <v>44</v>
      </c>
      <c r="B8" s="491"/>
      <c r="C8" s="491"/>
      <c r="D8" s="491"/>
      <c r="E8" s="491"/>
      <c r="F8" s="491"/>
      <c r="G8" s="491"/>
      <c r="H8" s="491"/>
      <c r="I8" s="491"/>
    </row>
    <row r="9" spans="1:9" x14ac:dyDescent="0.3">
      <c r="A9" s="491"/>
      <c r="B9" s="491"/>
      <c r="C9" s="491"/>
      <c r="D9" s="491"/>
      <c r="E9" s="491"/>
      <c r="F9" s="491"/>
      <c r="G9" s="491"/>
      <c r="H9" s="491"/>
      <c r="I9" s="491"/>
    </row>
    <row r="10" spans="1:9" x14ac:dyDescent="0.3">
      <c r="A10" s="491"/>
      <c r="B10" s="491"/>
      <c r="C10" s="491"/>
      <c r="D10" s="491"/>
      <c r="E10" s="491"/>
      <c r="F10" s="491"/>
      <c r="G10" s="491"/>
      <c r="H10" s="491"/>
      <c r="I10" s="491"/>
    </row>
    <row r="11" spans="1:9" x14ac:dyDescent="0.3">
      <c r="A11" s="491"/>
      <c r="B11" s="491"/>
      <c r="C11" s="491"/>
      <c r="D11" s="491"/>
      <c r="E11" s="491"/>
      <c r="F11" s="491"/>
      <c r="G11" s="491"/>
      <c r="H11" s="491"/>
      <c r="I11" s="491"/>
    </row>
    <row r="12" spans="1:9" x14ac:dyDescent="0.3">
      <c r="A12" s="491"/>
      <c r="B12" s="491"/>
      <c r="C12" s="491"/>
      <c r="D12" s="491"/>
      <c r="E12" s="491"/>
      <c r="F12" s="491"/>
      <c r="G12" s="491"/>
      <c r="H12" s="491"/>
      <c r="I12" s="491"/>
    </row>
    <row r="13" spans="1:9" x14ac:dyDescent="0.3">
      <c r="A13" s="491"/>
      <c r="B13" s="491"/>
      <c r="C13" s="491"/>
      <c r="D13" s="491"/>
      <c r="E13" s="491"/>
      <c r="F13" s="491"/>
      <c r="G13" s="491"/>
      <c r="H13" s="491"/>
      <c r="I13" s="491"/>
    </row>
    <row r="14" spans="1:9" x14ac:dyDescent="0.3">
      <c r="A14" s="491"/>
      <c r="B14" s="491"/>
      <c r="C14" s="491"/>
      <c r="D14" s="491"/>
      <c r="E14" s="491"/>
      <c r="F14" s="491"/>
      <c r="G14" s="491"/>
      <c r="H14" s="491"/>
      <c r="I14" s="491"/>
    </row>
    <row r="15" spans="1:9" ht="19.5" customHeight="1" x14ac:dyDescent="0.35">
      <c r="A15" s="273"/>
    </row>
    <row r="16" spans="1:9" ht="19.5" customHeight="1" x14ac:dyDescent="0.35">
      <c r="A16" s="463" t="s">
        <v>29</v>
      </c>
      <c r="B16" s="464"/>
      <c r="C16" s="464"/>
      <c r="D16" s="464"/>
      <c r="E16" s="464"/>
      <c r="F16" s="464"/>
      <c r="G16" s="464"/>
      <c r="H16" s="465"/>
    </row>
    <row r="17" spans="1:13" ht="20.25" customHeight="1" x14ac:dyDescent="0.3">
      <c r="A17" s="466" t="s">
        <v>45</v>
      </c>
      <c r="B17" s="466"/>
      <c r="C17" s="466"/>
      <c r="D17" s="466"/>
      <c r="E17" s="466"/>
      <c r="F17" s="466"/>
      <c r="G17" s="466"/>
      <c r="H17" s="466"/>
    </row>
    <row r="18" spans="1:13" ht="26.25" customHeight="1" x14ac:dyDescent="0.5">
      <c r="A18" s="275" t="s">
        <v>31</v>
      </c>
      <c r="B18" s="462" t="s">
        <v>5</v>
      </c>
      <c r="C18" s="462"/>
      <c r="D18" s="438"/>
      <c r="E18" s="276"/>
      <c r="F18" s="277"/>
      <c r="G18" s="277"/>
      <c r="H18" s="277"/>
    </row>
    <row r="19" spans="1:13" ht="26.25" customHeight="1" x14ac:dyDescent="0.5">
      <c r="A19" s="275" t="s">
        <v>32</v>
      </c>
      <c r="B19" s="278" t="s">
        <v>7</v>
      </c>
      <c r="C19" s="451">
        <v>29</v>
      </c>
      <c r="D19" s="277"/>
      <c r="E19" s="277"/>
      <c r="F19" s="277"/>
      <c r="G19" s="277"/>
      <c r="H19" s="277"/>
    </row>
    <row r="20" spans="1:13" ht="26.25" customHeight="1" x14ac:dyDescent="0.5">
      <c r="A20" s="275" t="s">
        <v>33</v>
      </c>
      <c r="B20" s="467" t="s">
        <v>133</v>
      </c>
      <c r="C20" s="467"/>
      <c r="D20" s="277"/>
      <c r="E20" s="277"/>
      <c r="F20" s="277"/>
      <c r="G20" s="277"/>
      <c r="H20" s="277"/>
    </row>
    <row r="21" spans="1:13" ht="26.25" customHeight="1" x14ac:dyDescent="0.5">
      <c r="A21" s="275" t="s">
        <v>34</v>
      </c>
      <c r="B21" s="467" t="s">
        <v>132</v>
      </c>
      <c r="C21" s="467"/>
      <c r="D21" s="467"/>
      <c r="E21" s="467"/>
      <c r="F21" s="467"/>
      <c r="G21" s="467"/>
      <c r="H21" s="467"/>
      <c r="I21" s="279"/>
    </row>
    <row r="22" spans="1:13" ht="26.25" customHeight="1" x14ac:dyDescent="0.5">
      <c r="A22" s="275" t="s">
        <v>35</v>
      </c>
      <c r="B22" s="280" t="s">
        <v>11</v>
      </c>
      <c r="C22" s="277"/>
      <c r="D22" s="277"/>
      <c r="E22" s="277"/>
      <c r="F22" s="277"/>
      <c r="G22" s="277"/>
      <c r="H22" s="277"/>
    </row>
    <row r="23" spans="1:13" ht="26.25" customHeight="1" x14ac:dyDescent="0.5">
      <c r="A23" s="275" t="s">
        <v>36</v>
      </c>
      <c r="B23" s="280"/>
      <c r="C23" s="277"/>
      <c r="D23" s="277"/>
      <c r="E23" s="277"/>
      <c r="F23" s="277"/>
      <c r="G23" s="277"/>
      <c r="H23" s="277"/>
    </row>
    <row r="24" spans="1:13" ht="18" x14ac:dyDescent="0.35">
      <c r="A24" s="275"/>
      <c r="B24" s="281"/>
    </row>
    <row r="25" spans="1:13" ht="18" x14ac:dyDescent="0.35">
      <c r="A25" s="282" t="s">
        <v>1</v>
      </c>
      <c r="B25" s="281"/>
    </row>
    <row r="26" spans="1:13" ht="26.25" customHeight="1" x14ac:dyDescent="0.45">
      <c r="A26" s="283" t="s">
        <v>4</v>
      </c>
      <c r="B26" s="462" t="s">
        <v>124</v>
      </c>
      <c r="C26" s="462"/>
    </row>
    <row r="27" spans="1:13" ht="26.25" customHeight="1" x14ac:dyDescent="0.5">
      <c r="A27" s="284" t="s">
        <v>46</v>
      </c>
      <c r="B27" s="468" t="s">
        <v>126</v>
      </c>
      <c r="C27" s="468"/>
    </row>
    <row r="28" spans="1:13" ht="27" customHeight="1" x14ac:dyDescent="0.45">
      <c r="A28" s="284" t="s">
        <v>6</v>
      </c>
      <c r="B28" s="285">
        <v>99.3</v>
      </c>
    </row>
    <row r="29" spans="1:13" s="513" customFormat="1" ht="27" customHeight="1" x14ac:dyDescent="0.5">
      <c r="A29" s="284" t="s">
        <v>47</v>
      </c>
      <c r="B29" s="286">
        <v>0</v>
      </c>
      <c r="C29" s="469" t="s">
        <v>48</v>
      </c>
      <c r="D29" s="470"/>
      <c r="E29" s="470"/>
      <c r="F29" s="470"/>
      <c r="G29" s="471"/>
      <c r="H29" s="14"/>
      <c r="I29" s="287"/>
      <c r="J29" s="512"/>
      <c r="K29" s="512"/>
    </row>
    <row r="30" spans="1:13" s="513" customFormat="1" ht="19.5" customHeight="1" x14ac:dyDescent="0.35">
      <c r="A30" s="284" t="s">
        <v>49</v>
      </c>
      <c r="B30" s="288">
        <f>B28-B29</f>
        <v>99.3</v>
      </c>
      <c r="C30" s="289"/>
      <c r="D30" s="289"/>
      <c r="E30" s="289"/>
      <c r="F30" s="289"/>
      <c r="G30" s="290"/>
      <c r="H30" s="14"/>
      <c r="I30" s="287"/>
      <c r="J30" s="512"/>
      <c r="K30" s="512"/>
    </row>
    <row r="31" spans="1:13" s="513" customFormat="1" ht="27" customHeight="1" x14ac:dyDescent="0.45">
      <c r="A31" s="284" t="s">
        <v>50</v>
      </c>
      <c r="B31" s="291">
        <v>1</v>
      </c>
      <c r="C31" s="472" t="s">
        <v>51</v>
      </c>
      <c r="D31" s="473"/>
      <c r="E31" s="473"/>
      <c r="F31" s="473"/>
      <c r="G31" s="473"/>
      <c r="H31" s="474"/>
      <c r="I31" s="287"/>
      <c r="J31" s="512"/>
      <c r="K31" s="512"/>
    </row>
    <row r="32" spans="1:13" s="513" customFormat="1" ht="27" customHeight="1" x14ac:dyDescent="0.45">
      <c r="A32" s="284" t="s">
        <v>52</v>
      </c>
      <c r="B32" s="291">
        <v>1</v>
      </c>
      <c r="C32" s="472" t="s">
        <v>53</v>
      </c>
      <c r="D32" s="473"/>
      <c r="E32" s="473"/>
      <c r="F32" s="473"/>
      <c r="G32" s="473"/>
      <c r="H32" s="474"/>
      <c r="I32" s="287"/>
      <c r="J32" s="512"/>
      <c r="K32" s="514"/>
      <c r="L32" s="514"/>
      <c r="M32" s="515"/>
    </row>
    <row r="33" spans="1:13" s="513" customFormat="1" ht="17.25" customHeight="1" x14ac:dyDescent="0.35">
      <c r="A33" s="284"/>
      <c r="B33" s="292"/>
      <c r="C33" s="293"/>
      <c r="D33" s="293"/>
      <c r="E33" s="293"/>
      <c r="F33" s="293"/>
      <c r="G33" s="293"/>
      <c r="H33" s="293"/>
      <c r="I33" s="287"/>
      <c r="J33" s="512"/>
      <c r="K33" s="514"/>
      <c r="L33" s="514"/>
      <c r="M33" s="515"/>
    </row>
    <row r="34" spans="1:13" s="513" customFormat="1" ht="18" x14ac:dyDescent="0.35">
      <c r="A34" s="284" t="s">
        <v>54</v>
      </c>
      <c r="B34" s="294">
        <f>B31/B32</f>
        <v>1</v>
      </c>
      <c r="C34" s="274" t="s">
        <v>55</v>
      </c>
      <c r="D34" s="274"/>
      <c r="E34" s="274"/>
      <c r="F34" s="274"/>
      <c r="G34" s="274"/>
      <c r="H34" s="14"/>
      <c r="I34" s="287"/>
      <c r="J34" s="512"/>
      <c r="K34" s="514"/>
      <c r="L34" s="514"/>
      <c r="M34" s="515"/>
    </row>
    <row r="35" spans="1:13" s="513" customFormat="1" ht="19.5" customHeight="1" x14ac:dyDescent="0.35">
      <c r="A35" s="284"/>
      <c r="B35" s="288"/>
      <c r="C35" s="14"/>
      <c r="D35" s="14"/>
      <c r="E35" s="14"/>
      <c r="F35" s="14"/>
      <c r="G35" s="274"/>
      <c r="H35" s="14"/>
      <c r="I35" s="287"/>
      <c r="J35" s="512"/>
      <c r="K35" s="514"/>
      <c r="L35" s="514"/>
      <c r="M35" s="515"/>
    </row>
    <row r="36" spans="1:13" s="513" customFormat="1" ht="27" customHeight="1" x14ac:dyDescent="0.45">
      <c r="A36" s="295" t="s">
        <v>56</v>
      </c>
      <c r="B36" s="296">
        <v>25</v>
      </c>
      <c r="C36" s="274"/>
      <c r="D36" s="475" t="s">
        <v>57</v>
      </c>
      <c r="E36" s="476"/>
      <c r="F36" s="475" t="s">
        <v>58</v>
      </c>
      <c r="G36" s="477"/>
      <c r="H36" s="14"/>
      <c r="I36" s="14"/>
      <c r="J36" s="512"/>
      <c r="K36" s="514"/>
      <c r="L36" s="514"/>
      <c r="M36" s="515"/>
    </row>
    <row r="37" spans="1:13" s="513" customFormat="1" ht="27" customHeight="1" x14ac:dyDescent="0.45">
      <c r="A37" s="297" t="s">
        <v>59</v>
      </c>
      <c r="B37" s="298">
        <v>2</v>
      </c>
      <c r="C37" s="299" t="s">
        <v>60</v>
      </c>
      <c r="D37" s="300" t="s">
        <v>61</v>
      </c>
      <c r="E37" s="301" t="s">
        <v>62</v>
      </c>
      <c r="F37" s="300" t="s">
        <v>61</v>
      </c>
      <c r="G37" s="302" t="s">
        <v>62</v>
      </c>
      <c r="H37" s="14"/>
      <c r="I37" s="303" t="s">
        <v>63</v>
      </c>
      <c r="J37" s="512"/>
      <c r="K37" s="514"/>
      <c r="L37" s="514"/>
      <c r="M37" s="515"/>
    </row>
    <row r="38" spans="1:13" s="513" customFormat="1" ht="26.25" customHeight="1" x14ac:dyDescent="0.45">
      <c r="A38" s="297" t="s">
        <v>64</v>
      </c>
      <c r="B38" s="298">
        <v>50</v>
      </c>
      <c r="C38" s="304">
        <v>1</v>
      </c>
      <c r="D38" s="305">
        <v>12799325</v>
      </c>
      <c r="E38" s="306">
        <f>IF(ISBLANK(D38),"-",$D$48/$D$45*D38)</f>
        <v>9709643.5879783724</v>
      </c>
      <c r="F38" s="305">
        <v>9357359</v>
      </c>
      <c r="G38" s="307">
        <f>IF(ISBLANK(F38),"-",$D$48/$F$45*F38)</f>
        <v>9446939.6048025396</v>
      </c>
      <c r="H38" s="14"/>
      <c r="I38" s="308"/>
      <c r="J38" s="512"/>
      <c r="K38" s="514"/>
      <c r="L38" s="514"/>
      <c r="M38" s="515"/>
    </row>
    <row r="39" spans="1:13" s="513" customFormat="1" ht="26.25" customHeight="1" x14ac:dyDescent="0.45">
      <c r="A39" s="297" t="s">
        <v>65</v>
      </c>
      <c r="B39" s="298">
        <v>1</v>
      </c>
      <c r="C39" s="309">
        <v>2</v>
      </c>
      <c r="D39" s="310">
        <v>12793296</v>
      </c>
      <c r="E39" s="311">
        <f>IF(ISBLANK(D39),"-",$D$48/$D$45*D39)</f>
        <v>9705069.9529474694</v>
      </c>
      <c r="F39" s="310">
        <v>9393286</v>
      </c>
      <c r="G39" s="312">
        <f>IF(ISBLANK(F39),"-",$D$48/$F$45*F39)</f>
        <v>9483210.5439833216</v>
      </c>
      <c r="H39" s="14"/>
      <c r="I39" s="479">
        <f>ABS((F43/D43*D42)-F42)/D42</f>
        <v>1.8331305287319185E-2</v>
      </c>
      <c r="J39" s="512"/>
      <c r="K39" s="514"/>
      <c r="L39" s="514"/>
      <c r="M39" s="515"/>
    </row>
    <row r="40" spans="1:13" ht="26.25" customHeight="1" x14ac:dyDescent="0.45">
      <c r="A40" s="297" t="s">
        <v>66</v>
      </c>
      <c r="B40" s="298">
        <v>1</v>
      </c>
      <c r="C40" s="309">
        <v>3</v>
      </c>
      <c r="D40" s="310">
        <v>12769177</v>
      </c>
      <c r="E40" s="311">
        <f>IF(ISBLANK(D40),"-",$D$48/$D$45*D40)</f>
        <v>9686773.1370061245</v>
      </c>
      <c r="F40" s="310">
        <v>9371665</v>
      </c>
      <c r="G40" s="312">
        <f>IF(ISBLANK(F40),"-",$D$48/$F$45*F40)</f>
        <v>9461382.5601263978</v>
      </c>
      <c r="I40" s="479"/>
      <c r="K40" s="514"/>
      <c r="L40" s="514"/>
      <c r="M40" s="516"/>
    </row>
    <row r="41" spans="1:13" ht="27" customHeight="1" x14ac:dyDescent="0.45">
      <c r="A41" s="297" t="s">
        <v>67</v>
      </c>
      <c r="B41" s="298">
        <v>1</v>
      </c>
      <c r="C41" s="314">
        <v>4</v>
      </c>
      <c r="D41" s="315"/>
      <c r="E41" s="316" t="str">
        <f>IF(ISBLANK(D41),"-",$D$48/$D$45*D41)</f>
        <v>-</v>
      </c>
      <c r="F41" s="315"/>
      <c r="G41" s="317" t="str">
        <f>IF(ISBLANK(F41),"-",$D$48/$F$45*F41)</f>
        <v>-</v>
      </c>
      <c r="I41" s="318"/>
      <c r="K41" s="514"/>
      <c r="L41" s="514"/>
      <c r="M41" s="516"/>
    </row>
    <row r="42" spans="1:13" ht="27" customHeight="1" x14ac:dyDescent="0.45">
      <c r="A42" s="297" t="s">
        <v>68</v>
      </c>
      <c r="B42" s="298">
        <v>1</v>
      </c>
      <c r="C42" s="319" t="s">
        <v>69</v>
      </c>
      <c r="D42" s="320">
        <f>AVERAGE(D38:D41)</f>
        <v>12787266</v>
      </c>
      <c r="E42" s="321">
        <f>AVERAGE(E38:E41)</f>
        <v>9700495.5593106542</v>
      </c>
      <c r="F42" s="320">
        <f>AVERAGE(F38:F41)</f>
        <v>9374103.333333334</v>
      </c>
      <c r="G42" s="322">
        <f>AVERAGE(G38:G41)</f>
        <v>9463844.2363040857</v>
      </c>
      <c r="H42" s="323"/>
    </row>
    <row r="43" spans="1:13" ht="26.25" customHeight="1" x14ac:dyDescent="0.45">
      <c r="A43" s="297" t="s">
        <v>70</v>
      </c>
      <c r="B43" s="298">
        <v>1</v>
      </c>
      <c r="C43" s="324" t="s">
        <v>71</v>
      </c>
      <c r="D43" s="325">
        <v>26.55</v>
      </c>
      <c r="E43" s="313"/>
      <c r="F43" s="325">
        <v>19.95</v>
      </c>
      <c r="H43" s="323"/>
    </row>
    <row r="44" spans="1:13" ht="26.25" customHeight="1" x14ac:dyDescent="0.45">
      <c r="A44" s="297" t="s">
        <v>72</v>
      </c>
      <c r="B44" s="298">
        <v>1</v>
      </c>
      <c r="C44" s="326" t="s">
        <v>73</v>
      </c>
      <c r="D44" s="327">
        <f>D43*$B$34</f>
        <v>26.55</v>
      </c>
      <c r="E44" s="328"/>
      <c r="F44" s="327">
        <f>F43*$B$34</f>
        <v>19.95</v>
      </c>
      <c r="H44" s="323"/>
    </row>
    <row r="45" spans="1:13" ht="19.5" customHeight="1" x14ac:dyDescent="0.35">
      <c r="A45" s="297" t="s">
        <v>74</v>
      </c>
      <c r="B45" s="329">
        <f>(B44/B43)*(B42/B41)*(B40/B39)*(B38/B37)*B36</f>
        <v>625</v>
      </c>
      <c r="C45" s="326" t="s">
        <v>75</v>
      </c>
      <c r="D45" s="330">
        <f>D44*$B$30/100</f>
        <v>26.364149999999999</v>
      </c>
      <c r="E45" s="331"/>
      <c r="F45" s="330">
        <f>F44*$B$30/100</f>
        <v>19.81035</v>
      </c>
      <c r="H45" s="323"/>
    </row>
    <row r="46" spans="1:13" ht="19.5" customHeight="1" x14ac:dyDescent="0.35">
      <c r="A46" s="480" t="s">
        <v>76</v>
      </c>
      <c r="B46" s="481"/>
      <c r="C46" s="326" t="s">
        <v>77</v>
      </c>
      <c r="D46" s="332">
        <f>D45/$B$45</f>
        <v>4.218264E-2</v>
      </c>
      <c r="E46" s="333"/>
      <c r="F46" s="334">
        <f>F45/$B$45</f>
        <v>3.1696559999999999E-2</v>
      </c>
      <c r="H46" s="323"/>
    </row>
    <row r="47" spans="1:13" ht="27" customHeight="1" x14ac:dyDescent="0.45">
      <c r="A47" s="482"/>
      <c r="B47" s="483"/>
      <c r="C47" s="335" t="s">
        <v>78</v>
      </c>
      <c r="D47" s="336">
        <f>160/200*2/50</f>
        <v>3.2000000000000001E-2</v>
      </c>
      <c r="E47" s="337"/>
      <c r="F47" s="333"/>
      <c r="H47" s="323"/>
    </row>
    <row r="48" spans="1:13" ht="18" x14ac:dyDescent="0.35">
      <c r="C48" s="338" t="s">
        <v>79</v>
      </c>
      <c r="D48" s="330">
        <f>D47*$B$45</f>
        <v>20</v>
      </c>
      <c r="F48" s="339"/>
      <c r="H48" s="323"/>
    </row>
    <row r="49" spans="1:11" ht="19.5" customHeight="1" x14ac:dyDescent="0.35">
      <c r="C49" s="340" t="s">
        <v>80</v>
      </c>
      <c r="D49" s="341">
        <f>D48/B34</f>
        <v>20</v>
      </c>
      <c r="F49" s="339"/>
      <c r="H49" s="323"/>
    </row>
    <row r="50" spans="1:11" ht="18" x14ac:dyDescent="0.35">
      <c r="C50" s="295" t="s">
        <v>81</v>
      </c>
      <c r="D50" s="342">
        <f>AVERAGE(E38:E41,G38:G41)</f>
        <v>9582169.897807369</v>
      </c>
      <c r="F50" s="343"/>
      <c r="H50" s="323"/>
    </row>
    <row r="51" spans="1:11" ht="18" x14ac:dyDescent="0.35">
      <c r="C51" s="297" t="s">
        <v>82</v>
      </c>
      <c r="D51" s="344">
        <f>STDEV(E38:E41,G38:G41)/D50</f>
        <v>1.3604187775529162E-2</v>
      </c>
      <c r="F51" s="343"/>
      <c r="H51" s="323"/>
    </row>
    <row r="52" spans="1:11" ht="19.5" customHeight="1" x14ac:dyDescent="0.35">
      <c r="C52" s="345" t="s">
        <v>19</v>
      </c>
      <c r="D52" s="346">
        <f>COUNT(E38:E41,G38:G41)</f>
        <v>6</v>
      </c>
      <c r="F52" s="343"/>
    </row>
    <row r="54" spans="1:11" ht="18" x14ac:dyDescent="0.35">
      <c r="A54" s="347" t="s">
        <v>1</v>
      </c>
      <c r="B54" s="348" t="s">
        <v>83</v>
      </c>
    </row>
    <row r="55" spans="1:11" ht="18" x14ac:dyDescent="0.35">
      <c r="A55" s="274" t="s">
        <v>84</v>
      </c>
      <c r="B55" s="349" t="str">
        <f>B21</f>
        <v>Sulphamethoxazole 800 mg and Trimethoprim 160 mg per tablet</v>
      </c>
    </row>
    <row r="56" spans="1:11" ht="26.25" customHeight="1" x14ac:dyDescent="0.45">
      <c r="A56" s="350" t="s">
        <v>85</v>
      </c>
      <c r="B56" s="351">
        <v>160</v>
      </c>
      <c r="C56" s="274" t="str">
        <f>B20</f>
        <v>Each tablet contains Trimethoprim 160 mg.</v>
      </c>
      <c r="H56" s="352"/>
    </row>
    <row r="57" spans="1:11" ht="18" x14ac:dyDescent="0.35">
      <c r="A57" s="349" t="s">
        <v>134</v>
      </c>
      <c r="B57" s="439">
        <f>Uniformity!C46</f>
        <v>1041.2015000000001</v>
      </c>
      <c r="H57" s="352"/>
    </row>
    <row r="58" spans="1:11" ht="19.5" customHeight="1" x14ac:dyDescent="0.35">
      <c r="H58" s="352"/>
    </row>
    <row r="59" spans="1:11" s="513" customFormat="1" ht="27" customHeight="1" x14ac:dyDescent="0.45">
      <c r="A59" s="295" t="s">
        <v>87</v>
      </c>
      <c r="B59" s="296">
        <v>200</v>
      </c>
      <c r="C59" s="274"/>
      <c r="D59" s="353" t="s">
        <v>88</v>
      </c>
      <c r="E59" s="354" t="s">
        <v>60</v>
      </c>
      <c r="F59" s="354" t="s">
        <v>61</v>
      </c>
      <c r="G59" s="354" t="s">
        <v>89</v>
      </c>
      <c r="H59" s="299" t="s">
        <v>90</v>
      </c>
      <c r="I59" s="14"/>
      <c r="K59" s="512"/>
    </row>
    <row r="60" spans="1:11" s="513" customFormat="1" ht="26.25" customHeight="1" x14ac:dyDescent="0.45">
      <c r="A60" s="297" t="s">
        <v>91</v>
      </c>
      <c r="B60" s="298">
        <v>2</v>
      </c>
      <c r="C60" s="484" t="s">
        <v>92</v>
      </c>
      <c r="D60" s="487">
        <v>1029.01</v>
      </c>
      <c r="E60" s="355">
        <v>1</v>
      </c>
      <c r="F60" s="356">
        <v>9519996</v>
      </c>
      <c r="G60" s="440">
        <f>IF(ISBLANK(F60),"-",(F60/$D$50*$D$47*$B$68)*($B$57/$D$60))</f>
        <v>160.84518756085086</v>
      </c>
      <c r="H60" s="357">
        <f t="shared" ref="H60:H71" si="0">IF(ISBLANK(F60),"-",G60/$B$56)</f>
        <v>1.0052824222553178</v>
      </c>
      <c r="I60" s="14"/>
      <c r="K60" s="512"/>
    </row>
    <row r="61" spans="1:11" s="513" customFormat="1" ht="26.25" customHeight="1" x14ac:dyDescent="0.45">
      <c r="A61" s="297" t="s">
        <v>93</v>
      </c>
      <c r="B61" s="298">
        <v>50</v>
      </c>
      <c r="C61" s="485"/>
      <c r="D61" s="488"/>
      <c r="E61" s="358">
        <v>2</v>
      </c>
      <c r="F61" s="310">
        <v>9538887</v>
      </c>
      <c r="G61" s="441">
        <f>IF(ISBLANK(F61),"-",(F61/$D$50*$D$47*$B$68)*($B$57/$D$60))</f>
        <v>161.16436064014752</v>
      </c>
      <c r="H61" s="359">
        <f t="shared" si="0"/>
        <v>1.0072772540009221</v>
      </c>
      <c r="I61" s="14"/>
      <c r="K61" s="512"/>
    </row>
    <row r="62" spans="1:11" s="513" customFormat="1" ht="26.25" customHeight="1" x14ac:dyDescent="0.45">
      <c r="A62" s="297" t="s">
        <v>94</v>
      </c>
      <c r="B62" s="298">
        <v>1</v>
      </c>
      <c r="C62" s="485"/>
      <c r="D62" s="488"/>
      <c r="E62" s="358">
        <v>3</v>
      </c>
      <c r="F62" s="360">
        <v>9541634</v>
      </c>
      <c r="G62" s="441">
        <f>IF(ISBLANK(F62),"-",(F62/$D$50*$D$47*$B$68)*($B$57/$D$60))</f>
        <v>161.21077260610107</v>
      </c>
      <c r="H62" s="359">
        <f t="shared" si="0"/>
        <v>1.0075673287881317</v>
      </c>
      <c r="I62" s="14"/>
      <c r="K62" s="512"/>
    </row>
    <row r="63" spans="1:11" ht="27" customHeight="1" x14ac:dyDescent="0.45">
      <c r="A63" s="297" t="s">
        <v>95</v>
      </c>
      <c r="B63" s="298">
        <v>1</v>
      </c>
      <c r="C63" s="486"/>
      <c r="D63" s="489"/>
      <c r="E63" s="361">
        <v>4</v>
      </c>
      <c r="F63" s="362"/>
      <c r="G63" s="441" t="str">
        <f>IF(ISBLANK(F63),"-",(F63/$D$50*$D$47*$B$68)*($B$57/$D$60))</f>
        <v>-</v>
      </c>
      <c r="H63" s="359" t="str">
        <f t="shared" si="0"/>
        <v>-</v>
      </c>
    </row>
    <row r="64" spans="1:11" ht="26.25" customHeight="1" x14ac:dyDescent="0.45">
      <c r="A64" s="297" t="s">
        <v>96</v>
      </c>
      <c r="B64" s="298">
        <v>1</v>
      </c>
      <c r="C64" s="484" t="s">
        <v>97</v>
      </c>
      <c r="D64" s="487">
        <v>1040.8900000000001</v>
      </c>
      <c r="E64" s="355">
        <v>1</v>
      </c>
      <c r="F64" s="356"/>
      <c r="G64" s="442" t="str">
        <f>IF(ISBLANK(F64),"-",(F64/$D$50*$D$47*$B$68)*($B$57/$D$64))</f>
        <v>-</v>
      </c>
      <c r="H64" s="363" t="str">
        <f t="shared" si="0"/>
        <v>-</v>
      </c>
    </row>
    <row r="65" spans="1:8" ht="26.25" customHeight="1" x14ac:dyDescent="0.45">
      <c r="A65" s="297" t="s">
        <v>98</v>
      </c>
      <c r="B65" s="298">
        <v>1</v>
      </c>
      <c r="C65" s="485"/>
      <c r="D65" s="488"/>
      <c r="E65" s="358">
        <v>2</v>
      </c>
      <c r="F65" s="310"/>
      <c r="G65" s="443" t="str">
        <f>IF(ISBLANK(F65),"-",(F65/$D$50*$D$47*$B$68)*($B$57/$D$64))</f>
        <v>-</v>
      </c>
      <c r="H65" s="364" t="str">
        <f t="shared" si="0"/>
        <v>-</v>
      </c>
    </row>
    <row r="66" spans="1:8" ht="26.25" customHeight="1" x14ac:dyDescent="0.45">
      <c r="A66" s="297" t="s">
        <v>99</v>
      </c>
      <c r="B66" s="298">
        <v>1</v>
      </c>
      <c r="C66" s="485"/>
      <c r="D66" s="488"/>
      <c r="E66" s="358">
        <v>3</v>
      </c>
      <c r="F66" s="310"/>
      <c r="G66" s="443" t="str">
        <f>IF(ISBLANK(F66),"-",(F66/$D$50*$D$47*$B$68)*($B$57/$D$64))</f>
        <v>-</v>
      </c>
      <c r="H66" s="364" t="str">
        <f t="shared" si="0"/>
        <v>-</v>
      </c>
    </row>
    <row r="67" spans="1:8" ht="27" customHeight="1" x14ac:dyDescent="0.45">
      <c r="A67" s="297" t="s">
        <v>100</v>
      </c>
      <c r="B67" s="298">
        <v>1</v>
      </c>
      <c r="C67" s="486"/>
      <c r="D67" s="489"/>
      <c r="E67" s="361">
        <v>4</v>
      </c>
      <c r="F67" s="362"/>
      <c r="G67" s="444" t="str">
        <f>IF(ISBLANK(F67),"-",(F67/$D$50*$D$47*$B$68)*($B$57/$D$64))</f>
        <v>-</v>
      </c>
      <c r="H67" s="365" t="str">
        <f t="shared" si="0"/>
        <v>-</v>
      </c>
    </row>
    <row r="68" spans="1:8" ht="26.25" customHeight="1" x14ac:dyDescent="0.5">
      <c r="A68" s="297" t="s">
        <v>101</v>
      </c>
      <c r="B68" s="366">
        <f>(B67/B66)*(B65/B64)*(B63/B62)*(B61/B60)*B59</f>
        <v>5000</v>
      </c>
      <c r="C68" s="484" t="s">
        <v>102</v>
      </c>
      <c r="D68" s="487">
        <v>1038.6099999999999</v>
      </c>
      <c r="E68" s="355">
        <v>1</v>
      </c>
      <c r="F68" s="356">
        <v>9601298</v>
      </c>
      <c r="G68" s="442">
        <f>IF(ISBLANK(F68),"-",(F68/$D$50*$D$47*$B$68)*($B$57/$D$68))</f>
        <v>160.71941774656841</v>
      </c>
      <c r="H68" s="359">
        <f t="shared" si="0"/>
        <v>1.0044963609160527</v>
      </c>
    </row>
    <row r="69" spans="1:8" ht="27" customHeight="1" x14ac:dyDescent="0.5">
      <c r="A69" s="345" t="s">
        <v>103</v>
      </c>
      <c r="B69" s="367">
        <f>(D47*B68)/B56*B57</f>
        <v>1041.2015000000001</v>
      </c>
      <c r="C69" s="485"/>
      <c r="D69" s="488"/>
      <c r="E69" s="358">
        <v>2</v>
      </c>
      <c r="F69" s="310">
        <v>9596357</v>
      </c>
      <c r="G69" s="443">
        <f>IF(ISBLANK(F69),"-",(F69/$D$50*$D$47*$B$68)*($B$57/$D$68))</f>
        <v>160.63670865420551</v>
      </c>
      <c r="H69" s="359">
        <f t="shared" si="0"/>
        <v>1.0039794290887845</v>
      </c>
    </row>
    <row r="70" spans="1:8" ht="26.25" customHeight="1" x14ac:dyDescent="0.45">
      <c r="A70" s="497" t="s">
        <v>76</v>
      </c>
      <c r="B70" s="498"/>
      <c r="C70" s="485"/>
      <c r="D70" s="488"/>
      <c r="E70" s="358">
        <v>3</v>
      </c>
      <c r="F70" s="310">
        <v>9611254</v>
      </c>
      <c r="G70" s="443">
        <f>IF(ISBLANK(F70),"-",(F70/$D$50*$D$47*$B$68)*($B$57/$D$68))</f>
        <v>160.88607464265525</v>
      </c>
      <c r="H70" s="359">
        <f t="shared" si="0"/>
        <v>1.0055379665165953</v>
      </c>
    </row>
    <row r="71" spans="1:8" ht="27" customHeight="1" x14ac:dyDescent="0.45">
      <c r="A71" s="499"/>
      <c r="B71" s="500"/>
      <c r="C71" s="496"/>
      <c r="D71" s="489"/>
      <c r="E71" s="361">
        <v>4</v>
      </c>
      <c r="F71" s="362"/>
      <c r="G71" s="444" t="str">
        <f>IF(ISBLANK(F71),"-",(F71/$D$50*$D$47*$B$68)*($B$57/$D$68))</f>
        <v>-</v>
      </c>
      <c r="H71" s="368" t="str">
        <f t="shared" si="0"/>
        <v>-</v>
      </c>
    </row>
    <row r="72" spans="1:8" ht="26.25" customHeight="1" x14ac:dyDescent="0.45">
      <c r="A72" s="369"/>
      <c r="B72" s="369"/>
      <c r="C72" s="369"/>
      <c r="D72" s="369"/>
      <c r="E72" s="369"/>
      <c r="F72" s="371" t="s">
        <v>69</v>
      </c>
      <c r="G72" s="449">
        <f>AVERAGE(G60:G71)</f>
        <v>160.91042030842144</v>
      </c>
      <c r="H72" s="372">
        <f>AVERAGE(H60:H71)</f>
        <v>1.0056901269276339</v>
      </c>
    </row>
    <row r="73" spans="1:8" ht="26.25" customHeight="1" x14ac:dyDescent="0.45">
      <c r="C73" s="369"/>
      <c r="D73" s="369"/>
      <c r="E73" s="369"/>
      <c r="F73" s="373" t="s">
        <v>82</v>
      </c>
      <c r="G73" s="445">
        <f>STDEV(G60:G71)/G72</f>
        <v>1.4466771175357066E-3</v>
      </c>
      <c r="H73" s="445">
        <f>STDEV(H60:H71)/H72</f>
        <v>1.4466771175356929E-3</v>
      </c>
    </row>
    <row r="74" spans="1:8" ht="27" customHeight="1" x14ac:dyDescent="0.45">
      <c r="A74" s="369"/>
      <c r="B74" s="369"/>
      <c r="C74" s="370"/>
      <c r="D74" s="370"/>
      <c r="E74" s="374"/>
      <c r="F74" s="375" t="s">
        <v>19</v>
      </c>
      <c r="G74" s="376">
        <f>COUNT(G60:G71)</f>
        <v>6</v>
      </c>
      <c r="H74" s="376">
        <f>COUNT(H60:H71)</f>
        <v>6</v>
      </c>
    </row>
    <row r="76" spans="1:8" ht="26.25" customHeight="1" x14ac:dyDescent="0.45">
      <c r="A76" s="283" t="s">
        <v>104</v>
      </c>
      <c r="B76" s="377" t="s">
        <v>105</v>
      </c>
      <c r="C76" s="492" t="str">
        <f>B26</f>
        <v>Trimethoprim</v>
      </c>
      <c r="D76" s="492"/>
      <c r="E76" s="378" t="s">
        <v>106</v>
      </c>
      <c r="F76" s="378"/>
      <c r="G76" s="379">
        <f>H72</f>
        <v>1.0056901269276339</v>
      </c>
      <c r="H76" s="380"/>
    </row>
    <row r="77" spans="1:8" ht="18" x14ac:dyDescent="0.35">
      <c r="A77" s="282" t="s">
        <v>107</v>
      </c>
      <c r="B77" s="282" t="s">
        <v>108</v>
      </c>
    </row>
    <row r="78" spans="1:8" ht="18" x14ac:dyDescent="0.35">
      <c r="A78" s="282"/>
      <c r="B78" s="282"/>
    </row>
    <row r="79" spans="1:8" ht="26.25" customHeight="1" x14ac:dyDescent="0.45">
      <c r="A79" s="283" t="s">
        <v>4</v>
      </c>
      <c r="B79" s="478" t="str">
        <f>B26</f>
        <v>Trimethoprim</v>
      </c>
      <c r="C79" s="478"/>
    </row>
    <row r="80" spans="1:8" ht="26.25" customHeight="1" x14ac:dyDescent="0.45">
      <c r="A80" s="284" t="s">
        <v>46</v>
      </c>
      <c r="B80" s="478" t="str">
        <f>B27</f>
        <v>T14 9</v>
      </c>
      <c r="C80" s="478"/>
    </row>
    <row r="81" spans="1:11" ht="27" customHeight="1" x14ac:dyDescent="0.45">
      <c r="A81" s="284" t="s">
        <v>6</v>
      </c>
      <c r="B81" s="381">
        <f>B28</f>
        <v>99.3</v>
      </c>
    </row>
    <row r="82" spans="1:11" s="513" customFormat="1" ht="27" customHeight="1" x14ac:dyDescent="0.5">
      <c r="A82" s="284" t="s">
        <v>47</v>
      </c>
      <c r="B82" s="286">
        <v>0</v>
      </c>
      <c r="C82" s="469" t="s">
        <v>48</v>
      </c>
      <c r="D82" s="470"/>
      <c r="E82" s="470"/>
      <c r="F82" s="470"/>
      <c r="G82" s="471"/>
      <c r="H82" s="14"/>
      <c r="I82" s="287"/>
      <c r="J82" s="512"/>
      <c r="K82" s="512"/>
    </row>
    <row r="83" spans="1:11" s="513" customFormat="1" ht="19.5" customHeight="1" x14ac:dyDescent="0.35">
      <c r="A83" s="284" t="s">
        <v>49</v>
      </c>
      <c r="B83" s="288">
        <f>B81-B82</f>
        <v>99.3</v>
      </c>
      <c r="C83" s="289"/>
      <c r="D83" s="289"/>
      <c r="E83" s="289"/>
      <c r="F83" s="289"/>
      <c r="G83" s="290"/>
      <c r="H83" s="14"/>
      <c r="I83" s="287"/>
      <c r="J83" s="512"/>
      <c r="K83" s="512"/>
    </row>
    <row r="84" spans="1:11" s="513" customFormat="1" ht="27" customHeight="1" x14ac:dyDescent="0.45">
      <c r="A84" s="284" t="s">
        <v>50</v>
      </c>
      <c r="B84" s="291">
        <v>1</v>
      </c>
      <c r="C84" s="472" t="s">
        <v>109</v>
      </c>
      <c r="D84" s="473"/>
      <c r="E84" s="473"/>
      <c r="F84" s="473"/>
      <c r="G84" s="473"/>
      <c r="H84" s="474"/>
      <c r="I84" s="287"/>
      <c r="J84" s="512"/>
      <c r="K84" s="512"/>
    </row>
    <row r="85" spans="1:11" s="513" customFormat="1" ht="27" customHeight="1" x14ac:dyDescent="0.45">
      <c r="A85" s="284" t="s">
        <v>52</v>
      </c>
      <c r="B85" s="291">
        <v>1</v>
      </c>
      <c r="C85" s="472" t="s">
        <v>110</v>
      </c>
      <c r="D85" s="473"/>
      <c r="E85" s="473"/>
      <c r="F85" s="473"/>
      <c r="G85" s="473"/>
      <c r="H85" s="474"/>
      <c r="I85" s="287"/>
      <c r="J85" s="512"/>
      <c r="K85" s="512"/>
    </row>
    <row r="86" spans="1:11" s="513" customFormat="1" ht="18" x14ac:dyDescent="0.35">
      <c r="A86" s="284"/>
      <c r="B86" s="292"/>
      <c r="C86" s="293"/>
      <c r="D86" s="293"/>
      <c r="E86" s="293"/>
      <c r="F86" s="293"/>
      <c r="G86" s="293"/>
      <c r="H86" s="293"/>
      <c r="I86" s="287"/>
      <c r="J86" s="512"/>
      <c r="K86" s="512"/>
    </row>
    <row r="87" spans="1:11" s="513" customFormat="1" ht="18" x14ac:dyDescent="0.35">
      <c r="A87" s="284" t="s">
        <v>54</v>
      </c>
      <c r="B87" s="294">
        <f>B84/B85</f>
        <v>1</v>
      </c>
      <c r="C87" s="274" t="s">
        <v>55</v>
      </c>
      <c r="D87" s="274"/>
      <c r="E87" s="274"/>
      <c r="F87" s="274"/>
      <c r="G87" s="274"/>
      <c r="H87" s="14"/>
      <c r="I87" s="287"/>
      <c r="J87" s="512"/>
      <c r="K87" s="512"/>
    </row>
    <row r="88" spans="1:11" ht="19.5" customHeight="1" x14ac:dyDescent="0.35">
      <c r="A88" s="282"/>
      <c r="B88" s="282"/>
    </row>
    <row r="89" spans="1:11" ht="27" customHeight="1" x14ac:dyDescent="0.45">
      <c r="A89" s="295" t="s">
        <v>56</v>
      </c>
      <c r="B89" s="296">
        <v>25</v>
      </c>
      <c r="D89" s="382" t="s">
        <v>57</v>
      </c>
      <c r="E89" s="383"/>
      <c r="F89" s="475" t="s">
        <v>58</v>
      </c>
      <c r="G89" s="477"/>
    </row>
    <row r="90" spans="1:11" ht="27" customHeight="1" x14ac:dyDescent="0.45">
      <c r="A90" s="297" t="s">
        <v>59</v>
      </c>
      <c r="B90" s="298">
        <v>2</v>
      </c>
      <c r="C90" s="384" t="s">
        <v>60</v>
      </c>
      <c r="D90" s="300" t="s">
        <v>61</v>
      </c>
      <c r="E90" s="301" t="s">
        <v>62</v>
      </c>
      <c r="F90" s="300" t="s">
        <v>61</v>
      </c>
      <c r="G90" s="385" t="s">
        <v>62</v>
      </c>
      <c r="I90" s="303" t="s">
        <v>63</v>
      </c>
    </row>
    <row r="91" spans="1:11" ht="26.25" customHeight="1" x14ac:dyDescent="0.45">
      <c r="A91" s="297" t="s">
        <v>64</v>
      </c>
      <c r="B91" s="298">
        <v>50</v>
      </c>
      <c r="C91" s="386">
        <v>1</v>
      </c>
      <c r="D91" s="305">
        <v>12873112</v>
      </c>
      <c r="E91" s="306">
        <f>IF(ISBLANK(D91),"-",$D$101/$D$98*D91)</f>
        <v>10850687.602503989</v>
      </c>
      <c r="F91" s="305">
        <v>9449157</v>
      </c>
      <c r="G91" s="307">
        <f>IF(ISBLANK(F91),"-",$D$101/$F$98*F91)</f>
        <v>10599573.791814212</v>
      </c>
      <c r="I91" s="308"/>
    </row>
    <row r="92" spans="1:11" ht="26.25" customHeight="1" x14ac:dyDescent="0.45">
      <c r="A92" s="297" t="s">
        <v>65</v>
      </c>
      <c r="B92" s="298">
        <v>1</v>
      </c>
      <c r="C92" s="370">
        <v>2</v>
      </c>
      <c r="D92" s="310">
        <v>12875336</v>
      </c>
      <c r="E92" s="311">
        <f>IF(ISBLANK(D92),"-",$D$101/$D$98*D92)</f>
        <v>10852562.201996945</v>
      </c>
      <c r="F92" s="310">
        <v>9457705</v>
      </c>
      <c r="G92" s="312">
        <f>IF(ISBLANK(F92),"-",$D$101/$F$98*F92)</f>
        <v>10609162.494464874</v>
      </c>
      <c r="I92" s="479">
        <f>ABS((F96/D96*D95)-F95)/D95</f>
        <v>1.6922454903584586E-2</v>
      </c>
    </row>
    <row r="93" spans="1:11" ht="26.25" customHeight="1" x14ac:dyDescent="0.45">
      <c r="A93" s="297" t="s">
        <v>66</v>
      </c>
      <c r="B93" s="298">
        <v>1</v>
      </c>
      <c r="C93" s="370">
        <v>3</v>
      </c>
      <c r="D93" s="310">
        <v>12881050</v>
      </c>
      <c r="E93" s="311">
        <f>IF(ISBLANK(D93),"-",$D$101/$D$98*D93)</f>
        <v>10857378.506629478</v>
      </c>
      <c r="F93" s="310">
        <v>9466117</v>
      </c>
      <c r="G93" s="312">
        <f>IF(ISBLANK(F93),"-",$D$101/$F$98*F93)</f>
        <v>10618598.639375659</v>
      </c>
      <c r="I93" s="479"/>
    </row>
    <row r="94" spans="1:11" ht="27" customHeight="1" x14ac:dyDescent="0.45">
      <c r="A94" s="297" t="s">
        <v>67</v>
      </c>
      <c r="B94" s="298">
        <v>1</v>
      </c>
      <c r="C94" s="387">
        <v>4</v>
      </c>
      <c r="D94" s="315"/>
      <c r="E94" s="316" t="str">
        <f>IF(ISBLANK(D94),"-",$D$101/$D$98*D94)</f>
        <v>-</v>
      </c>
      <c r="F94" s="388"/>
      <c r="G94" s="317" t="str">
        <f>IF(ISBLANK(F94),"-",$D$101/$F$98*F94)</f>
        <v>-</v>
      </c>
      <c r="I94" s="318"/>
    </row>
    <row r="95" spans="1:11" ht="27" customHeight="1" x14ac:dyDescent="0.45">
      <c r="A95" s="297" t="s">
        <v>68</v>
      </c>
      <c r="B95" s="298">
        <v>1</v>
      </c>
      <c r="C95" s="389" t="s">
        <v>69</v>
      </c>
      <c r="D95" s="390">
        <f>AVERAGE(D91:D94)</f>
        <v>12876499.333333334</v>
      </c>
      <c r="E95" s="321">
        <f>AVERAGE(E91:E94)</f>
        <v>10853542.770376803</v>
      </c>
      <c r="F95" s="391">
        <f>AVERAGE(F91:F94)</f>
        <v>9457659.666666666</v>
      </c>
      <c r="G95" s="392">
        <f>AVERAGE(G91:G94)</f>
        <v>10609111.641884916</v>
      </c>
    </row>
    <row r="96" spans="1:11" ht="26.25" customHeight="1" x14ac:dyDescent="0.45">
      <c r="A96" s="297" t="s">
        <v>70</v>
      </c>
      <c r="B96" s="285">
        <v>1</v>
      </c>
      <c r="C96" s="393" t="s">
        <v>111</v>
      </c>
      <c r="D96" s="394">
        <v>26.55</v>
      </c>
      <c r="E96" s="313"/>
      <c r="F96" s="325">
        <v>19.95</v>
      </c>
    </row>
    <row r="97" spans="1:8" ht="26.25" customHeight="1" x14ac:dyDescent="0.45">
      <c r="A97" s="297" t="s">
        <v>72</v>
      </c>
      <c r="B97" s="285">
        <v>1</v>
      </c>
      <c r="C97" s="395" t="s">
        <v>112</v>
      </c>
      <c r="D97" s="396">
        <f>D96*$B$87</f>
        <v>26.55</v>
      </c>
      <c r="E97" s="328"/>
      <c r="F97" s="327">
        <f>F96*$B$87</f>
        <v>19.95</v>
      </c>
    </row>
    <row r="98" spans="1:8" ht="19.5" customHeight="1" x14ac:dyDescent="0.35">
      <c r="A98" s="297" t="s">
        <v>74</v>
      </c>
      <c r="B98" s="397">
        <f>(B97/B96)*(B95/B94)*(B93/B92)*(B91/B90)*B89</f>
        <v>625</v>
      </c>
      <c r="C98" s="395" t="s">
        <v>113</v>
      </c>
      <c r="D98" s="398">
        <f>D97*$B$83/100</f>
        <v>26.364149999999999</v>
      </c>
      <c r="E98" s="331"/>
      <c r="F98" s="330">
        <f>F97*$B$83/100</f>
        <v>19.81035</v>
      </c>
    </row>
    <row r="99" spans="1:8" ht="19.5" customHeight="1" x14ac:dyDescent="0.35">
      <c r="A99" s="480" t="s">
        <v>76</v>
      </c>
      <c r="B99" s="494"/>
      <c r="C99" s="395" t="s">
        <v>114</v>
      </c>
      <c r="D99" s="399">
        <f>D98/$B$98</f>
        <v>4.218264E-2</v>
      </c>
      <c r="E99" s="331"/>
      <c r="F99" s="334">
        <f>F98/$B$98</f>
        <v>3.1696559999999999E-2</v>
      </c>
      <c r="G99" s="400"/>
      <c r="H99" s="323"/>
    </row>
    <row r="100" spans="1:8" ht="19.5" customHeight="1" x14ac:dyDescent="0.35">
      <c r="A100" s="482"/>
      <c r="B100" s="495"/>
      <c r="C100" s="395" t="s">
        <v>78</v>
      </c>
      <c r="D100" s="401">
        <f>$B$56/$B$116</f>
        <v>3.5555555555555556E-2</v>
      </c>
      <c r="F100" s="339"/>
      <c r="G100" s="402"/>
      <c r="H100" s="323"/>
    </row>
    <row r="101" spans="1:8" ht="18" x14ac:dyDescent="0.35">
      <c r="C101" s="395" t="s">
        <v>79</v>
      </c>
      <c r="D101" s="396">
        <f>D100*$B$98</f>
        <v>22.222222222222221</v>
      </c>
      <c r="F101" s="339"/>
      <c r="G101" s="400"/>
      <c r="H101" s="323"/>
    </row>
    <row r="102" spans="1:8" ht="19.5" customHeight="1" x14ac:dyDescent="0.35">
      <c r="C102" s="403" t="s">
        <v>80</v>
      </c>
      <c r="D102" s="404">
        <f>D101/B34</f>
        <v>22.222222222222221</v>
      </c>
      <c r="F102" s="343"/>
      <c r="G102" s="400"/>
      <c r="H102" s="323"/>
    </row>
    <row r="103" spans="1:8" ht="18" x14ac:dyDescent="0.35">
      <c r="C103" s="405" t="s">
        <v>115</v>
      </c>
      <c r="D103" s="406">
        <f>AVERAGE(E91:E94,G91:G94)</f>
        <v>10731327.20613086</v>
      </c>
      <c r="F103" s="343"/>
      <c r="G103" s="407"/>
      <c r="H103" s="323"/>
    </row>
    <row r="104" spans="1:8" ht="18" x14ac:dyDescent="0.35">
      <c r="C104" s="373" t="s">
        <v>82</v>
      </c>
      <c r="D104" s="408">
        <f>STDEV(E91:E94,G91:G94)/D103</f>
        <v>1.2489911755993338E-2</v>
      </c>
      <c r="F104" s="343"/>
      <c r="G104" s="400"/>
      <c r="H104" s="323"/>
    </row>
    <row r="105" spans="1:8" ht="19.5" customHeight="1" x14ac:dyDescent="0.35">
      <c r="C105" s="375" t="s">
        <v>19</v>
      </c>
      <c r="D105" s="409">
        <f>COUNT(E91:E94,G91:G94)</f>
        <v>6</v>
      </c>
      <c r="F105" s="343"/>
      <c r="G105" s="400"/>
      <c r="H105" s="323"/>
    </row>
    <row r="106" spans="1:8" ht="19.5" customHeight="1" x14ac:dyDescent="0.35">
      <c r="A106" s="347"/>
      <c r="B106" s="347"/>
      <c r="C106" s="347"/>
      <c r="D106" s="347"/>
      <c r="E106" s="347"/>
    </row>
    <row r="107" spans="1:8" ht="26.25" customHeight="1" x14ac:dyDescent="0.45">
      <c r="A107" s="295" t="s">
        <v>116</v>
      </c>
      <c r="B107" s="296">
        <v>900</v>
      </c>
      <c r="C107" s="410" t="s">
        <v>117</v>
      </c>
      <c r="D107" s="411" t="s">
        <v>61</v>
      </c>
      <c r="E107" s="412" t="s">
        <v>118</v>
      </c>
      <c r="F107" s="413" t="s">
        <v>119</v>
      </c>
    </row>
    <row r="108" spans="1:8" ht="26.25" customHeight="1" x14ac:dyDescent="0.45">
      <c r="A108" s="297" t="s">
        <v>120</v>
      </c>
      <c r="B108" s="298">
        <v>2</v>
      </c>
      <c r="C108" s="414">
        <v>1</v>
      </c>
      <c r="D108" s="415">
        <v>9779863</v>
      </c>
      <c r="E108" s="446">
        <f t="shared" ref="E108:E113" si="1">IF(ISBLANK(D108),"-",D108/$D$103*$D$100*$B$116)</f>
        <v>145.81403119513817</v>
      </c>
      <c r="F108" s="416">
        <f>IF(ISBLANK(D108), "-", E108/$B$56)</f>
        <v>0.91133769496961359</v>
      </c>
    </row>
    <row r="109" spans="1:8" ht="26.25" customHeight="1" x14ac:dyDescent="0.45">
      <c r="A109" s="297" t="s">
        <v>93</v>
      </c>
      <c r="B109" s="298">
        <v>10</v>
      </c>
      <c r="C109" s="414">
        <v>2</v>
      </c>
      <c r="D109" s="415">
        <v>9927608</v>
      </c>
      <c r="E109" s="447">
        <f t="shared" si="1"/>
        <v>148.01685285418651</v>
      </c>
      <c r="F109" s="417">
        <f t="shared" ref="F108:F113" si="2">IF(ISBLANK(D109), "-", E109/$B$56)</f>
        <v>0.92510533033866571</v>
      </c>
      <c r="G109" s="400"/>
    </row>
    <row r="110" spans="1:8" ht="26.25" customHeight="1" x14ac:dyDescent="0.45">
      <c r="A110" s="297" t="s">
        <v>94</v>
      </c>
      <c r="B110" s="298">
        <v>1</v>
      </c>
      <c r="C110" s="414">
        <v>3</v>
      </c>
      <c r="D110" s="415">
        <v>9990590</v>
      </c>
      <c r="E110" s="447">
        <f t="shared" si="1"/>
        <v>148.95589047799905</v>
      </c>
      <c r="F110" s="417">
        <f t="shared" si="2"/>
        <v>0.9309743154874941</v>
      </c>
      <c r="G110" s="400"/>
    </row>
    <row r="111" spans="1:8" ht="26.25" customHeight="1" x14ac:dyDescent="0.45">
      <c r="A111" s="297" t="s">
        <v>95</v>
      </c>
      <c r="B111" s="298">
        <v>1</v>
      </c>
      <c r="C111" s="414">
        <v>4</v>
      </c>
      <c r="D111" s="415">
        <v>9907715</v>
      </c>
      <c r="E111" s="447">
        <f t="shared" si="1"/>
        <v>147.72025580343387</v>
      </c>
      <c r="F111" s="417">
        <f t="shared" si="2"/>
        <v>0.92325159877146168</v>
      </c>
      <c r="G111" s="400"/>
    </row>
    <row r="112" spans="1:8" ht="26.25" customHeight="1" x14ac:dyDescent="0.45">
      <c r="A112" s="297" t="s">
        <v>96</v>
      </c>
      <c r="B112" s="298">
        <v>1</v>
      </c>
      <c r="C112" s="414">
        <v>5</v>
      </c>
      <c r="D112" s="415">
        <v>10444528</v>
      </c>
      <c r="E112" s="447">
        <f t="shared" si="1"/>
        <v>155.72393310729342</v>
      </c>
      <c r="F112" s="417">
        <f t="shared" si="2"/>
        <v>0.97327458192058391</v>
      </c>
      <c r="G112" s="400"/>
    </row>
    <row r="113" spans="1:9" ht="26.25" customHeight="1" x14ac:dyDescent="0.45">
      <c r="A113" s="297" t="s">
        <v>98</v>
      </c>
      <c r="B113" s="298">
        <v>1</v>
      </c>
      <c r="C113" s="418">
        <v>6</v>
      </c>
      <c r="D113" s="419">
        <v>10155318</v>
      </c>
      <c r="E113" s="448">
        <f t="shared" si="1"/>
        <v>151.41192219651214</v>
      </c>
      <c r="F113" s="420">
        <f t="shared" si="2"/>
        <v>0.94632451372820081</v>
      </c>
      <c r="G113" s="400"/>
    </row>
    <row r="114" spans="1:9" ht="26.25" customHeight="1" x14ac:dyDescent="0.45">
      <c r="A114" s="297" t="s">
        <v>99</v>
      </c>
      <c r="B114" s="298">
        <v>1</v>
      </c>
      <c r="C114" s="414"/>
      <c r="D114" s="370"/>
      <c r="E114" s="273"/>
      <c r="F114" s="421"/>
    </row>
    <row r="115" spans="1:9" ht="26.25" customHeight="1" x14ac:dyDescent="0.45">
      <c r="A115" s="297" t="s">
        <v>100</v>
      </c>
      <c r="B115" s="298">
        <v>1</v>
      </c>
      <c r="C115" s="414"/>
      <c r="D115" s="422" t="s">
        <v>69</v>
      </c>
      <c r="E115" s="450">
        <f>AVERAGE(E108:E113)</f>
        <v>149.60714760576053</v>
      </c>
      <c r="F115" s="423">
        <f>AVERAGE(F108:F113)</f>
        <v>0.93504467253600332</v>
      </c>
    </row>
    <row r="116" spans="1:9" ht="27" customHeight="1" x14ac:dyDescent="0.45">
      <c r="A116" s="297" t="s">
        <v>101</v>
      </c>
      <c r="B116" s="329">
        <f>(B115/B114)*(B113/B112)*(B111/B110)*(B109/B108)*B107</f>
        <v>4500</v>
      </c>
      <c r="C116" s="424"/>
      <c r="D116" s="389" t="s">
        <v>82</v>
      </c>
      <c r="E116" s="425">
        <f>STDEV(E108:E113)/E115</f>
        <v>2.3456311707710276E-2</v>
      </c>
      <c r="F116" s="425">
        <f>STDEV(F108:F113)/F115</f>
        <v>2.3456311707710283E-2</v>
      </c>
      <c r="I116" s="273"/>
    </row>
    <row r="117" spans="1:9" ht="27" customHeight="1" x14ac:dyDescent="0.45">
      <c r="A117" s="480" t="s">
        <v>76</v>
      </c>
      <c r="B117" s="481"/>
      <c r="C117" s="426"/>
      <c r="D117" s="427" t="s">
        <v>19</v>
      </c>
      <c r="E117" s="428">
        <f>COUNT(E108:E113)</f>
        <v>6</v>
      </c>
      <c r="F117" s="428">
        <f>COUNT(F108:F113)</f>
        <v>6</v>
      </c>
      <c r="I117" s="273"/>
    </row>
    <row r="118" spans="1:9" ht="19.5" customHeight="1" x14ac:dyDescent="0.35">
      <c r="A118" s="482"/>
      <c r="B118" s="483"/>
      <c r="C118" s="273"/>
      <c r="D118" s="273"/>
      <c r="E118" s="273"/>
      <c r="F118" s="370"/>
      <c r="G118" s="273"/>
      <c r="H118" s="273"/>
      <c r="I118" s="273"/>
    </row>
    <row r="119" spans="1:9" ht="18" x14ac:dyDescent="0.35">
      <c r="A119" s="437"/>
      <c r="B119" s="293"/>
      <c r="C119" s="273"/>
      <c r="D119" s="273"/>
      <c r="E119" s="273"/>
      <c r="F119" s="370"/>
      <c r="G119" s="273"/>
      <c r="H119" s="273"/>
      <c r="I119" s="273"/>
    </row>
    <row r="120" spans="1:9" ht="26.25" customHeight="1" x14ac:dyDescent="0.45">
      <c r="A120" s="283" t="s">
        <v>104</v>
      </c>
      <c r="B120" s="377" t="s">
        <v>121</v>
      </c>
      <c r="C120" s="492" t="str">
        <f>B79</f>
        <v>Trimethoprim</v>
      </c>
      <c r="D120" s="492"/>
      <c r="E120" s="378" t="s">
        <v>122</v>
      </c>
      <c r="F120" s="378"/>
      <c r="G120" s="379">
        <f>F115</f>
        <v>0.93504467253600332</v>
      </c>
      <c r="H120" s="273"/>
      <c r="I120" s="273"/>
    </row>
    <row r="121" spans="1:9" ht="19.5" customHeight="1" x14ac:dyDescent="0.35">
      <c r="A121" s="429"/>
      <c r="B121" s="429"/>
      <c r="C121" s="430"/>
      <c r="D121" s="430"/>
      <c r="E121" s="430"/>
      <c r="F121" s="430"/>
      <c r="G121" s="430"/>
      <c r="H121" s="430"/>
    </row>
    <row r="122" spans="1:9" ht="18" x14ac:dyDescent="0.35">
      <c r="B122" s="493" t="s">
        <v>24</v>
      </c>
      <c r="C122" s="493"/>
      <c r="E122" s="384" t="s">
        <v>25</v>
      </c>
      <c r="F122" s="431"/>
      <c r="G122" s="493" t="s">
        <v>26</v>
      </c>
      <c r="H122" s="493"/>
    </row>
    <row r="123" spans="1:9" ht="69.900000000000006" customHeight="1" x14ac:dyDescent="0.35">
      <c r="A123" s="432" t="s">
        <v>27</v>
      </c>
      <c r="B123" s="433"/>
      <c r="C123" s="433"/>
      <c r="E123" s="433"/>
      <c r="F123" s="273"/>
      <c r="G123" s="434"/>
      <c r="H123" s="434"/>
    </row>
    <row r="124" spans="1:9" ht="69.900000000000006" customHeight="1" x14ac:dyDescent="0.35">
      <c r="A124" s="432" t="s">
        <v>28</v>
      </c>
      <c r="B124" s="435"/>
      <c r="C124" s="435" t="s">
        <v>131</v>
      </c>
      <c r="E124" s="517">
        <v>42376</v>
      </c>
      <c r="F124" s="273"/>
      <c r="G124" s="436"/>
      <c r="H124" s="436"/>
    </row>
    <row r="125" spans="1:9" ht="18" x14ac:dyDescent="0.35">
      <c r="A125" s="369"/>
      <c r="B125" s="369"/>
      <c r="C125" s="370"/>
      <c r="D125" s="370"/>
      <c r="E125" s="370"/>
      <c r="F125" s="374"/>
      <c r="G125" s="370"/>
      <c r="H125" s="370"/>
      <c r="I125" s="273"/>
    </row>
    <row r="126" spans="1:9" ht="18" x14ac:dyDescent="0.35">
      <c r="A126" s="369"/>
      <c r="B126" s="369"/>
      <c r="C126" s="370"/>
      <c r="D126" s="370"/>
      <c r="E126" s="370"/>
      <c r="F126" s="374"/>
      <c r="G126" s="370"/>
      <c r="H126" s="370"/>
      <c r="I126" s="273"/>
    </row>
    <row r="127" spans="1:9" ht="18" x14ac:dyDescent="0.35">
      <c r="A127" s="369"/>
      <c r="B127" s="369"/>
      <c r="C127" s="370"/>
      <c r="D127" s="370"/>
      <c r="E127" s="370"/>
      <c r="F127" s="374"/>
      <c r="G127" s="370"/>
      <c r="H127" s="370"/>
      <c r="I127" s="273"/>
    </row>
    <row r="128" spans="1:9" ht="18" x14ac:dyDescent="0.35">
      <c r="A128" s="369"/>
      <c r="B128" s="369"/>
      <c r="C128" s="370"/>
      <c r="D128" s="370"/>
      <c r="E128" s="370"/>
      <c r="F128" s="374"/>
      <c r="G128" s="370"/>
      <c r="H128" s="370"/>
      <c r="I128" s="273"/>
    </row>
    <row r="129" spans="1:9" ht="18" x14ac:dyDescent="0.35">
      <c r="A129" s="369"/>
      <c r="B129" s="369"/>
      <c r="C129" s="370"/>
      <c r="D129" s="370"/>
      <c r="E129" s="370"/>
      <c r="F129" s="374"/>
      <c r="G129" s="370"/>
      <c r="H129" s="370"/>
      <c r="I129" s="273"/>
    </row>
    <row r="130" spans="1:9" ht="18" x14ac:dyDescent="0.35">
      <c r="A130" s="369"/>
      <c r="B130" s="369"/>
      <c r="C130" s="370"/>
      <c r="D130" s="370"/>
      <c r="E130" s="370"/>
      <c r="F130" s="374"/>
      <c r="G130" s="370"/>
      <c r="H130" s="370"/>
      <c r="I130" s="273"/>
    </row>
    <row r="131" spans="1:9" ht="18" x14ac:dyDescent="0.35">
      <c r="A131" s="369"/>
      <c r="B131" s="369"/>
      <c r="C131" s="370"/>
      <c r="D131" s="370"/>
      <c r="E131" s="370"/>
      <c r="F131" s="374"/>
      <c r="G131" s="370"/>
      <c r="H131" s="370"/>
      <c r="I131" s="273"/>
    </row>
    <row r="132" spans="1:9" ht="18" x14ac:dyDescent="0.35">
      <c r="A132" s="369"/>
      <c r="B132" s="369"/>
      <c r="C132" s="370"/>
      <c r="D132" s="370"/>
      <c r="E132" s="370"/>
      <c r="F132" s="374"/>
      <c r="G132" s="370"/>
      <c r="H132" s="370"/>
      <c r="I132" s="273"/>
    </row>
    <row r="133" spans="1:9" ht="18" x14ac:dyDescent="0.35">
      <c r="A133" s="369"/>
      <c r="B133" s="369"/>
      <c r="C133" s="370"/>
      <c r="D133" s="370"/>
      <c r="E133" s="370"/>
      <c r="F133" s="374"/>
      <c r="G133" s="370"/>
      <c r="H133" s="370"/>
      <c r="I133" s="273"/>
    </row>
    <row r="250" spans="1:1" x14ac:dyDescent="0.3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SST</vt:lpstr>
      <vt:lpstr>Uniformity</vt:lpstr>
      <vt:lpstr>SULPHAMETHOXAZOLE</vt:lpstr>
      <vt:lpstr>TRIMETHOPRIM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Nicholas Njuguna</cp:lastModifiedBy>
  <dcterms:created xsi:type="dcterms:W3CDTF">2005-07-05T10:19:27Z</dcterms:created>
  <dcterms:modified xsi:type="dcterms:W3CDTF">2016-01-07T16:51:26Z</dcterms:modified>
</cp:coreProperties>
</file>