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25" windowWidth="20775" windowHeight="9405"/>
  </bookViews>
  <sheets>
    <sheet name="Sulfame" sheetId="5" r:id="rId1"/>
    <sheet name="Trimeth" sheetId="1" r:id="rId2"/>
    <sheet name="Uniformity" sheetId="2" r:id="rId3"/>
    <sheet name="Sulfamethoxazole" sheetId="3" r:id="rId4"/>
    <sheet name="Trimethoprim" sheetId="4" r:id="rId5"/>
  </sheets>
  <definedNames>
    <definedName name="_xlnm.Print_Area" localSheetId="2">Uniformity!$A$1:$F$54</definedName>
  </definedNames>
  <calcPr calcId="144525"/>
</workbook>
</file>

<file path=xl/calcChain.xml><?xml version="1.0" encoding="utf-8"?>
<calcChain xmlns="http://schemas.openxmlformats.org/spreadsheetml/2006/main">
  <c r="B41" i="5" l="1"/>
  <c r="G120" i="3"/>
  <c r="F112" i="3"/>
  <c r="F110" i="3"/>
  <c r="F108" i="3"/>
  <c r="E108" i="3"/>
  <c r="G120" i="4"/>
  <c r="F112" i="4"/>
  <c r="F110" i="4"/>
  <c r="F108" i="4"/>
  <c r="E108" i="4"/>
  <c r="G91" i="4"/>
  <c r="E91" i="4"/>
  <c r="B87" i="4"/>
  <c r="F95" i="4"/>
  <c r="D95" i="4"/>
  <c r="F95" i="3"/>
  <c r="D95" i="3"/>
  <c r="B116" i="3"/>
  <c r="B98" i="3"/>
  <c r="B87" i="3"/>
  <c r="G76" i="4" l="1"/>
  <c r="G76" i="3"/>
  <c r="B53" i="5" l="1"/>
  <c r="E51" i="5"/>
  <c r="D51" i="5"/>
  <c r="C51" i="5"/>
  <c r="B51" i="5"/>
  <c r="B52" i="5" s="1"/>
  <c r="B32" i="5"/>
  <c r="E30" i="5"/>
  <c r="D30" i="5"/>
  <c r="C30" i="5"/>
  <c r="B30" i="5"/>
  <c r="B31" i="5" s="1"/>
  <c r="B68" i="4"/>
  <c r="D47" i="4"/>
  <c r="D48" i="4" s="1"/>
  <c r="B45" i="4"/>
  <c r="B34" i="4"/>
  <c r="B30" i="4"/>
  <c r="D47" i="3"/>
  <c r="B45" i="3"/>
  <c r="B34" i="3"/>
  <c r="C120" i="4"/>
  <c r="B116" i="4"/>
  <c r="D100" i="4" s="1"/>
  <c r="B98" i="4"/>
  <c r="F97" i="4"/>
  <c r="B81" i="4"/>
  <c r="B83" i="4" s="1"/>
  <c r="B80" i="4"/>
  <c r="B79" i="4"/>
  <c r="C76" i="4"/>
  <c r="C56" i="4"/>
  <c r="B55" i="4"/>
  <c r="F42" i="4"/>
  <c r="D42" i="4"/>
  <c r="F44" i="4"/>
  <c r="C120" i="3"/>
  <c r="D100" i="3"/>
  <c r="F97" i="3"/>
  <c r="B83" i="3"/>
  <c r="B81" i="3"/>
  <c r="B80" i="3"/>
  <c r="B79" i="3"/>
  <c r="C76" i="3"/>
  <c r="B68" i="3"/>
  <c r="C56" i="3"/>
  <c r="B55" i="3"/>
  <c r="D48" i="3"/>
  <c r="D44" i="3"/>
  <c r="F42" i="3"/>
  <c r="D42" i="3"/>
  <c r="F44" i="3"/>
  <c r="B30" i="3"/>
  <c r="C46" i="2"/>
  <c r="C50" i="2" s="1"/>
  <c r="C45" i="2"/>
  <c r="C19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D101" i="4" l="1"/>
  <c r="D97" i="4"/>
  <c r="D98" i="4" s="1"/>
  <c r="E93" i="4" s="1"/>
  <c r="I92" i="3"/>
  <c r="D101" i="3"/>
  <c r="D97" i="3"/>
  <c r="D29" i="2"/>
  <c r="D30" i="2"/>
  <c r="D38" i="2"/>
  <c r="D25" i="2"/>
  <c r="D33" i="2"/>
  <c r="D41" i="2"/>
  <c r="B49" i="2"/>
  <c r="D26" i="2"/>
  <c r="D34" i="2"/>
  <c r="D42" i="2"/>
  <c r="D50" i="2"/>
  <c r="D37" i="2"/>
  <c r="I39" i="4"/>
  <c r="D102" i="4"/>
  <c r="D49" i="4"/>
  <c r="D44" i="4"/>
  <c r="I92" i="4"/>
  <c r="F45" i="4"/>
  <c r="D45" i="4"/>
  <c r="E40" i="4" s="1"/>
  <c r="F98" i="4"/>
  <c r="I39" i="3"/>
  <c r="D49" i="3"/>
  <c r="D98" i="3"/>
  <c r="E93" i="3" s="1"/>
  <c r="D45" i="3"/>
  <c r="E39" i="3" s="1"/>
  <c r="F98" i="3"/>
  <c r="F45" i="3"/>
  <c r="F46" i="3" s="1"/>
  <c r="D27" i="2"/>
  <c r="D31" i="2"/>
  <c r="D35" i="2"/>
  <c r="D39" i="2"/>
  <c r="D43" i="2"/>
  <c r="C49" i="2"/>
  <c r="G40" i="3"/>
  <c r="D24" i="2"/>
  <c r="D28" i="2"/>
  <c r="D32" i="2"/>
  <c r="D36" i="2"/>
  <c r="D40" i="2"/>
  <c r="D49" i="2"/>
  <c r="B57" i="3"/>
  <c r="B69" i="3" s="1"/>
  <c r="B57" i="4"/>
  <c r="B69" i="4" s="1"/>
  <c r="G93" i="4" l="1"/>
  <c r="F99" i="4"/>
  <c r="D99" i="3"/>
  <c r="D102" i="3"/>
  <c r="G91" i="3"/>
  <c r="E91" i="3"/>
  <c r="G92" i="3"/>
  <c r="F99" i="3"/>
  <c r="E92" i="3"/>
  <c r="G93" i="3"/>
  <c r="G92" i="4"/>
  <c r="E92" i="4"/>
  <c r="D99" i="4"/>
  <c r="G38" i="4"/>
  <c r="G39" i="4"/>
  <c r="F46" i="4"/>
  <c r="G40" i="4"/>
  <c r="D46" i="4"/>
  <c r="E39" i="4"/>
  <c r="E38" i="4"/>
  <c r="E42" i="4" s="1"/>
  <c r="G41" i="3"/>
  <c r="D46" i="3"/>
  <c r="G39" i="3"/>
  <c r="G38" i="3"/>
  <c r="E41" i="3"/>
  <c r="E40" i="3"/>
  <c r="E38" i="3"/>
  <c r="E95" i="3" l="1"/>
  <c r="G95" i="3"/>
  <c r="D103" i="3"/>
  <c r="E113" i="3" s="1"/>
  <c r="F113" i="3" s="1"/>
  <c r="D105" i="3"/>
  <c r="D103" i="4"/>
  <c r="E113" i="4" s="1"/>
  <c r="F113" i="4" s="1"/>
  <c r="E95" i="4"/>
  <c r="G95" i="4"/>
  <c r="D105" i="4"/>
  <c r="G42" i="4"/>
  <c r="D52" i="4"/>
  <c r="D50" i="4"/>
  <c r="G69" i="4" s="1"/>
  <c r="H69" i="4" s="1"/>
  <c r="G42" i="3"/>
  <c r="D52" i="3"/>
  <c r="D50" i="3"/>
  <c r="E42" i="3"/>
  <c r="E109" i="4" l="1"/>
  <c r="F109" i="4" s="1"/>
  <c r="D104" i="3"/>
  <c r="D104" i="4"/>
  <c r="E109" i="3"/>
  <c r="F109" i="3" s="1"/>
  <c r="E112" i="3"/>
  <c r="E110" i="3"/>
  <c r="E111" i="3"/>
  <c r="F111" i="3" s="1"/>
  <c r="E110" i="4"/>
  <c r="E112" i="4"/>
  <c r="E111" i="4"/>
  <c r="F111" i="4" s="1"/>
  <c r="G68" i="4"/>
  <c r="H68" i="4" s="1"/>
  <c r="G70" i="4"/>
  <c r="H70" i="4" s="1"/>
  <c r="G62" i="4"/>
  <c r="H62" i="4" s="1"/>
  <c r="H63" i="4"/>
  <c r="G64" i="4"/>
  <c r="H64" i="4" s="1"/>
  <c r="H67" i="4"/>
  <c r="G66" i="4"/>
  <c r="H66" i="4" s="1"/>
  <c r="G61" i="4"/>
  <c r="H61" i="4" s="1"/>
  <c r="D51" i="4"/>
  <c r="H71" i="4"/>
  <c r="G65" i="4"/>
  <c r="H65" i="4" s="1"/>
  <c r="G60" i="4"/>
  <c r="H60" i="4" s="1"/>
  <c r="G70" i="3"/>
  <c r="H70" i="3" s="1"/>
  <c r="D51" i="3"/>
  <c r="G61" i="3"/>
  <c r="H61" i="3" s="1"/>
  <c r="G64" i="3"/>
  <c r="H64" i="3" s="1"/>
  <c r="G66" i="3"/>
  <c r="H66" i="3" s="1"/>
  <c r="G65" i="3"/>
  <c r="H65" i="3" s="1"/>
  <c r="G60" i="3"/>
  <c r="G69" i="3"/>
  <c r="H69" i="3" s="1"/>
  <c r="G68" i="3"/>
  <c r="H68" i="3" s="1"/>
  <c r="G62" i="3"/>
  <c r="H62" i="3" s="1"/>
  <c r="E117" i="4" l="1"/>
  <c r="E115" i="3"/>
  <c r="E116" i="3" s="1"/>
  <c r="E117" i="3"/>
  <c r="E115" i="4"/>
  <c r="E116" i="4" s="1"/>
  <c r="G74" i="4"/>
  <c r="G72" i="4"/>
  <c r="G73" i="4" s="1"/>
  <c r="G74" i="3"/>
  <c r="H60" i="3"/>
  <c r="H72" i="3" s="1"/>
  <c r="G72" i="3"/>
  <c r="G73" i="3" s="1"/>
  <c r="H74" i="4"/>
  <c r="H72" i="4"/>
  <c r="F117" i="3"/>
  <c r="F115" i="3"/>
  <c r="F117" i="4"/>
  <c r="F115" i="4"/>
  <c r="H74" i="3" l="1"/>
  <c r="F116" i="3"/>
  <c r="H73" i="3"/>
  <c r="F116" i="4"/>
  <c r="H73" i="4"/>
</calcChain>
</file>

<file path=xl/sharedStrings.xml><?xml version="1.0" encoding="utf-8"?>
<sst xmlns="http://schemas.openxmlformats.org/spreadsheetml/2006/main" count="444" uniqueCount="129">
  <si>
    <t>HPLC System Suitability Report</t>
  </si>
  <si>
    <t>Analysis Data</t>
  </si>
  <si>
    <t>Assay</t>
  </si>
  <si>
    <t>Sample(s)</t>
  </si>
  <si>
    <t>Reference Substance:</t>
  </si>
  <si>
    <t>SULFRAN - DS TABLETS</t>
  </si>
  <si>
    <t>% age Purity:</t>
  </si>
  <si>
    <t>Weight (mg):</t>
  </si>
  <si>
    <t>Sulfamethoxazole BP &amp; Trimethoprim BP</t>
  </si>
  <si>
    <t>Standard Conc (mg/mL):</t>
  </si>
  <si>
    <t>Sulphamethoxazole 800mg Trimethoprim 160 per tablets</t>
  </si>
  <si>
    <t>2016-01-12 10:40:48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</si>
  <si>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</si>
  <si>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</si>
  <si>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</si>
  <si>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</si>
  <si>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</si>
  <si>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</si>
  <si>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</si>
  <si>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</si>
  <si>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</si>
  <si>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</si>
  <si>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</si>
  <si>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</si>
  <si>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</si>
  <si>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</si>
  <si>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</si>
  <si>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</si>
  <si>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</si>
  <si>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</si>
  <si>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</si>
  <si>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</si>
  <si>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</si>
  <si>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</si>
  <si>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</si>
  <si>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</si>
  <si>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</si>
  <si>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</si>
  <si>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</si>
  <si>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</si>
  <si>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</si>
  <si>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</si>
  <si>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</si>
  <si>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</si>
  <si>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</si>
  <si>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</si>
  <si>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</si>
  <si>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</si>
  <si>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</si>
  <si>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</si>
  <si>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</si>
  <si>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</si>
  <si>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</si>
  <si>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</si>
  <si>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</si>
  <si>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</si>
  <si>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</si>
  <si>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</si>
  <si>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</si>
  <si>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</si>
  <si>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</si>
  <si>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</si>
  <si>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</si>
  <si>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</si>
  <si>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</si>
  <si>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</si>
  <si>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</si>
  <si>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</si>
  <si>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</si>
  <si>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</si>
  <si>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</si>
  <si>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</si>
  <si>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</si>
  <si>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</si>
  <si>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</si>
  <si>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</si>
  <si>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</si>
  <si>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</si>
  <si>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</si>
  <si>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</si>
  <si>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</si>
  <si>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</si>
  <si>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</si>
  <si>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</si>
  <si>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</si>
  <si>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</si>
  <si>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</si>
  <si>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</si>
  <si>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</si>
  <si>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</si>
  <si>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</si>
  <si>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</si>
  <si>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</si>
  <si>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</si>
  <si>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</si>
  <si>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</si>
  <si>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</si>
  <si>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</si>
  <si>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</si>
  <si>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</si>
  <si>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</si>
  <si>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</si>
  <si>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</si>
  <si>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</si>
  <si>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</si>
  <si>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</si>
  <si>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</si>
  <si>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</si>
  <si>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</si>
  <si>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</si>
  <si>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</si>
  <si>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</si>
  <si>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</si>
  <si>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</si>
  <si>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</si>
  <si>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</si>
  <si>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</si>
  <si>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</si>
  <si>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</si>
  <si>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</si>
  <si>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</si>
  <si>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</si>
  <si>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</si>
  <si>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</si>
  <si>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Sulfamethoxazole</t>
  </si>
  <si>
    <t>S12-2</t>
  </si>
  <si>
    <t>T7-2</t>
  </si>
  <si>
    <t>Trimethoprim</t>
  </si>
  <si>
    <t>NDQB201601650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</si>
</sst>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0.0000\ &quot;mg&quot;"/>
    <numFmt numFmtId="170" formatCode="0.000"/>
    <numFmt numFmtId="171" formatCode="0.0\ &quot;mg&quot;"/>
  </numFmts>
  <fonts count="24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u/>
      <sz val="1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vertAlign val="superscript"/>
      <sz val="14"/>
      <color rgb="FF000000"/>
      <name val="Book Antiqua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09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5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69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0" fontId="11" fillId="2" borderId="26" xfId="0" applyNumberFormat="1" applyFont="1" applyFill="1" applyBorder="1" applyAlignment="1">
      <alignment horizontal="center"/>
    </xf>
    <xf numFmtId="170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0" fontId="11" fillId="2" borderId="31" xfId="0" applyNumberFormat="1" applyFont="1" applyFill="1" applyBorder="1" applyAlignment="1">
      <alignment horizontal="center"/>
    </xf>
    <xf numFmtId="170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0" fontId="11" fillId="2" borderId="35" xfId="0" applyNumberFormat="1" applyFont="1" applyFill="1" applyBorder="1" applyAlignment="1">
      <alignment horizontal="center"/>
    </xf>
    <xf numFmtId="170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0" fontId="12" fillId="6" borderId="38" xfId="0" applyNumberFormat="1" applyFont="1" applyFill="1" applyBorder="1" applyAlignment="1">
      <alignment horizontal="center"/>
    </xf>
    <xf numFmtId="170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0" fontId="12" fillId="7" borderId="13" xfId="0" applyNumberFormat="1" applyFont="1" applyFill="1" applyBorder="1" applyAlignment="1">
      <alignment horizontal="center"/>
    </xf>
    <xf numFmtId="170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1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170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0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0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7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2" fontId="13" fillId="7" borderId="27" xfId="0" applyNumberFormat="1" applyFont="1" applyFill="1" applyBorder="1" applyAlignment="1">
      <alignment horizontal="center"/>
    </xf>
    <xf numFmtId="0" fontId="14" fillId="2" borderId="0" xfId="0" applyFont="1" applyFill="1"/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5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69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0" fontId="11" fillId="2" borderId="26" xfId="0" applyNumberFormat="1" applyFont="1" applyFill="1" applyBorder="1" applyAlignment="1">
      <alignment horizontal="center"/>
    </xf>
    <xf numFmtId="170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0" fontId="11" fillId="2" borderId="31" xfId="0" applyNumberFormat="1" applyFont="1" applyFill="1" applyBorder="1" applyAlignment="1">
      <alignment horizontal="center"/>
    </xf>
    <xf numFmtId="170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0" fontId="11" fillId="2" borderId="35" xfId="0" applyNumberFormat="1" applyFont="1" applyFill="1" applyBorder="1" applyAlignment="1">
      <alignment horizontal="center"/>
    </xf>
    <xf numFmtId="170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0" fontId="12" fillId="6" borderId="38" xfId="0" applyNumberFormat="1" applyFont="1" applyFill="1" applyBorder="1" applyAlignment="1">
      <alignment horizontal="center"/>
    </xf>
    <xf numFmtId="170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0" fontId="12" fillId="7" borderId="13" xfId="0" applyNumberFormat="1" applyFont="1" applyFill="1" applyBorder="1" applyAlignment="1">
      <alignment horizontal="center"/>
    </xf>
    <xf numFmtId="170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1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0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0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0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0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7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2" fontId="13" fillId="7" borderId="27" xfId="0" applyNumberFormat="1" applyFont="1" applyFill="1" applyBorder="1" applyAlignment="1">
      <alignment horizontal="center"/>
    </xf>
    <xf numFmtId="0" fontId="14" fillId="2" borderId="0" xfId="0" applyFont="1" applyFill="1"/>
    <xf numFmtId="170" fontId="13" fillId="3" borderId="41" xfId="0" applyNumberFormat="1" applyFont="1" applyFill="1" applyBorder="1" applyAlignment="1" applyProtection="1">
      <alignment horizontal="center"/>
      <protection locked="0"/>
    </xf>
    <xf numFmtId="2" fontId="13" fillId="3" borderId="41" xfId="0" applyNumberFormat="1" applyFont="1" applyFill="1" applyBorder="1" applyAlignment="1" applyProtection="1">
      <alignment horizontal="center"/>
      <protection locked="0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58" xfId="0" applyFont="1" applyFill="1" applyBorder="1" applyAlignment="1">
      <alignment horizontal="center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43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0" fontId="13" fillId="3" borderId="0" xfId="0" applyFont="1" applyFill="1" applyAlignment="1" applyProtection="1">
      <alignment horizontal="left"/>
      <protection locked="0"/>
    </xf>
    <xf numFmtId="0" fontId="12" fillId="2" borderId="9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/>
      <protection locked="0"/>
    </xf>
    <xf numFmtId="0" fontId="12" fillId="2" borderId="40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</cellXfs>
  <cellStyles count="1">
    <cellStyle name="Normal" xfId="0" builtinId="0"/>
  </cellStyles>
  <dxfs count="39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abSelected="1" topLeftCell="A37" workbookViewId="0">
      <selection activeCell="B39" sqref="B39:E49"/>
    </sheetView>
  </sheetViews>
  <sheetFormatPr defaultRowHeight="13.5" x14ac:dyDescent="0.25"/>
  <cols>
    <col min="1" max="1" width="27.5703125" style="404" customWidth="1"/>
    <col min="2" max="2" width="20.42578125" style="404" customWidth="1"/>
    <col min="3" max="3" width="31.85546875" style="404" customWidth="1"/>
    <col min="4" max="4" width="25.85546875" style="404" customWidth="1"/>
    <col min="5" max="5" width="25.7109375" style="404" customWidth="1"/>
    <col min="6" max="6" width="23.140625" style="404" customWidth="1"/>
    <col min="7" max="7" width="28.42578125" style="404" customWidth="1"/>
    <col min="8" max="8" width="21.5703125" style="404" customWidth="1"/>
    <col min="9" max="9" width="9.140625" style="404" customWidth="1"/>
    <col min="10" max="16384" width="9.140625" style="44"/>
  </cols>
  <sheetData>
    <row r="14" spans="1:6" ht="15" customHeight="1" x14ac:dyDescent="0.3">
      <c r="A14" s="1"/>
      <c r="C14" s="3"/>
      <c r="F14" s="3"/>
    </row>
    <row r="15" spans="1:6" ht="18.75" customHeight="1" x14ac:dyDescent="0.3">
      <c r="A15" s="460" t="s">
        <v>0</v>
      </c>
      <c r="B15" s="460"/>
      <c r="C15" s="460"/>
      <c r="D15" s="460"/>
      <c r="E15" s="460"/>
    </row>
    <row r="16" spans="1:6" ht="16.5" customHeight="1" x14ac:dyDescent="0.3">
      <c r="A16" s="90" t="s">
        <v>1</v>
      </c>
      <c r="B16" s="59" t="s">
        <v>2</v>
      </c>
    </row>
    <row r="17" spans="1:5" ht="16.5" customHeight="1" x14ac:dyDescent="0.3">
      <c r="A17" s="8" t="s">
        <v>3</v>
      </c>
      <c r="B17" s="8"/>
      <c r="D17" s="9"/>
      <c r="E17" s="72"/>
    </row>
    <row r="18" spans="1:5" ht="16.5" customHeight="1" x14ac:dyDescent="0.3">
      <c r="A18" s="75" t="s">
        <v>4</v>
      </c>
      <c r="B18" s="8" t="s">
        <v>5</v>
      </c>
      <c r="C18" s="72"/>
      <c r="D18" s="72"/>
      <c r="E18" s="72"/>
    </row>
    <row r="19" spans="1:5" ht="16.5" customHeight="1" x14ac:dyDescent="0.3">
      <c r="A19" s="75" t="s">
        <v>6</v>
      </c>
      <c r="B19" s="12" t="s">
        <v>128</v>
      </c>
      <c r="C19" s="72"/>
      <c r="D19" s="72"/>
      <c r="E19" s="72"/>
    </row>
    <row r="20" spans="1:5" ht="16.5" customHeight="1" x14ac:dyDescent="0.3">
      <c r="A20" s="8" t="s">
        <v>7</v>
      </c>
      <c r="B20" s="12" t="s">
        <v>8</v>
      </c>
      <c r="C20" s="72"/>
      <c r="D20" s="72"/>
      <c r="E20" s="72"/>
    </row>
    <row r="21" spans="1:5" ht="16.5" customHeight="1" x14ac:dyDescent="0.3">
      <c r="A21" s="8" t="s">
        <v>9</v>
      </c>
      <c r="B21" s="13" t="s">
        <v>10</v>
      </c>
      <c r="C21" s="72"/>
      <c r="D21" s="72"/>
      <c r="E21" s="72"/>
    </row>
    <row r="22" spans="1:5" ht="15.75" customHeight="1" x14ac:dyDescent="0.25">
      <c r="A22" s="72"/>
      <c r="B22" s="72" t="s">
        <v>11</v>
      </c>
      <c r="C22" s="72"/>
      <c r="D22" s="72"/>
      <c r="E22" s="72"/>
    </row>
    <row r="23" spans="1:5" ht="16.5" customHeight="1" x14ac:dyDescent="0.3">
      <c r="A23" s="16" t="s">
        <v>12</v>
      </c>
      <c r="B23" s="15" t="s">
        <v>13</v>
      </c>
      <c r="C23" s="16" t="s">
        <v>14</v>
      </c>
      <c r="D23" s="16" t="s">
        <v>15</v>
      </c>
      <c r="E23" s="16" t="s">
        <v>16</v>
      </c>
    </row>
    <row r="24" spans="1:5" ht="16.5" customHeight="1" x14ac:dyDescent="0.3">
      <c r="A24" s="17">
        <v>1</v>
      </c>
      <c r="B24" s="18">
        <v>60021500</v>
      </c>
      <c r="C24" s="18">
        <v>13252</v>
      </c>
      <c r="D24" s="19">
        <v>0.94</v>
      </c>
      <c r="E24" s="20">
        <v>8.0500000000000007</v>
      </c>
    </row>
    <row r="25" spans="1:5" ht="16.5" customHeight="1" x14ac:dyDescent="0.3">
      <c r="A25" s="17">
        <v>2</v>
      </c>
      <c r="B25" s="18">
        <v>60035566</v>
      </c>
      <c r="C25" s="18">
        <v>13262</v>
      </c>
      <c r="D25" s="19">
        <v>0.94</v>
      </c>
      <c r="E25" s="19">
        <v>8.01</v>
      </c>
    </row>
    <row r="26" spans="1:5" ht="16.5" customHeight="1" x14ac:dyDescent="0.3">
      <c r="A26" s="17">
        <v>3</v>
      </c>
      <c r="B26" s="18">
        <v>60068587</v>
      </c>
      <c r="C26" s="18">
        <v>13330</v>
      </c>
      <c r="D26" s="19">
        <v>0.93</v>
      </c>
      <c r="E26" s="19">
        <v>8.01</v>
      </c>
    </row>
    <row r="27" spans="1:5" ht="16.5" customHeight="1" x14ac:dyDescent="0.3">
      <c r="A27" s="17">
        <v>4</v>
      </c>
      <c r="B27" s="18">
        <v>60177102</v>
      </c>
      <c r="C27" s="18">
        <v>13311</v>
      </c>
      <c r="D27" s="19">
        <v>0.93</v>
      </c>
      <c r="E27" s="19">
        <v>8</v>
      </c>
    </row>
    <row r="28" spans="1:5" ht="16.5" customHeight="1" x14ac:dyDescent="0.3">
      <c r="A28" s="17">
        <v>5</v>
      </c>
      <c r="B28" s="18">
        <v>60150982</v>
      </c>
      <c r="C28" s="18">
        <v>13302</v>
      </c>
      <c r="D28" s="19">
        <v>0.94</v>
      </c>
      <c r="E28" s="19">
        <v>8</v>
      </c>
    </row>
    <row r="29" spans="1:5" ht="16.5" customHeight="1" x14ac:dyDescent="0.3">
      <c r="A29" s="17">
        <v>6</v>
      </c>
      <c r="B29" s="21">
        <v>60143299</v>
      </c>
      <c r="C29" s="21">
        <v>13333</v>
      </c>
      <c r="D29" s="22">
        <v>0.95</v>
      </c>
      <c r="E29" s="22">
        <v>8</v>
      </c>
    </row>
    <row r="30" spans="1:5" ht="16.5" customHeight="1" x14ac:dyDescent="0.3">
      <c r="A30" s="23" t="s">
        <v>17</v>
      </c>
      <c r="B30" s="24">
        <f>AVERAGE(B24:B29)</f>
        <v>60099506</v>
      </c>
      <c r="C30" s="25">
        <f>AVERAGE(C24:C29)</f>
        <v>13298.333333333334</v>
      </c>
      <c r="D30" s="26">
        <f>AVERAGE(D24:D29)</f>
        <v>0.93833333333333335</v>
      </c>
      <c r="E30" s="26">
        <f>AVERAGE(E24:E29)</f>
        <v>8.0116666666666667</v>
      </c>
    </row>
    <row r="31" spans="1:5" ht="16.5" customHeight="1" x14ac:dyDescent="0.3">
      <c r="A31" s="27" t="s">
        <v>18</v>
      </c>
      <c r="B31" s="28">
        <f>(STDEV(B24:B29)/B30)</f>
        <v>1.0966142836745939E-3</v>
      </c>
      <c r="C31" s="29"/>
      <c r="D31" s="29"/>
      <c r="E31" s="30"/>
    </row>
    <row r="32" spans="1:5" s="404" customFormat="1" ht="16.5" customHeight="1" x14ac:dyDescent="0.3">
      <c r="A32" s="31" t="s">
        <v>19</v>
      </c>
      <c r="B32" s="32">
        <f>COUNT(B24:B29)</f>
        <v>6</v>
      </c>
      <c r="C32" s="33"/>
      <c r="D32" s="73"/>
      <c r="E32" s="35"/>
    </row>
    <row r="33" spans="1:5" s="404" customFormat="1" ht="15.75" customHeight="1" x14ac:dyDescent="0.25">
      <c r="A33" s="72"/>
      <c r="B33" s="72"/>
      <c r="C33" s="72"/>
      <c r="D33" s="72"/>
      <c r="E33" s="72"/>
    </row>
    <row r="34" spans="1:5" s="404" customFormat="1" ht="16.5" customHeight="1" x14ac:dyDescent="0.3">
      <c r="A34" s="75" t="s">
        <v>20</v>
      </c>
      <c r="B34" s="40" t="s">
        <v>21</v>
      </c>
      <c r="C34" s="39"/>
      <c r="D34" s="39"/>
      <c r="E34" s="39"/>
    </row>
    <row r="35" spans="1:5" ht="16.5" customHeight="1" x14ac:dyDescent="0.3">
      <c r="A35" s="75"/>
      <c r="B35" s="40" t="s">
        <v>22</v>
      </c>
      <c r="C35" s="39"/>
      <c r="D35" s="39"/>
      <c r="E35" s="39"/>
    </row>
    <row r="36" spans="1:5" ht="16.5" customHeight="1" x14ac:dyDescent="0.3">
      <c r="A36" s="75"/>
      <c r="B36" s="40" t="s">
        <v>23</v>
      </c>
      <c r="C36" s="39"/>
      <c r="D36" s="39"/>
      <c r="E36" s="39"/>
    </row>
    <row r="37" spans="1:5" ht="15.75" customHeight="1" x14ac:dyDescent="0.25">
      <c r="A37" s="72"/>
      <c r="B37" s="72"/>
      <c r="C37" s="72"/>
      <c r="D37" s="72"/>
      <c r="E37" s="72"/>
    </row>
    <row r="38" spans="1:5" ht="16.5" customHeight="1" x14ac:dyDescent="0.3">
      <c r="A38" s="90" t="s">
        <v>1</v>
      </c>
      <c r="B38" s="59" t="s">
        <v>24</v>
      </c>
    </row>
    <row r="39" spans="1:5" ht="16.5" customHeight="1" x14ac:dyDescent="0.3">
      <c r="A39" s="75" t="s">
        <v>4</v>
      </c>
      <c r="B39" s="12">
        <v>99.58</v>
      </c>
      <c r="C39" s="72"/>
      <c r="D39" s="72"/>
      <c r="E39" s="72"/>
    </row>
    <row r="40" spans="1:5" ht="16.5" customHeight="1" x14ac:dyDescent="0.3">
      <c r="A40" s="75" t="s">
        <v>6</v>
      </c>
      <c r="B40" s="12">
        <v>20.86</v>
      </c>
      <c r="C40" s="72"/>
      <c r="D40" s="72"/>
      <c r="E40" s="72"/>
    </row>
    <row r="41" spans="1:5" ht="16.5" customHeight="1" x14ac:dyDescent="0.3">
      <c r="A41" s="8" t="s">
        <v>7</v>
      </c>
      <c r="B41" s="13">
        <f>800/900*4/20</f>
        <v>0.17777777777777776</v>
      </c>
      <c r="C41" s="72"/>
      <c r="D41" s="72"/>
      <c r="E41" s="72"/>
    </row>
    <row r="42" spans="1:5" ht="16.5" customHeight="1" x14ac:dyDescent="0.3">
      <c r="A42" s="8" t="s">
        <v>9</v>
      </c>
      <c r="B42" s="72"/>
      <c r="C42" s="72"/>
      <c r="D42" s="72"/>
      <c r="E42" s="72"/>
    </row>
    <row r="43" spans="1:5" ht="15.75" customHeight="1" x14ac:dyDescent="0.3">
      <c r="A43" s="72"/>
      <c r="B43" s="15" t="s">
        <v>13</v>
      </c>
      <c r="C43" s="16" t="s">
        <v>14</v>
      </c>
      <c r="D43" s="16" t="s">
        <v>15</v>
      </c>
      <c r="E43" s="16" t="s">
        <v>16</v>
      </c>
    </row>
    <row r="44" spans="1:5" ht="16.5" customHeight="1" x14ac:dyDescent="0.3">
      <c r="A44" s="16" t="s">
        <v>12</v>
      </c>
      <c r="B44" s="18">
        <v>60962406</v>
      </c>
      <c r="C44" s="18">
        <v>13281</v>
      </c>
      <c r="D44" s="19">
        <v>0.94</v>
      </c>
      <c r="E44" s="20">
        <v>8.08</v>
      </c>
    </row>
    <row r="45" spans="1:5" ht="16.5" customHeight="1" x14ac:dyDescent="0.3">
      <c r="A45" s="17">
        <v>1</v>
      </c>
      <c r="B45" s="18">
        <v>60730862</v>
      </c>
      <c r="C45" s="18">
        <v>13287</v>
      </c>
      <c r="D45" s="19">
        <v>0.95</v>
      </c>
      <c r="E45" s="19">
        <v>8.07</v>
      </c>
    </row>
    <row r="46" spans="1:5" ht="16.5" customHeight="1" x14ac:dyDescent="0.3">
      <c r="A46" s="17">
        <v>2</v>
      </c>
      <c r="B46" s="18">
        <v>61217691</v>
      </c>
      <c r="C46" s="18">
        <v>13274</v>
      </c>
      <c r="D46" s="19">
        <v>0.95</v>
      </c>
      <c r="E46" s="19">
        <v>8.07</v>
      </c>
    </row>
    <row r="47" spans="1:5" ht="16.5" customHeight="1" x14ac:dyDescent="0.3">
      <c r="A47" s="17">
        <v>3</v>
      </c>
      <c r="B47" s="18">
        <v>60852871</v>
      </c>
      <c r="C47" s="18">
        <v>13256</v>
      </c>
      <c r="D47" s="19">
        <v>0.95</v>
      </c>
      <c r="E47" s="19">
        <v>8.07</v>
      </c>
    </row>
    <row r="48" spans="1:5" ht="16.5" customHeight="1" x14ac:dyDescent="0.3">
      <c r="A48" s="17">
        <v>4</v>
      </c>
      <c r="B48" s="18">
        <v>60769592</v>
      </c>
      <c r="C48" s="18">
        <v>13259</v>
      </c>
      <c r="D48" s="19">
        <v>0.95</v>
      </c>
      <c r="E48" s="19">
        <v>8.07</v>
      </c>
    </row>
    <row r="49" spans="1:7" ht="16.5" customHeight="1" x14ac:dyDescent="0.3">
      <c r="A49" s="17">
        <v>5</v>
      </c>
      <c r="B49" s="21">
        <v>61045814</v>
      </c>
      <c r="C49" s="21">
        <v>13224</v>
      </c>
      <c r="D49" s="22">
        <v>0.95</v>
      </c>
      <c r="E49" s="22">
        <v>8.07</v>
      </c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17</v>
      </c>
      <c r="B51" s="24">
        <f>AVERAGE(B45:B50)</f>
        <v>60923366</v>
      </c>
      <c r="C51" s="25">
        <f>AVERAGE(C45:C50)</f>
        <v>13260</v>
      </c>
      <c r="D51" s="26">
        <f>AVERAGE(D45:D50)</f>
        <v>0.95</v>
      </c>
      <c r="E51" s="26">
        <f>AVERAGE(E45:E50)</f>
        <v>8.07</v>
      </c>
    </row>
    <row r="52" spans="1:7" ht="16.5" customHeight="1" x14ac:dyDescent="0.3">
      <c r="A52" s="27" t="s">
        <v>18</v>
      </c>
      <c r="B52" s="28">
        <f>(STDEV(B45:B50)/B51)</f>
        <v>3.3568113996685208E-3</v>
      </c>
      <c r="C52" s="29"/>
      <c r="D52" s="29"/>
      <c r="E52" s="30"/>
    </row>
    <row r="53" spans="1:7" s="404" customFormat="1" ht="16.5" customHeight="1" x14ac:dyDescent="0.3">
      <c r="A53" s="31" t="s">
        <v>19</v>
      </c>
      <c r="B53" s="32">
        <f>COUNT(B45:B50)</f>
        <v>5</v>
      </c>
      <c r="C53" s="33"/>
      <c r="D53" s="73"/>
      <c r="E53" s="35"/>
    </row>
    <row r="54" spans="1:7" s="404" customFormat="1" ht="15.75" customHeight="1" x14ac:dyDescent="0.25">
      <c r="A54" s="72"/>
      <c r="B54" s="72"/>
      <c r="C54" s="72"/>
      <c r="D54" s="72"/>
      <c r="E54" s="72"/>
    </row>
    <row r="55" spans="1:7" s="404" customFormat="1" ht="16.5" customHeight="1" x14ac:dyDescent="0.3">
      <c r="A55" s="75" t="s">
        <v>20</v>
      </c>
      <c r="B55" s="40" t="s">
        <v>21</v>
      </c>
      <c r="C55" s="39"/>
      <c r="D55" s="39"/>
      <c r="E55" s="39"/>
    </row>
    <row r="56" spans="1:7" ht="16.5" customHeight="1" x14ac:dyDescent="0.3">
      <c r="A56" s="75"/>
      <c r="B56" s="40" t="s">
        <v>22</v>
      </c>
      <c r="C56" s="39"/>
      <c r="D56" s="39"/>
      <c r="E56" s="39"/>
    </row>
    <row r="57" spans="1:7" ht="16.5" customHeight="1" x14ac:dyDescent="0.3">
      <c r="A57" s="75"/>
      <c r="B57" s="40" t="s">
        <v>23</v>
      </c>
      <c r="C57" s="39"/>
      <c r="D57" s="39"/>
      <c r="E57" s="39"/>
    </row>
    <row r="58" spans="1:7" ht="14.25" customHeight="1" thickBot="1" x14ac:dyDescent="0.3">
      <c r="A58" s="41"/>
      <c r="B58" s="328"/>
      <c r="D58" s="43"/>
      <c r="F58" s="44"/>
      <c r="G58" s="44"/>
    </row>
    <row r="59" spans="1:7" ht="15" customHeight="1" x14ac:dyDescent="0.3">
      <c r="B59" s="461" t="s">
        <v>25</v>
      </c>
      <c r="C59" s="461"/>
      <c r="E59" s="45" t="s">
        <v>26</v>
      </c>
      <c r="F59" s="46"/>
      <c r="G59" s="45" t="s">
        <v>27</v>
      </c>
    </row>
    <row r="60" spans="1:7" ht="15" customHeight="1" x14ac:dyDescent="0.3">
      <c r="A60" s="47" t="s">
        <v>28</v>
      </c>
      <c r="B60" s="49"/>
      <c r="C60" s="49"/>
      <c r="E60" s="49"/>
      <c r="G60" s="49"/>
    </row>
    <row r="61" spans="1:7" ht="15" customHeight="1" x14ac:dyDescent="0.3">
      <c r="A61" s="47" t="s">
        <v>29</v>
      </c>
      <c r="B61" s="50"/>
      <c r="C61" s="50"/>
      <c r="E61" s="50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workbookViewId="0">
      <selection activeCell="B19" sqref="B19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460" t="s">
        <v>0</v>
      </c>
      <c r="B15" s="460"/>
      <c r="C15" s="460"/>
      <c r="D15" s="460"/>
      <c r="E15" s="460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/>
      <c r="D17" s="9"/>
      <c r="E17" s="10"/>
    </row>
    <row r="18" spans="1:6" ht="16.5" customHeight="1" x14ac:dyDescent="0.3">
      <c r="A18" s="11" t="s">
        <v>4</v>
      </c>
      <c r="B18" s="8" t="s">
        <v>5</v>
      </c>
      <c r="C18" s="10"/>
      <c r="D18" s="10"/>
      <c r="E18" s="10"/>
    </row>
    <row r="19" spans="1:6" ht="16.5" customHeight="1" x14ac:dyDescent="0.3">
      <c r="A19" s="11" t="s">
        <v>6</v>
      </c>
      <c r="B19" s="12" t="s">
        <v>128</v>
      </c>
      <c r="C19" s="10"/>
      <c r="D19" s="10"/>
      <c r="E19" s="10"/>
    </row>
    <row r="20" spans="1:6" ht="16.5" customHeight="1" x14ac:dyDescent="0.3">
      <c r="A20" s="7" t="s">
        <v>7</v>
      </c>
      <c r="B20" s="12" t="s">
        <v>8</v>
      </c>
      <c r="C20" s="10"/>
      <c r="D20" s="10"/>
      <c r="E20" s="10"/>
    </row>
    <row r="21" spans="1:6" ht="16.5" customHeight="1" x14ac:dyDescent="0.3">
      <c r="A21" s="7" t="s">
        <v>9</v>
      </c>
      <c r="B21" s="13" t="s">
        <v>10</v>
      </c>
      <c r="C21" s="10"/>
      <c r="D21" s="10"/>
      <c r="E21" s="10"/>
    </row>
    <row r="22" spans="1:6" ht="15.75" customHeight="1" x14ac:dyDescent="0.25">
      <c r="A22" s="10"/>
      <c r="B22" s="10" t="s">
        <v>11</v>
      </c>
      <c r="C22" s="10"/>
      <c r="D22" s="10"/>
      <c r="E22" s="10"/>
    </row>
    <row r="23" spans="1:6" ht="16.5" customHeight="1" x14ac:dyDescent="0.3">
      <c r="A23" s="14" t="s">
        <v>12</v>
      </c>
      <c r="B23" s="15" t="s">
        <v>13</v>
      </c>
      <c r="C23" s="14" t="s">
        <v>14</v>
      </c>
      <c r="D23" s="14" t="s">
        <v>15</v>
      </c>
      <c r="E23" s="16" t="s">
        <v>16</v>
      </c>
    </row>
    <row r="24" spans="1:6" ht="16.5" customHeight="1" x14ac:dyDescent="0.3">
      <c r="A24" s="17">
        <v>1</v>
      </c>
      <c r="B24" s="18"/>
      <c r="C24" s="18"/>
      <c r="D24" s="19"/>
      <c r="E24" s="20"/>
    </row>
    <row r="25" spans="1:6" ht="16.5" customHeight="1" x14ac:dyDescent="0.3">
      <c r="A25" s="17">
        <v>2</v>
      </c>
      <c r="B25" s="18"/>
      <c r="C25" s="18"/>
      <c r="D25" s="19"/>
      <c r="E25" s="19"/>
    </row>
    <row r="26" spans="1:6" ht="16.5" customHeight="1" x14ac:dyDescent="0.3">
      <c r="A26" s="17">
        <v>3</v>
      </c>
      <c r="B26" s="18"/>
      <c r="C26" s="18"/>
      <c r="D26" s="19"/>
      <c r="E26" s="19"/>
    </row>
    <row r="27" spans="1:6" ht="16.5" customHeight="1" x14ac:dyDescent="0.3">
      <c r="A27" s="17">
        <v>4</v>
      </c>
      <c r="B27" s="18"/>
      <c r="C27" s="18"/>
      <c r="D27" s="19"/>
      <c r="E27" s="19"/>
    </row>
    <row r="28" spans="1:6" ht="16.5" customHeight="1" x14ac:dyDescent="0.3">
      <c r="A28" s="17">
        <v>5</v>
      </c>
      <c r="B28" s="18"/>
      <c r="C28" s="18"/>
      <c r="D28" s="19"/>
      <c r="E28" s="19"/>
    </row>
    <row r="29" spans="1:6" ht="16.5" customHeight="1" x14ac:dyDescent="0.3">
      <c r="A29" s="17">
        <v>6</v>
      </c>
      <c r="B29" s="21"/>
      <c r="C29" s="21"/>
      <c r="D29" s="22"/>
      <c r="E29" s="22"/>
    </row>
    <row r="30" spans="1:6" ht="16.5" customHeight="1" x14ac:dyDescent="0.3">
      <c r="A30" s="23" t="s">
        <v>17</v>
      </c>
      <c r="B30" s="24" t="e">
        <f>AVERAGE(B24:B29)</f>
        <v>#DIV/0!</v>
      </c>
      <c r="C30" s="25" t="e">
        <f>AVERAGE(C24:C29)</f>
        <v>#DIV/0!</v>
      </c>
      <c r="D30" s="26" t="e">
        <f>AVERAGE(D24:D29)</f>
        <v>#DIV/0!</v>
      </c>
      <c r="E30" s="26" t="e">
        <f>AVERAGE(E24:E29)</f>
        <v>#DIV/0!</v>
      </c>
    </row>
    <row r="31" spans="1:6" ht="16.5" customHeight="1" x14ac:dyDescent="0.3">
      <c r="A31" s="27" t="s">
        <v>18</v>
      </c>
      <c r="B31" s="28" t="e">
        <f>(STDEV(B24:B29)/B30)</f>
        <v>#DIV/0!</v>
      </c>
      <c r="C31" s="29"/>
      <c r="D31" s="29"/>
      <c r="E31" s="30"/>
      <c r="F31" s="2"/>
    </row>
    <row r="32" spans="1:6" s="2" customFormat="1" ht="16.5" customHeight="1" x14ac:dyDescent="0.3">
      <c r="A32" s="31" t="s">
        <v>19</v>
      </c>
      <c r="B32" s="32">
        <f>COUNT(B24:B29)</f>
        <v>0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20</v>
      </c>
      <c r="B34" s="37" t="s">
        <v>21</v>
      </c>
      <c r="C34" s="38"/>
      <c r="D34" s="38"/>
      <c r="E34" s="39"/>
    </row>
    <row r="35" spans="1:6" ht="16.5" customHeight="1" x14ac:dyDescent="0.3">
      <c r="A35" s="11"/>
      <c r="B35" s="37" t="s">
        <v>22</v>
      </c>
      <c r="C35" s="38"/>
      <c r="D35" s="38"/>
      <c r="E35" s="39"/>
      <c r="F35" s="2"/>
    </row>
    <row r="36" spans="1:6" ht="16.5" customHeight="1" x14ac:dyDescent="0.3">
      <c r="A36" s="11"/>
      <c r="B36" s="40" t="s">
        <v>23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24</v>
      </c>
    </row>
    <row r="39" spans="1:6" ht="16.5" customHeight="1" x14ac:dyDescent="0.3">
      <c r="A39" s="11" t="s">
        <v>4</v>
      </c>
      <c r="B39" s="8"/>
      <c r="C39" s="10"/>
      <c r="D39" s="10"/>
      <c r="E39" s="10"/>
    </row>
    <row r="40" spans="1:6" ht="16.5" customHeight="1" x14ac:dyDescent="0.3">
      <c r="A40" s="11" t="s">
        <v>6</v>
      </c>
      <c r="B40" s="12"/>
      <c r="C40" s="10"/>
      <c r="D40" s="10"/>
      <c r="E40" s="10"/>
    </row>
    <row r="41" spans="1:6" ht="16.5" customHeight="1" x14ac:dyDescent="0.3">
      <c r="A41" s="7" t="s">
        <v>7</v>
      </c>
      <c r="B41" s="12"/>
      <c r="C41" s="10"/>
      <c r="D41" s="10"/>
      <c r="E41" s="10"/>
    </row>
    <row r="42" spans="1:6" ht="16.5" customHeight="1" x14ac:dyDescent="0.3">
      <c r="A42" s="7" t="s">
        <v>9</v>
      </c>
      <c r="B42" s="13"/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12</v>
      </c>
      <c r="B44" s="15" t="s">
        <v>13</v>
      </c>
      <c r="C44" s="14" t="s">
        <v>14</v>
      </c>
      <c r="D44" s="14" t="s">
        <v>15</v>
      </c>
      <c r="E44" s="16" t="s">
        <v>16</v>
      </c>
    </row>
    <row r="45" spans="1:6" ht="16.5" customHeight="1" x14ac:dyDescent="0.3">
      <c r="A45" s="17">
        <v>1</v>
      </c>
      <c r="B45" s="18"/>
      <c r="C45" s="18"/>
      <c r="D45" s="19"/>
      <c r="E45" s="20"/>
    </row>
    <row r="46" spans="1:6" ht="16.5" customHeight="1" x14ac:dyDescent="0.3">
      <c r="A46" s="17">
        <v>2</v>
      </c>
      <c r="B46" s="18"/>
      <c r="C46" s="18"/>
      <c r="D46" s="19"/>
      <c r="E46" s="19"/>
    </row>
    <row r="47" spans="1:6" ht="16.5" customHeight="1" x14ac:dyDescent="0.3">
      <c r="A47" s="17">
        <v>3</v>
      </c>
      <c r="B47" s="18"/>
      <c r="C47" s="18"/>
      <c r="D47" s="19"/>
      <c r="E47" s="19"/>
    </row>
    <row r="48" spans="1:6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17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18</v>
      </c>
      <c r="B52" s="28" t="e">
        <f>(STDEV(B45:B50)/B51)</f>
        <v>#DIV/0!</v>
      </c>
      <c r="C52" s="29"/>
      <c r="D52" s="29"/>
      <c r="E52" s="30"/>
      <c r="F52" s="2"/>
    </row>
    <row r="53" spans="1:7" s="2" customFormat="1" ht="16.5" customHeight="1" x14ac:dyDescent="0.3">
      <c r="A53" s="31" t="s">
        <v>19</v>
      </c>
      <c r="B53" s="32">
        <f>COUNT(B45:B50)</f>
        <v>0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20</v>
      </c>
      <c r="B55" s="37" t="s">
        <v>21</v>
      </c>
      <c r="C55" s="38"/>
      <c r="D55" s="38"/>
      <c r="E55" s="39"/>
    </row>
    <row r="56" spans="1:7" ht="16.5" customHeight="1" x14ac:dyDescent="0.3">
      <c r="A56" s="11"/>
      <c r="B56" s="37" t="s">
        <v>22</v>
      </c>
      <c r="C56" s="38"/>
      <c r="D56" s="38"/>
      <c r="E56" s="39"/>
      <c r="F56" s="2"/>
    </row>
    <row r="57" spans="1:7" ht="16.5" customHeight="1" x14ac:dyDescent="0.3">
      <c r="A57" s="11"/>
      <c r="B57" s="40" t="s">
        <v>23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461" t="s">
        <v>25</v>
      </c>
      <c r="C59" s="461"/>
      <c r="E59" s="45" t="s">
        <v>26</v>
      </c>
      <c r="F59" s="46"/>
      <c r="G59" s="45" t="s">
        <v>27</v>
      </c>
    </row>
    <row r="60" spans="1:7" ht="15" customHeight="1" x14ac:dyDescent="0.3">
      <c r="A60" s="47" t="s">
        <v>28</v>
      </c>
      <c r="B60" s="48"/>
      <c r="C60" s="48"/>
      <c r="E60" s="48"/>
      <c r="F60" s="2"/>
      <c r="G60" s="49"/>
    </row>
    <row r="61" spans="1:7" ht="15" customHeight="1" x14ac:dyDescent="0.3">
      <c r="A61" s="47" t="s">
        <v>29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7" workbookViewId="0">
      <selection activeCell="C15" sqref="C15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465" t="s">
        <v>30</v>
      </c>
      <c r="B11" s="466"/>
      <c r="C11" s="466"/>
      <c r="D11" s="466"/>
      <c r="E11" s="466"/>
      <c r="F11" s="467"/>
      <c r="G11" s="91"/>
    </row>
    <row r="12" spans="1:7" ht="16.5" customHeight="1" x14ac:dyDescent="0.3">
      <c r="A12" s="464" t="s">
        <v>31</v>
      </c>
      <c r="B12" s="464"/>
      <c r="C12" s="464"/>
      <c r="D12" s="464"/>
      <c r="E12" s="464"/>
      <c r="F12" s="464"/>
      <c r="G12" s="90"/>
    </row>
    <row r="14" spans="1:7" ht="16.5" customHeight="1" x14ac:dyDescent="0.3">
      <c r="A14" s="469" t="s">
        <v>32</v>
      </c>
      <c r="B14" s="469"/>
      <c r="C14" s="60" t="s">
        <v>5</v>
      </c>
    </row>
    <row r="15" spans="1:7" ht="16.5" customHeight="1" x14ac:dyDescent="0.3">
      <c r="A15" s="469" t="s">
        <v>33</v>
      </c>
      <c r="B15" s="469"/>
      <c r="C15" s="60" t="s">
        <v>128</v>
      </c>
    </row>
    <row r="16" spans="1:7" ht="16.5" customHeight="1" x14ac:dyDescent="0.3">
      <c r="A16" s="469" t="s">
        <v>34</v>
      </c>
      <c r="B16" s="469"/>
      <c r="C16" s="60" t="s">
        <v>8</v>
      </c>
    </row>
    <row r="17" spans="1:5" ht="16.5" customHeight="1" x14ac:dyDescent="0.3">
      <c r="A17" s="469" t="s">
        <v>35</v>
      </c>
      <c r="B17" s="469"/>
      <c r="C17" s="60" t="s">
        <v>10</v>
      </c>
    </row>
    <row r="18" spans="1:5" ht="16.5" customHeight="1" x14ac:dyDescent="0.3">
      <c r="A18" s="469" t="s">
        <v>36</v>
      </c>
      <c r="B18" s="469"/>
      <c r="C18" s="97" t="s">
        <v>11</v>
      </c>
    </row>
    <row r="19" spans="1:5" ht="16.5" customHeight="1" x14ac:dyDescent="0.3">
      <c r="A19" s="469" t="s">
        <v>37</v>
      </c>
      <c r="B19" s="469"/>
      <c r="C19" s="97" t="e">
        <f>#REF!</f>
        <v>#REF!</v>
      </c>
    </row>
    <row r="20" spans="1:5" ht="16.5" customHeight="1" x14ac:dyDescent="0.3">
      <c r="A20" s="62"/>
      <c r="B20" s="62"/>
      <c r="C20" s="77"/>
    </row>
    <row r="21" spans="1:5" ht="16.5" customHeight="1" x14ac:dyDescent="0.3">
      <c r="A21" s="464" t="s">
        <v>1</v>
      </c>
      <c r="B21" s="464"/>
      <c r="C21" s="59" t="s">
        <v>38</v>
      </c>
      <c r="D21" s="66"/>
    </row>
    <row r="22" spans="1:5" ht="15.75" customHeight="1" x14ac:dyDescent="0.3">
      <c r="A22" s="468"/>
      <c r="B22" s="468"/>
      <c r="C22" s="57"/>
      <c r="D22" s="468"/>
      <c r="E22" s="468"/>
    </row>
    <row r="23" spans="1:5" ht="33.75" customHeight="1" x14ac:dyDescent="0.3">
      <c r="C23" s="86" t="s">
        <v>39</v>
      </c>
      <c r="D23" s="85" t="s">
        <v>40</v>
      </c>
      <c r="E23" s="52"/>
    </row>
    <row r="24" spans="1:5" ht="15.75" customHeight="1" x14ac:dyDescent="0.3">
      <c r="C24" s="95">
        <v>1047.53</v>
      </c>
      <c r="D24" s="87">
        <f t="shared" ref="D24:D43" si="0">(C24-$C$46)/$C$46</f>
        <v>2.9071506907414287E-3</v>
      </c>
      <c r="E24" s="53"/>
    </row>
    <row r="25" spans="1:5" ht="15.75" customHeight="1" x14ac:dyDescent="0.3">
      <c r="C25" s="95">
        <v>1055.0999999999999</v>
      </c>
      <c r="D25" s="88">
        <f t="shared" si="0"/>
        <v>1.0154682628470036E-2</v>
      </c>
      <c r="E25" s="53"/>
    </row>
    <row r="26" spans="1:5" ht="15.75" customHeight="1" x14ac:dyDescent="0.3">
      <c r="C26" s="95">
        <v>1060.0899999999999</v>
      </c>
      <c r="D26" s="88">
        <f t="shared" si="0"/>
        <v>1.4932117815955655E-2</v>
      </c>
      <c r="E26" s="53"/>
    </row>
    <row r="27" spans="1:5" ht="15.75" customHeight="1" x14ac:dyDescent="0.3">
      <c r="C27" s="95">
        <v>1045.5899999999999</v>
      </c>
      <c r="D27" s="88">
        <f t="shared" si="0"/>
        <v>1.049791118853184E-3</v>
      </c>
      <c r="E27" s="53"/>
    </row>
    <row r="28" spans="1:5" ht="15.75" customHeight="1" x14ac:dyDescent="0.3">
      <c r="C28" s="95">
        <v>1039.17</v>
      </c>
      <c r="D28" s="88">
        <f t="shared" si="0"/>
        <v>-5.0967287015189341E-3</v>
      </c>
      <c r="E28" s="53"/>
    </row>
    <row r="29" spans="1:5" ht="15.75" customHeight="1" x14ac:dyDescent="0.3">
      <c r="C29" s="95">
        <v>1045.92</v>
      </c>
      <c r="D29" s="88">
        <f t="shared" si="0"/>
        <v>1.3657337264425607E-3</v>
      </c>
      <c r="E29" s="53"/>
    </row>
    <row r="30" spans="1:5" ht="15.75" customHeight="1" x14ac:dyDescent="0.3">
      <c r="C30" s="95">
        <v>1038.49</v>
      </c>
      <c r="D30" s="88">
        <f t="shared" si="0"/>
        <v>-5.7477619535210422E-3</v>
      </c>
      <c r="E30" s="53"/>
    </row>
    <row r="31" spans="1:5" ht="15.75" customHeight="1" x14ac:dyDescent="0.3">
      <c r="C31" s="95">
        <v>1044.6199999999999</v>
      </c>
      <c r="D31" s="88">
        <f t="shared" si="0"/>
        <v>1.2111133290906151E-4</v>
      </c>
      <c r="E31" s="53"/>
    </row>
    <row r="32" spans="1:5" ht="15.75" customHeight="1" x14ac:dyDescent="0.3">
      <c r="C32" s="95">
        <v>1044.6500000000001</v>
      </c>
      <c r="D32" s="88">
        <f t="shared" si="0"/>
        <v>1.4983338814463748E-4</v>
      </c>
      <c r="E32" s="53"/>
    </row>
    <row r="33" spans="1:7" ht="15.75" customHeight="1" x14ac:dyDescent="0.3">
      <c r="C33" s="95">
        <v>1039.04</v>
      </c>
      <c r="D33" s="88">
        <f t="shared" si="0"/>
        <v>-5.221190940872371E-3</v>
      </c>
      <c r="E33" s="53"/>
    </row>
    <row r="34" spans="1:7" ht="15.75" customHeight="1" x14ac:dyDescent="0.3">
      <c r="C34" s="95">
        <v>1044.25</v>
      </c>
      <c r="D34" s="88">
        <f t="shared" si="0"/>
        <v>-2.3312734832724188E-4</v>
      </c>
      <c r="E34" s="53"/>
    </row>
    <row r="35" spans="1:7" ht="15.75" customHeight="1" x14ac:dyDescent="0.3">
      <c r="C35" s="95">
        <v>1055.9100000000001</v>
      </c>
      <c r="D35" s="88">
        <f t="shared" si="0"/>
        <v>1.0930178119825582E-2</v>
      </c>
      <c r="E35" s="53"/>
    </row>
    <row r="36" spans="1:7" ht="15.75" customHeight="1" x14ac:dyDescent="0.3">
      <c r="C36" s="95">
        <v>1040.26</v>
      </c>
      <c r="D36" s="88">
        <f t="shared" si="0"/>
        <v>-4.0531606946333787E-3</v>
      </c>
      <c r="E36" s="53"/>
    </row>
    <row r="37" spans="1:7" ht="15.75" customHeight="1" x14ac:dyDescent="0.3">
      <c r="C37" s="95">
        <v>1034.46</v>
      </c>
      <c r="D37" s="88">
        <f t="shared" si="0"/>
        <v>-9.6060913734743233E-3</v>
      </c>
      <c r="E37" s="53"/>
    </row>
    <row r="38" spans="1:7" ht="15.75" customHeight="1" x14ac:dyDescent="0.3">
      <c r="C38" s="95">
        <v>1038.67</v>
      </c>
      <c r="D38" s="88">
        <f t="shared" si="0"/>
        <v>-5.5754296221086751E-3</v>
      </c>
      <c r="E38" s="53"/>
    </row>
    <row r="39" spans="1:7" ht="15.75" customHeight="1" x14ac:dyDescent="0.3">
      <c r="C39" s="95">
        <v>1055.3699999999999</v>
      </c>
      <c r="D39" s="88">
        <f t="shared" si="0"/>
        <v>1.0413181125588479E-2</v>
      </c>
      <c r="E39" s="53"/>
    </row>
    <row r="40" spans="1:7" ht="15.75" customHeight="1" x14ac:dyDescent="0.3">
      <c r="C40" s="95">
        <v>1040.5899999999999</v>
      </c>
      <c r="D40" s="88">
        <f t="shared" si="0"/>
        <v>-3.7372180870442195E-3</v>
      </c>
      <c r="E40" s="53"/>
    </row>
    <row r="41" spans="1:7" ht="15.75" customHeight="1" x14ac:dyDescent="0.3">
      <c r="C41" s="95">
        <v>1032.03</v>
      </c>
      <c r="D41" s="88">
        <f t="shared" si="0"/>
        <v>-1.1932577847540522E-2</v>
      </c>
      <c r="E41" s="53"/>
    </row>
    <row r="42" spans="1:7" ht="15.75" customHeight="1" x14ac:dyDescent="0.3">
      <c r="C42" s="95">
        <v>1047.73</v>
      </c>
      <c r="D42" s="88">
        <f t="shared" si="0"/>
        <v>3.0986310589773687E-3</v>
      </c>
      <c r="E42" s="53"/>
    </row>
    <row r="43" spans="1:7" ht="16.5" customHeight="1" x14ac:dyDescent="0.3">
      <c r="C43" s="96">
        <v>1040.4000000000001</v>
      </c>
      <c r="D43" s="89">
        <f t="shared" si="0"/>
        <v>-3.9191244368681558E-3</v>
      </c>
      <c r="E43" s="53"/>
    </row>
    <row r="44" spans="1:7" ht="16.5" customHeight="1" x14ac:dyDescent="0.3">
      <c r="C44" s="54"/>
      <c r="D44" s="53"/>
      <c r="E44" s="55"/>
    </row>
    <row r="45" spans="1:7" ht="16.5" customHeight="1" x14ac:dyDescent="0.3">
      <c r="B45" s="82" t="s">
        <v>41</v>
      </c>
      <c r="C45" s="83">
        <f>SUM(C24:C44)</f>
        <v>20889.870000000003</v>
      </c>
      <c r="D45" s="78"/>
      <c r="E45" s="54"/>
    </row>
    <row r="46" spans="1:7" ht="17.25" customHeight="1" x14ac:dyDescent="0.3">
      <c r="B46" s="82" t="s">
        <v>42</v>
      </c>
      <c r="C46" s="84">
        <f>AVERAGE(C24:C44)</f>
        <v>1044.4935</v>
      </c>
      <c r="E46" s="56"/>
    </row>
    <row r="47" spans="1:7" ht="17.25" customHeight="1" x14ac:dyDescent="0.3">
      <c r="A47" s="60"/>
      <c r="B47" s="79"/>
      <c r="D47" s="58"/>
      <c r="E47" s="56"/>
    </row>
    <row r="48" spans="1:7" ht="33.75" customHeight="1" x14ac:dyDescent="0.3">
      <c r="B48" s="92" t="s">
        <v>42</v>
      </c>
      <c r="C48" s="85" t="s">
        <v>43</v>
      </c>
      <c r="D48" s="80"/>
      <c r="G48" s="58"/>
    </row>
    <row r="49" spans="1:6" ht="17.25" customHeight="1" x14ac:dyDescent="0.3">
      <c r="B49" s="462">
        <f>C46</f>
        <v>1044.4935</v>
      </c>
      <c r="C49" s="93">
        <f>-IF(C46&lt;=80,10%,IF(C46&lt;250,7.5%,5%))</f>
        <v>-0.05</v>
      </c>
      <c r="D49" s="81">
        <f>IF(C46&lt;=80,C46*0.9,IF(C46&lt;250,C46*0.925,C46*0.95))</f>
        <v>992.26882499999999</v>
      </c>
    </row>
    <row r="50" spans="1:6" ht="17.25" customHeight="1" x14ac:dyDescent="0.3">
      <c r="B50" s="463"/>
      <c r="C50" s="94">
        <f>IF(C46&lt;=80, 10%, IF(C46&lt;250, 7.5%, 5%))</f>
        <v>0.05</v>
      </c>
      <c r="D50" s="81">
        <f>IF(C46&lt;=80, C46*1.1, IF(C46&lt;250, C46*1.075, C46*1.05))</f>
        <v>1096.7181750000002</v>
      </c>
    </row>
    <row r="51" spans="1:6" ht="16.5" customHeight="1" x14ac:dyDescent="0.3">
      <c r="A51" s="63"/>
      <c r="B51" s="64"/>
      <c r="C51" s="60"/>
      <c r="D51" s="65"/>
      <c r="E51" s="60"/>
      <c r="F51" s="66"/>
    </row>
    <row r="52" spans="1:6" ht="16.5" customHeight="1" x14ac:dyDescent="0.3">
      <c r="A52" s="60"/>
      <c r="B52" s="67" t="s">
        <v>25</v>
      </c>
      <c r="C52" s="67"/>
      <c r="D52" s="68" t="s">
        <v>26</v>
      </c>
      <c r="E52" s="69"/>
      <c r="F52" s="68" t="s">
        <v>27</v>
      </c>
    </row>
    <row r="53" spans="1:6" ht="34.5" customHeight="1" x14ac:dyDescent="0.3">
      <c r="A53" s="70" t="s">
        <v>28</v>
      </c>
      <c r="B53" s="71"/>
      <c r="C53" s="72"/>
      <c r="D53" s="71"/>
      <c r="E53" s="61"/>
      <c r="F53" s="73"/>
    </row>
    <row r="54" spans="1:6" ht="34.5" customHeight="1" x14ac:dyDescent="0.3">
      <c r="A54" s="70" t="s">
        <v>29</v>
      </c>
      <c r="B54" s="74"/>
      <c r="C54" s="75"/>
      <c r="D54" s="74"/>
      <c r="E54" s="61"/>
      <c r="F54" s="76"/>
    </row>
  </sheetData>
  <sheetProtection formatCells="0" formatColumns="0" formatRows="0" insertColumns="0" insertRows="0" insertHyperlinks="0" deleteColumns="0" deleteRows="0" sort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38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37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36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35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34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33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32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31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30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9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28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27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26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25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24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23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22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21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0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9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18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B85" zoomScale="55" zoomScaleNormal="40" zoomScalePageLayoutView="55" workbookViewId="0">
      <selection activeCell="G121" sqref="G121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470" t="s">
        <v>44</v>
      </c>
      <c r="B1" s="470"/>
      <c r="C1" s="470"/>
      <c r="D1" s="470"/>
      <c r="E1" s="470"/>
      <c r="F1" s="470"/>
      <c r="G1" s="470"/>
      <c r="H1" s="470"/>
      <c r="I1" s="470"/>
    </row>
    <row r="2" spans="1:9" ht="18.75" customHeight="1" x14ac:dyDescent="0.25">
      <c r="A2" s="470"/>
      <c r="B2" s="470"/>
      <c r="C2" s="470"/>
      <c r="D2" s="470"/>
      <c r="E2" s="470"/>
      <c r="F2" s="470"/>
      <c r="G2" s="470"/>
      <c r="H2" s="470"/>
      <c r="I2" s="470"/>
    </row>
    <row r="3" spans="1:9" ht="18.75" customHeight="1" x14ac:dyDescent="0.25">
      <c r="A3" s="470"/>
      <c r="B3" s="470"/>
      <c r="C3" s="470"/>
      <c r="D3" s="470"/>
      <c r="E3" s="470"/>
      <c r="F3" s="470"/>
      <c r="G3" s="470"/>
      <c r="H3" s="470"/>
      <c r="I3" s="470"/>
    </row>
    <row r="4" spans="1:9" ht="18.75" customHeight="1" x14ac:dyDescent="0.25">
      <c r="A4" s="470"/>
      <c r="B4" s="470"/>
      <c r="C4" s="470"/>
      <c r="D4" s="470"/>
      <c r="E4" s="470"/>
      <c r="F4" s="470"/>
      <c r="G4" s="470"/>
      <c r="H4" s="470"/>
      <c r="I4" s="470"/>
    </row>
    <row r="5" spans="1:9" ht="18.75" customHeight="1" x14ac:dyDescent="0.25">
      <c r="A5" s="470"/>
      <c r="B5" s="470"/>
      <c r="C5" s="470"/>
      <c r="D5" s="470"/>
      <c r="E5" s="470"/>
      <c r="F5" s="470"/>
      <c r="G5" s="470"/>
      <c r="H5" s="470"/>
      <c r="I5" s="470"/>
    </row>
    <row r="6" spans="1:9" ht="18.75" customHeight="1" x14ac:dyDescent="0.25">
      <c r="A6" s="470"/>
      <c r="B6" s="470"/>
      <c r="C6" s="470"/>
      <c r="D6" s="470"/>
      <c r="E6" s="470"/>
      <c r="F6" s="470"/>
      <c r="G6" s="470"/>
      <c r="H6" s="470"/>
      <c r="I6" s="470"/>
    </row>
    <row r="7" spans="1:9" ht="18.75" customHeight="1" x14ac:dyDescent="0.25">
      <c r="A7" s="470"/>
      <c r="B7" s="470"/>
      <c r="C7" s="470"/>
      <c r="D7" s="470"/>
      <c r="E7" s="470"/>
      <c r="F7" s="470"/>
      <c r="G7" s="470"/>
      <c r="H7" s="470"/>
      <c r="I7" s="470"/>
    </row>
    <row r="8" spans="1:9" x14ac:dyDescent="0.25">
      <c r="A8" s="471" t="s">
        <v>45</v>
      </c>
      <c r="B8" s="471"/>
      <c r="C8" s="471"/>
      <c r="D8" s="471"/>
      <c r="E8" s="471"/>
      <c r="F8" s="471"/>
      <c r="G8" s="471"/>
      <c r="H8" s="471"/>
      <c r="I8" s="471"/>
    </row>
    <row r="9" spans="1:9" x14ac:dyDescent="0.25">
      <c r="A9" s="471"/>
      <c r="B9" s="471"/>
      <c r="C9" s="471"/>
      <c r="D9" s="471"/>
      <c r="E9" s="471"/>
      <c r="F9" s="471"/>
      <c r="G9" s="471"/>
      <c r="H9" s="471"/>
      <c r="I9" s="471"/>
    </row>
    <row r="10" spans="1:9" x14ac:dyDescent="0.25">
      <c r="A10" s="471"/>
      <c r="B10" s="471"/>
      <c r="C10" s="471"/>
      <c r="D10" s="471"/>
      <c r="E10" s="471"/>
      <c r="F10" s="471"/>
      <c r="G10" s="471"/>
      <c r="H10" s="471"/>
      <c r="I10" s="471"/>
    </row>
    <row r="11" spans="1:9" x14ac:dyDescent="0.25">
      <c r="A11" s="471"/>
      <c r="B11" s="471"/>
      <c r="C11" s="471"/>
      <c r="D11" s="471"/>
      <c r="E11" s="471"/>
      <c r="F11" s="471"/>
      <c r="G11" s="471"/>
      <c r="H11" s="471"/>
      <c r="I11" s="471"/>
    </row>
    <row r="12" spans="1:9" x14ac:dyDescent="0.25">
      <c r="A12" s="471"/>
      <c r="B12" s="471"/>
      <c r="C12" s="471"/>
      <c r="D12" s="471"/>
      <c r="E12" s="471"/>
      <c r="F12" s="471"/>
      <c r="G12" s="471"/>
      <c r="H12" s="471"/>
      <c r="I12" s="471"/>
    </row>
    <row r="13" spans="1:9" x14ac:dyDescent="0.25">
      <c r="A13" s="471"/>
      <c r="B13" s="471"/>
      <c r="C13" s="471"/>
      <c r="D13" s="471"/>
      <c r="E13" s="471"/>
      <c r="F13" s="471"/>
      <c r="G13" s="471"/>
      <c r="H13" s="471"/>
      <c r="I13" s="471"/>
    </row>
    <row r="14" spans="1:9" x14ac:dyDescent="0.25">
      <c r="A14" s="471"/>
      <c r="B14" s="471"/>
      <c r="C14" s="471"/>
      <c r="D14" s="471"/>
      <c r="E14" s="471"/>
      <c r="F14" s="471"/>
      <c r="G14" s="471"/>
      <c r="H14" s="471"/>
      <c r="I14" s="471"/>
    </row>
    <row r="15" spans="1:9" ht="19.5" customHeight="1" x14ac:dyDescent="0.3">
      <c r="A15" s="98"/>
    </row>
    <row r="16" spans="1:9" ht="19.5" customHeight="1" x14ac:dyDescent="0.3">
      <c r="A16" s="504" t="s">
        <v>30</v>
      </c>
      <c r="B16" s="505"/>
      <c r="C16" s="505"/>
      <c r="D16" s="505"/>
      <c r="E16" s="505"/>
      <c r="F16" s="505"/>
      <c r="G16" s="505"/>
      <c r="H16" s="506"/>
    </row>
    <row r="17" spans="1:14" ht="20.25" customHeight="1" x14ac:dyDescent="0.25">
      <c r="A17" s="507" t="s">
        <v>46</v>
      </c>
      <c r="B17" s="507"/>
      <c r="C17" s="507"/>
      <c r="D17" s="507"/>
      <c r="E17" s="507"/>
      <c r="F17" s="507"/>
      <c r="G17" s="507"/>
      <c r="H17" s="507"/>
    </row>
    <row r="18" spans="1:14" ht="26.25" customHeight="1" x14ac:dyDescent="0.4">
      <c r="A18" s="100" t="s">
        <v>32</v>
      </c>
      <c r="B18" s="503" t="s">
        <v>5</v>
      </c>
      <c r="C18" s="503"/>
      <c r="D18" s="262"/>
      <c r="E18" s="101"/>
      <c r="F18" s="102"/>
      <c r="G18" s="102"/>
      <c r="H18" s="102"/>
    </row>
    <row r="19" spans="1:14" ht="26.25" customHeight="1" x14ac:dyDescent="0.4">
      <c r="A19" s="100" t="s">
        <v>33</v>
      </c>
      <c r="B19" s="103" t="s">
        <v>128</v>
      </c>
      <c r="C19" s="275">
        <v>29</v>
      </c>
      <c r="D19" s="102"/>
      <c r="E19" s="102"/>
      <c r="F19" s="102"/>
      <c r="G19" s="102"/>
      <c r="H19" s="102"/>
    </row>
    <row r="20" spans="1:14" ht="26.25" customHeight="1" x14ac:dyDescent="0.4">
      <c r="A20" s="100" t="s">
        <v>34</v>
      </c>
      <c r="B20" s="508" t="s">
        <v>8</v>
      </c>
      <c r="C20" s="508"/>
      <c r="D20" s="102"/>
      <c r="E20" s="102"/>
      <c r="F20" s="102"/>
      <c r="G20" s="102"/>
      <c r="H20" s="102"/>
    </row>
    <row r="21" spans="1:14" ht="26.25" customHeight="1" x14ac:dyDescent="0.4">
      <c r="A21" s="100" t="s">
        <v>35</v>
      </c>
      <c r="B21" s="508" t="s">
        <v>10</v>
      </c>
      <c r="C21" s="508"/>
      <c r="D21" s="508"/>
      <c r="E21" s="508"/>
      <c r="F21" s="508"/>
      <c r="G21" s="508"/>
      <c r="H21" s="508"/>
      <c r="I21" s="104"/>
    </row>
    <row r="22" spans="1:14" ht="26.25" customHeight="1" x14ac:dyDescent="0.4">
      <c r="A22" s="100" t="s">
        <v>36</v>
      </c>
      <c r="B22" s="105" t="s">
        <v>11</v>
      </c>
      <c r="C22" s="102"/>
      <c r="D22" s="102"/>
      <c r="E22" s="102"/>
      <c r="F22" s="102"/>
      <c r="G22" s="102"/>
      <c r="H22" s="102"/>
    </row>
    <row r="23" spans="1:14" ht="26.25" customHeight="1" x14ac:dyDescent="0.4">
      <c r="A23" s="100" t="s">
        <v>37</v>
      </c>
      <c r="B23" s="105"/>
      <c r="C23" s="102"/>
      <c r="D23" s="102"/>
      <c r="E23" s="102"/>
      <c r="F23" s="102"/>
      <c r="G23" s="102"/>
      <c r="H23" s="102"/>
    </row>
    <row r="24" spans="1:14" ht="18.75" x14ac:dyDescent="0.3">
      <c r="A24" s="100"/>
      <c r="B24" s="106"/>
    </row>
    <row r="25" spans="1:14" ht="18.75" x14ac:dyDescent="0.3">
      <c r="A25" s="107" t="s">
        <v>1</v>
      </c>
      <c r="B25" s="106"/>
    </row>
    <row r="26" spans="1:14" ht="26.25" customHeight="1" x14ac:dyDescent="0.4">
      <c r="A26" s="108" t="s">
        <v>4</v>
      </c>
      <c r="B26" s="503" t="s">
        <v>124</v>
      </c>
      <c r="C26" s="503"/>
    </row>
    <row r="27" spans="1:14" ht="26.25" customHeight="1" x14ac:dyDescent="0.4">
      <c r="A27" s="109" t="s">
        <v>47</v>
      </c>
      <c r="B27" s="501" t="s">
        <v>125</v>
      </c>
      <c r="C27" s="501"/>
    </row>
    <row r="28" spans="1:14" ht="27" customHeight="1" x14ac:dyDescent="0.4">
      <c r="A28" s="109" t="s">
        <v>6</v>
      </c>
      <c r="B28" s="110">
        <v>99.58</v>
      </c>
    </row>
    <row r="29" spans="1:14" s="14" customFormat="1" ht="27" customHeight="1" x14ac:dyDescent="0.4">
      <c r="A29" s="109" t="s">
        <v>48</v>
      </c>
      <c r="B29" s="111">
        <v>0</v>
      </c>
      <c r="C29" s="478" t="s">
        <v>49</v>
      </c>
      <c r="D29" s="479"/>
      <c r="E29" s="479"/>
      <c r="F29" s="479"/>
      <c r="G29" s="480"/>
      <c r="I29" s="112"/>
      <c r="J29" s="112"/>
      <c r="K29" s="112"/>
      <c r="L29" s="112"/>
    </row>
    <row r="30" spans="1:14" s="14" customFormat="1" ht="19.5" customHeight="1" x14ac:dyDescent="0.3">
      <c r="A30" s="109" t="s">
        <v>50</v>
      </c>
      <c r="B30" s="113">
        <f>B28-B29</f>
        <v>99.58</v>
      </c>
      <c r="C30" s="114"/>
      <c r="D30" s="114"/>
      <c r="E30" s="114"/>
      <c r="F30" s="114"/>
      <c r="G30" s="115"/>
      <c r="I30" s="112"/>
      <c r="J30" s="112"/>
      <c r="K30" s="112"/>
      <c r="L30" s="112"/>
    </row>
    <row r="31" spans="1:14" s="14" customFormat="1" ht="27" customHeight="1" x14ac:dyDescent="0.4">
      <c r="A31" s="109" t="s">
        <v>51</v>
      </c>
      <c r="B31" s="116">
        <v>1</v>
      </c>
      <c r="C31" s="481" t="s">
        <v>52</v>
      </c>
      <c r="D31" s="482"/>
      <c r="E31" s="482"/>
      <c r="F31" s="482"/>
      <c r="G31" s="482"/>
      <c r="H31" s="483"/>
      <c r="I31" s="112"/>
      <c r="J31" s="112"/>
      <c r="K31" s="112"/>
      <c r="L31" s="112"/>
    </row>
    <row r="32" spans="1:14" s="14" customFormat="1" ht="27" customHeight="1" x14ac:dyDescent="0.4">
      <c r="A32" s="109" t="s">
        <v>53</v>
      </c>
      <c r="B32" s="116">
        <v>1</v>
      </c>
      <c r="C32" s="481" t="s">
        <v>54</v>
      </c>
      <c r="D32" s="482"/>
      <c r="E32" s="482"/>
      <c r="F32" s="482"/>
      <c r="G32" s="482"/>
      <c r="H32" s="483"/>
      <c r="I32" s="112"/>
      <c r="J32" s="112"/>
      <c r="K32" s="112"/>
      <c r="L32" s="117"/>
      <c r="M32" s="117"/>
      <c r="N32" s="118"/>
    </row>
    <row r="33" spans="1:14" s="14" customFormat="1" ht="17.25" customHeight="1" x14ac:dyDescent="0.3">
      <c r="A33" s="109"/>
      <c r="B33" s="119"/>
      <c r="C33" s="120"/>
      <c r="D33" s="120"/>
      <c r="E33" s="120"/>
      <c r="F33" s="120"/>
      <c r="G33" s="120"/>
      <c r="H33" s="120"/>
      <c r="I33" s="112"/>
      <c r="J33" s="112"/>
      <c r="K33" s="112"/>
      <c r="L33" s="117"/>
      <c r="M33" s="117"/>
      <c r="N33" s="118"/>
    </row>
    <row r="34" spans="1:14" s="14" customFormat="1" ht="18.75" x14ac:dyDescent="0.3">
      <c r="A34" s="109" t="s">
        <v>55</v>
      </c>
      <c r="B34" s="121">
        <f>B31/B32</f>
        <v>1</v>
      </c>
      <c r="C34" s="99" t="s">
        <v>56</v>
      </c>
      <c r="D34" s="99"/>
      <c r="E34" s="99"/>
      <c r="F34" s="99"/>
      <c r="G34" s="99"/>
      <c r="I34" s="112"/>
      <c r="J34" s="112"/>
      <c r="K34" s="112"/>
      <c r="L34" s="117"/>
      <c r="M34" s="117"/>
      <c r="N34" s="118"/>
    </row>
    <row r="35" spans="1:14" s="14" customFormat="1" ht="19.5" customHeight="1" x14ac:dyDescent="0.3">
      <c r="A35" s="109"/>
      <c r="B35" s="113"/>
      <c r="G35" s="99"/>
      <c r="I35" s="112"/>
      <c r="J35" s="112"/>
      <c r="K35" s="112"/>
      <c r="L35" s="117"/>
      <c r="M35" s="117"/>
      <c r="N35" s="118"/>
    </row>
    <row r="36" spans="1:14" s="14" customFormat="1" ht="27" customHeight="1" x14ac:dyDescent="0.4">
      <c r="A36" s="122" t="s">
        <v>57</v>
      </c>
      <c r="B36" s="123">
        <v>25</v>
      </c>
      <c r="C36" s="99"/>
      <c r="D36" s="484" t="s">
        <v>58</v>
      </c>
      <c r="E36" s="502"/>
      <c r="F36" s="484" t="s">
        <v>59</v>
      </c>
      <c r="G36" s="485"/>
      <c r="J36" s="112"/>
      <c r="K36" s="112"/>
      <c r="L36" s="117"/>
      <c r="M36" s="117"/>
      <c r="N36" s="118"/>
    </row>
    <row r="37" spans="1:14" s="14" customFormat="1" ht="27" customHeight="1" x14ac:dyDescent="0.4">
      <c r="A37" s="124" t="s">
        <v>60</v>
      </c>
      <c r="B37" s="125">
        <v>10</v>
      </c>
      <c r="C37" s="126" t="s">
        <v>61</v>
      </c>
      <c r="D37" s="127" t="s">
        <v>62</v>
      </c>
      <c r="E37" s="128" t="s">
        <v>63</v>
      </c>
      <c r="F37" s="127" t="s">
        <v>62</v>
      </c>
      <c r="G37" s="129" t="s">
        <v>63</v>
      </c>
      <c r="I37" s="130" t="s">
        <v>64</v>
      </c>
      <c r="J37" s="112"/>
      <c r="K37" s="112"/>
      <c r="L37" s="117"/>
      <c r="M37" s="117"/>
      <c r="N37" s="118"/>
    </row>
    <row r="38" spans="1:14" s="14" customFormat="1" ht="26.25" customHeight="1" x14ac:dyDescent="0.4">
      <c r="A38" s="124" t="s">
        <v>65</v>
      </c>
      <c r="B38" s="125">
        <v>50</v>
      </c>
      <c r="C38" s="131">
        <v>1</v>
      </c>
      <c r="D38" s="132">
        <v>60163914</v>
      </c>
      <c r="E38" s="133">
        <f>IF(ISBLANK(D38),"-",$D$48/$D$45*D38)</f>
        <v>64376844.11983715</v>
      </c>
      <c r="F38" s="132">
        <v>65253568</v>
      </c>
      <c r="G38" s="134">
        <f>IF(ISBLANK(F38),"-",$D$48/$F$45*F38)</f>
        <v>64338526.179122664</v>
      </c>
      <c r="I38" s="135"/>
      <c r="J38" s="112"/>
      <c r="K38" s="112"/>
      <c r="L38" s="117"/>
      <c r="M38" s="117"/>
      <c r="N38" s="118"/>
    </row>
    <row r="39" spans="1:14" s="14" customFormat="1" ht="26.25" customHeight="1" x14ac:dyDescent="0.4">
      <c r="A39" s="124" t="s">
        <v>66</v>
      </c>
      <c r="B39" s="125">
        <v>1</v>
      </c>
      <c r="C39" s="136">
        <v>2</v>
      </c>
      <c r="D39" s="137">
        <v>60290964</v>
      </c>
      <c r="E39" s="138">
        <f>IF(ISBLANK(D39),"-",$D$48/$D$45*D39)</f>
        <v>64512790.69481273</v>
      </c>
      <c r="F39" s="137">
        <v>65176835</v>
      </c>
      <c r="G39" s="139">
        <f>IF(ISBLANK(F39),"-",$D$48/$F$45*F39)</f>
        <v>64262869.195441671</v>
      </c>
      <c r="I39" s="486">
        <f>ABS((F43/D43*D42)-F42)/D42</f>
        <v>2.7128459965888091E-3</v>
      </c>
      <c r="J39" s="112"/>
      <c r="K39" s="112"/>
      <c r="L39" s="117"/>
      <c r="M39" s="117"/>
      <c r="N39" s="118"/>
    </row>
    <row r="40" spans="1:14" ht="26.25" customHeight="1" x14ac:dyDescent="0.4">
      <c r="A40" s="124" t="s">
        <v>67</v>
      </c>
      <c r="B40" s="125">
        <v>1</v>
      </c>
      <c r="C40" s="136">
        <v>3</v>
      </c>
      <c r="D40" s="137">
        <v>60265698</v>
      </c>
      <c r="E40" s="138">
        <f>IF(ISBLANK(D40),"-",$D$48/$D$45*D40)</f>
        <v>64485755.463302828</v>
      </c>
      <c r="F40" s="137">
        <v>65204963</v>
      </c>
      <c r="G40" s="139">
        <f>IF(ISBLANK(F40),"-",$D$48/$F$45*F40)</f>
        <v>64290602.760361314</v>
      </c>
      <c r="I40" s="486"/>
      <c r="L40" s="117"/>
      <c r="M40" s="117"/>
      <c r="N40" s="140"/>
    </row>
    <row r="41" spans="1:14" ht="27" customHeight="1" x14ac:dyDescent="0.4">
      <c r="A41" s="124" t="s">
        <v>68</v>
      </c>
      <c r="B41" s="125">
        <v>1</v>
      </c>
      <c r="C41" s="141">
        <v>4</v>
      </c>
      <c r="D41" s="142"/>
      <c r="E41" s="143" t="str">
        <f>IF(ISBLANK(D41),"-",$D$48/$D$45*D41)</f>
        <v>-</v>
      </c>
      <c r="F41" s="142"/>
      <c r="G41" s="144" t="str">
        <f>IF(ISBLANK(F41),"-",$D$48/$F$45*F41)</f>
        <v>-</v>
      </c>
      <c r="I41" s="145"/>
      <c r="L41" s="117"/>
      <c r="M41" s="117"/>
      <c r="N41" s="140"/>
    </row>
    <row r="42" spans="1:14" ht="27" customHeight="1" x14ac:dyDescent="0.4">
      <c r="A42" s="124" t="s">
        <v>69</v>
      </c>
      <c r="B42" s="125">
        <v>1</v>
      </c>
      <c r="C42" s="146" t="s">
        <v>70</v>
      </c>
      <c r="D42" s="147">
        <f>AVERAGE(D38:D41)</f>
        <v>60240192</v>
      </c>
      <c r="E42" s="148">
        <f>AVERAGE(E38:E41)</f>
        <v>64458463.425984234</v>
      </c>
      <c r="F42" s="147">
        <f>AVERAGE(F38:F41)</f>
        <v>65211788.666666664</v>
      </c>
      <c r="G42" s="149">
        <f>AVERAGE(G38:G41)</f>
        <v>64297332.711641885</v>
      </c>
      <c r="H42" s="150"/>
    </row>
    <row r="43" spans="1:14" ht="26.25" customHeight="1" x14ac:dyDescent="0.4">
      <c r="A43" s="124" t="s">
        <v>71</v>
      </c>
      <c r="B43" s="125">
        <v>1</v>
      </c>
      <c r="C43" s="151" t="s">
        <v>72</v>
      </c>
      <c r="D43" s="152">
        <v>18.77</v>
      </c>
      <c r="E43" s="140"/>
      <c r="F43" s="152">
        <v>20.37</v>
      </c>
      <c r="H43" s="150"/>
    </row>
    <row r="44" spans="1:14" ht="26.25" customHeight="1" x14ac:dyDescent="0.4">
      <c r="A44" s="124" t="s">
        <v>73</v>
      </c>
      <c r="B44" s="125">
        <v>1</v>
      </c>
      <c r="C44" s="153" t="s">
        <v>74</v>
      </c>
      <c r="D44" s="154">
        <f>D43*$B$34</f>
        <v>18.77</v>
      </c>
      <c r="E44" s="155"/>
      <c r="F44" s="154">
        <f>F43*$B$34</f>
        <v>20.37</v>
      </c>
      <c r="H44" s="150"/>
    </row>
    <row r="45" spans="1:14" ht="19.5" customHeight="1" x14ac:dyDescent="0.3">
      <c r="A45" s="124" t="s">
        <v>75</v>
      </c>
      <c r="B45" s="156">
        <f>(B44/B43)*(B42/B41)*(B40/B39)*(B38/B37)*B36</f>
        <v>125</v>
      </c>
      <c r="C45" s="153" t="s">
        <v>76</v>
      </c>
      <c r="D45" s="157">
        <f>D44*$B$30/100</f>
        <v>18.691165999999999</v>
      </c>
      <c r="E45" s="158"/>
      <c r="F45" s="157">
        <f>F44*$B$30/100</f>
        <v>20.284445999999999</v>
      </c>
      <c r="H45" s="150"/>
    </row>
    <row r="46" spans="1:14" ht="19.5" customHeight="1" x14ac:dyDescent="0.3">
      <c r="A46" s="472" t="s">
        <v>77</v>
      </c>
      <c r="B46" s="473"/>
      <c r="C46" s="153" t="s">
        <v>78</v>
      </c>
      <c r="D46" s="159">
        <f>D45/$B$45</f>
        <v>0.14952932799999999</v>
      </c>
      <c r="E46" s="160"/>
      <c r="F46" s="161">
        <f>F45/$B$45</f>
        <v>0.16227556799999998</v>
      </c>
      <c r="H46" s="150"/>
    </row>
    <row r="47" spans="1:14" ht="27" customHeight="1" x14ac:dyDescent="0.4">
      <c r="A47" s="474"/>
      <c r="B47" s="475"/>
      <c r="C47" s="162" t="s">
        <v>79</v>
      </c>
      <c r="D47" s="459">
        <f>20/25*10/50</f>
        <v>0.16</v>
      </c>
      <c r="E47" s="163"/>
      <c r="F47" s="160"/>
      <c r="H47" s="150"/>
    </row>
    <row r="48" spans="1:14" ht="18.75" x14ac:dyDescent="0.3">
      <c r="C48" s="164" t="s">
        <v>80</v>
      </c>
      <c r="D48" s="157">
        <f>D47*$B$45</f>
        <v>20</v>
      </c>
      <c r="F48" s="165"/>
      <c r="H48" s="150"/>
    </row>
    <row r="49" spans="1:12" ht="19.5" customHeight="1" x14ac:dyDescent="0.3">
      <c r="C49" s="166" t="s">
        <v>81</v>
      </c>
      <c r="D49" s="167">
        <f>D48/B34</f>
        <v>20</v>
      </c>
      <c r="F49" s="165"/>
      <c r="H49" s="150"/>
    </row>
    <row r="50" spans="1:12" ht="18.75" x14ac:dyDescent="0.3">
      <c r="C50" s="122" t="s">
        <v>82</v>
      </c>
      <c r="D50" s="168">
        <f>AVERAGE(E38:E41,G38:G41)</f>
        <v>64377898.068813056</v>
      </c>
      <c r="F50" s="169"/>
      <c r="H50" s="150"/>
    </row>
    <row r="51" spans="1:12" ht="18.75" x14ac:dyDescent="0.3">
      <c r="C51" s="124" t="s">
        <v>83</v>
      </c>
      <c r="D51" s="170">
        <f>STDEV(E38:E41,G38:G41)/D50</f>
        <v>1.5876291234497093E-3</v>
      </c>
      <c r="F51" s="169"/>
      <c r="H51" s="150"/>
    </row>
    <row r="52" spans="1:12" ht="19.5" customHeight="1" x14ac:dyDescent="0.3">
      <c r="C52" s="171" t="s">
        <v>19</v>
      </c>
      <c r="D52" s="172">
        <f>COUNT(E38:E41,G38:G41)</f>
        <v>6</v>
      </c>
      <c r="F52" s="169"/>
    </row>
    <row r="54" spans="1:12" ht="18.75" x14ac:dyDescent="0.3">
      <c r="A54" s="173" t="s">
        <v>1</v>
      </c>
      <c r="B54" s="174" t="s">
        <v>84</v>
      </c>
    </row>
    <row r="55" spans="1:12" ht="18.75" x14ac:dyDescent="0.3">
      <c r="A55" s="99" t="s">
        <v>85</v>
      </c>
      <c r="B55" s="175" t="str">
        <f>B21</f>
        <v>Sulphamethoxazole 800mg Trimethoprim 160 per tablets</v>
      </c>
    </row>
    <row r="56" spans="1:12" ht="26.25" customHeight="1" x14ac:dyDescent="0.4">
      <c r="A56" s="176" t="s">
        <v>86</v>
      </c>
      <c r="B56" s="177">
        <v>800</v>
      </c>
      <c r="C56" s="99" t="str">
        <f>B20</f>
        <v>Sulfamethoxazole BP &amp; Trimethoprim BP</v>
      </c>
      <c r="H56" s="178"/>
    </row>
    <row r="57" spans="1:12" ht="18.75" x14ac:dyDescent="0.3">
      <c r="A57" s="175" t="s">
        <v>87</v>
      </c>
      <c r="B57" s="263">
        <f>Uniformity!C46</f>
        <v>1044.4935</v>
      </c>
      <c r="H57" s="178"/>
    </row>
    <row r="58" spans="1:12" ht="19.5" customHeight="1" x14ac:dyDescent="0.3">
      <c r="H58" s="178"/>
    </row>
    <row r="59" spans="1:12" s="14" customFormat="1" ht="27" customHeight="1" x14ac:dyDescent="0.4">
      <c r="A59" s="122" t="s">
        <v>88</v>
      </c>
      <c r="B59" s="123">
        <v>100</v>
      </c>
      <c r="C59" s="99"/>
      <c r="D59" s="179" t="s">
        <v>89</v>
      </c>
      <c r="E59" s="180" t="s">
        <v>61</v>
      </c>
      <c r="F59" s="180" t="s">
        <v>62</v>
      </c>
      <c r="G59" s="180" t="s">
        <v>90</v>
      </c>
      <c r="H59" s="126" t="s">
        <v>91</v>
      </c>
      <c r="L59" s="112"/>
    </row>
    <row r="60" spans="1:12" s="14" customFormat="1" ht="26.25" customHeight="1" x14ac:dyDescent="0.4">
      <c r="A60" s="124" t="s">
        <v>92</v>
      </c>
      <c r="B60" s="125">
        <v>5</v>
      </c>
      <c r="C60" s="489" t="s">
        <v>93</v>
      </c>
      <c r="D60" s="492">
        <v>210.69</v>
      </c>
      <c r="E60" s="181">
        <v>1</v>
      </c>
      <c r="F60" s="182">
        <v>63632646</v>
      </c>
      <c r="G60" s="264">
        <f>IF(ISBLANK(F60),"-",(F60/$D$50*$D$47*$B$68)*($B$57/$D$60))</f>
        <v>784.01611761544677</v>
      </c>
      <c r="H60" s="183">
        <f t="shared" ref="H60:H70" si="0">IF(ISBLANK(F60),"-",G60/$B$56)</f>
        <v>0.98002014701930851</v>
      </c>
      <c r="L60" s="112"/>
    </row>
    <row r="61" spans="1:12" s="14" customFormat="1" ht="26.25" customHeight="1" x14ac:dyDescent="0.4">
      <c r="A61" s="124" t="s">
        <v>94</v>
      </c>
      <c r="B61" s="125">
        <v>50</v>
      </c>
      <c r="C61" s="490"/>
      <c r="D61" s="493"/>
      <c r="E61" s="184">
        <v>2</v>
      </c>
      <c r="F61" s="137">
        <v>63632398</v>
      </c>
      <c r="G61" s="265">
        <f>IF(ISBLANK(F61),"-",(F61/$D$50*$D$47*$B$68)*($B$57/$D$60))</f>
        <v>784.01306201412604</v>
      </c>
      <c r="H61" s="185">
        <f t="shared" si="0"/>
        <v>0.98001632751765755</v>
      </c>
      <c r="L61" s="112"/>
    </row>
    <row r="62" spans="1:12" s="14" customFormat="1" ht="26.25" customHeight="1" x14ac:dyDescent="0.4">
      <c r="A62" s="124" t="s">
        <v>95</v>
      </c>
      <c r="B62" s="125">
        <v>1</v>
      </c>
      <c r="C62" s="490"/>
      <c r="D62" s="493"/>
      <c r="E62" s="184">
        <v>3</v>
      </c>
      <c r="F62" s="186">
        <v>63602896</v>
      </c>
      <c r="G62" s="265">
        <f>IF(ISBLANK(F62),"-",(F62/$D$50*$D$47*$B$68)*($B$57/$D$60))</f>
        <v>783.64956866667194</v>
      </c>
      <c r="H62" s="185">
        <f t="shared" si="0"/>
        <v>0.97956196083333991</v>
      </c>
      <c r="L62" s="112"/>
    </row>
    <row r="63" spans="1:12" ht="27" customHeight="1" x14ac:dyDescent="0.4">
      <c r="A63" s="124" t="s">
        <v>96</v>
      </c>
      <c r="B63" s="125">
        <v>1</v>
      </c>
      <c r="C63" s="500"/>
      <c r="D63" s="494"/>
      <c r="E63" s="187">
        <v>4</v>
      </c>
      <c r="F63" s="188"/>
      <c r="G63" s="265"/>
      <c r="H63" s="185"/>
    </row>
    <row r="64" spans="1:12" ht="26.25" customHeight="1" x14ac:dyDescent="0.4">
      <c r="A64" s="124" t="s">
        <v>97</v>
      </c>
      <c r="B64" s="125">
        <v>1</v>
      </c>
      <c r="C64" s="489" t="s">
        <v>98</v>
      </c>
      <c r="D64" s="492">
        <v>205.84</v>
      </c>
      <c r="E64" s="181">
        <v>1</v>
      </c>
      <c r="F64" s="182">
        <v>62012393</v>
      </c>
      <c r="G64" s="266">
        <f>IF(ISBLANK(F64),"-",(F64/$D$50*$D$47*$B$68)*($B$57/$D$64))</f>
        <v>782.05563367070226</v>
      </c>
      <c r="H64" s="189">
        <f t="shared" si="0"/>
        <v>0.97756954208837787</v>
      </c>
    </row>
    <row r="65" spans="1:8" ht="26.25" customHeight="1" x14ac:dyDescent="0.4">
      <c r="A65" s="124" t="s">
        <v>99</v>
      </c>
      <c r="B65" s="125">
        <v>1</v>
      </c>
      <c r="C65" s="490"/>
      <c r="D65" s="493"/>
      <c r="E65" s="184">
        <v>2</v>
      </c>
      <c r="F65" s="137">
        <v>61884534</v>
      </c>
      <c r="G65" s="267">
        <f>IF(ISBLANK(F65),"-",(F65/$D$50*$D$47*$B$68)*($B$57/$D$64))</f>
        <v>780.44316805813503</v>
      </c>
      <c r="H65" s="190">
        <f t="shared" si="0"/>
        <v>0.97555396007266881</v>
      </c>
    </row>
    <row r="66" spans="1:8" ht="26.25" customHeight="1" x14ac:dyDescent="0.4">
      <c r="A66" s="124" t="s">
        <v>100</v>
      </c>
      <c r="B66" s="125">
        <v>1</v>
      </c>
      <c r="C66" s="490"/>
      <c r="D66" s="493"/>
      <c r="E66" s="184">
        <v>3</v>
      </c>
      <c r="F66" s="137">
        <v>61922926</v>
      </c>
      <c r="G66" s="267">
        <f>IF(ISBLANK(F66),"-",(F66/$D$50*$D$47*$B$68)*($B$57/$D$64))</f>
        <v>780.92734030879933</v>
      </c>
      <c r="H66" s="190">
        <f t="shared" si="0"/>
        <v>0.97615917538599917</v>
      </c>
    </row>
    <row r="67" spans="1:8" ht="27" customHeight="1" x14ac:dyDescent="0.4">
      <c r="A67" s="124" t="s">
        <v>101</v>
      </c>
      <c r="B67" s="125">
        <v>1</v>
      </c>
      <c r="C67" s="500"/>
      <c r="D67" s="494"/>
      <c r="E67" s="187">
        <v>4</v>
      </c>
      <c r="F67" s="188"/>
      <c r="G67" s="268"/>
      <c r="H67" s="191"/>
    </row>
    <row r="68" spans="1:8" ht="26.25" customHeight="1" x14ac:dyDescent="0.4">
      <c r="A68" s="124" t="s">
        <v>102</v>
      </c>
      <c r="B68" s="192">
        <f>(B67/B66)*(B65/B64)*(B63/B62)*(B61/B60)*B59</f>
        <v>1000</v>
      </c>
      <c r="C68" s="489" t="s">
        <v>103</v>
      </c>
      <c r="D68" s="492">
        <v>203.81</v>
      </c>
      <c r="E68" s="181">
        <v>1</v>
      </c>
      <c r="F68" s="182">
        <v>61317679</v>
      </c>
      <c r="G68" s="266">
        <f>IF(ISBLANK(F68),"-",(F68/$D$50*$D$47*$B$68)*($B$57/$D$68))</f>
        <v>780.99661214818877</v>
      </c>
      <c r="H68" s="185">
        <f t="shared" si="0"/>
        <v>0.97624576518523598</v>
      </c>
    </row>
    <row r="69" spans="1:8" ht="27" customHeight="1" x14ac:dyDescent="0.4">
      <c r="A69" s="171" t="s">
        <v>104</v>
      </c>
      <c r="B69" s="193">
        <f>(D47*B68)/B56*B57</f>
        <v>208.89870000000002</v>
      </c>
      <c r="C69" s="490"/>
      <c r="D69" s="493"/>
      <c r="E69" s="184">
        <v>2</v>
      </c>
      <c r="F69" s="137">
        <v>61339902</v>
      </c>
      <c r="G69" s="267">
        <f>IF(ISBLANK(F69),"-",(F69/$D$50*$D$47*$B$68)*($B$57/$D$68))</f>
        <v>781.27966408353313</v>
      </c>
      <c r="H69" s="185">
        <f t="shared" si="0"/>
        <v>0.97659958010441639</v>
      </c>
    </row>
    <row r="70" spans="1:8" ht="26.25" customHeight="1" x14ac:dyDescent="0.4">
      <c r="A70" s="495" t="s">
        <v>77</v>
      </c>
      <c r="B70" s="496"/>
      <c r="C70" s="490"/>
      <c r="D70" s="493"/>
      <c r="E70" s="184">
        <v>3</v>
      </c>
      <c r="F70" s="137">
        <v>61364560</v>
      </c>
      <c r="G70" s="267">
        <f>IF(ISBLANK(F70),"-",(F70/$D$50*$D$47*$B$68)*($B$57/$D$68))</f>
        <v>781.59373034919133</v>
      </c>
      <c r="H70" s="185">
        <f t="shared" si="0"/>
        <v>0.97699216293648916</v>
      </c>
    </row>
    <row r="71" spans="1:8" ht="27" customHeight="1" x14ac:dyDescent="0.4">
      <c r="A71" s="497"/>
      <c r="B71" s="498"/>
      <c r="C71" s="491"/>
      <c r="D71" s="494"/>
      <c r="E71" s="187">
        <v>4</v>
      </c>
      <c r="F71" s="188"/>
      <c r="G71" s="268"/>
      <c r="H71" s="194"/>
    </row>
    <row r="72" spans="1:8" ht="26.25" customHeight="1" x14ac:dyDescent="0.4">
      <c r="A72" s="195"/>
      <c r="B72" s="195"/>
      <c r="C72" s="195"/>
      <c r="D72" s="195"/>
      <c r="E72" s="195"/>
      <c r="F72" s="197" t="s">
        <v>70</v>
      </c>
      <c r="G72" s="273">
        <f>AVERAGE(G60:G71)</f>
        <v>782.10832187942151</v>
      </c>
      <c r="H72" s="198">
        <f>AVERAGE(H60:H71)</f>
        <v>0.97763540234927704</v>
      </c>
    </row>
    <row r="73" spans="1:8" ht="26.25" customHeight="1" x14ac:dyDescent="0.4">
      <c r="C73" s="195"/>
      <c r="D73" s="195"/>
      <c r="E73" s="195"/>
      <c r="F73" s="199" t="s">
        <v>83</v>
      </c>
      <c r="G73" s="269">
        <f>STDEV(G60:G71)/G72</f>
        <v>1.8082502051933035E-3</v>
      </c>
      <c r="H73" s="269">
        <f>STDEV(H60:H71)/H72</f>
        <v>1.8082502051933048E-3</v>
      </c>
    </row>
    <row r="74" spans="1:8" ht="27" customHeight="1" x14ac:dyDescent="0.4">
      <c r="A74" s="195"/>
      <c r="B74" s="195"/>
      <c r="C74" s="196"/>
      <c r="D74" s="196"/>
      <c r="E74" s="200"/>
      <c r="F74" s="201" t="s">
        <v>19</v>
      </c>
      <c r="G74" s="202">
        <f>COUNT(G60:G71)</f>
        <v>9</v>
      </c>
      <c r="H74" s="202">
        <f>COUNT(H60:H71)</f>
        <v>9</v>
      </c>
    </row>
    <row r="76" spans="1:8" ht="26.25" customHeight="1" x14ac:dyDescent="0.4">
      <c r="A76" s="108" t="s">
        <v>105</v>
      </c>
      <c r="B76" s="203" t="s">
        <v>106</v>
      </c>
      <c r="C76" s="476" t="str">
        <f>B20</f>
        <v>Sulfamethoxazole BP &amp; Trimethoprim BP</v>
      </c>
      <c r="D76" s="476"/>
      <c r="E76" s="204" t="s">
        <v>107</v>
      </c>
      <c r="F76" s="204"/>
      <c r="G76" s="205">
        <f>H72</f>
        <v>0.97763540234927704</v>
      </c>
      <c r="H76" s="206"/>
    </row>
    <row r="77" spans="1:8" ht="18.75" x14ac:dyDescent="0.3">
      <c r="A77" s="107" t="s">
        <v>108</v>
      </c>
      <c r="B77" s="107" t="s">
        <v>109</v>
      </c>
    </row>
    <row r="78" spans="1:8" ht="18.75" x14ac:dyDescent="0.3">
      <c r="A78" s="107"/>
      <c r="B78" s="107"/>
    </row>
    <row r="79" spans="1:8" ht="26.25" customHeight="1" x14ac:dyDescent="0.4">
      <c r="A79" s="108" t="s">
        <v>4</v>
      </c>
      <c r="B79" s="499" t="str">
        <f>B26</f>
        <v>Sulfamethoxazole</v>
      </c>
      <c r="C79" s="499"/>
    </row>
    <row r="80" spans="1:8" ht="26.25" customHeight="1" x14ac:dyDescent="0.4">
      <c r="A80" s="109" t="s">
        <v>47</v>
      </c>
      <c r="B80" s="499" t="str">
        <f>B27</f>
        <v>S12-2</v>
      </c>
      <c r="C80" s="499"/>
    </row>
    <row r="81" spans="1:12" ht="27" customHeight="1" x14ac:dyDescent="0.4">
      <c r="A81" s="109" t="s">
        <v>6</v>
      </c>
      <c r="B81" s="207">
        <f>B28</f>
        <v>99.58</v>
      </c>
    </row>
    <row r="82" spans="1:12" s="14" customFormat="1" ht="27" customHeight="1" x14ac:dyDescent="0.4">
      <c r="A82" s="109" t="s">
        <v>48</v>
      </c>
      <c r="B82" s="111">
        <v>0</v>
      </c>
      <c r="C82" s="478" t="s">
        <v>49</v>
      </c>
      <c r="D82" s="479"/>
      <c r="E82" s="479"/>
      <c r="F82" s="479"/>
      <c r="G82" s="480"/>
      <c r="I82" s="112"/>
      <c r="J82" s="112"/>
      <c r="K82" s="112"/>
      <c r="L82" s="112"/>
    </row>
    <row r="83" spans="1:12" s="14" customFormat="1" ht="19.5" customHeight="1" x14ac:dyDescent="0.3">
      <c r="A83" s="109" t="s">
        <v>50</v>
      </c>
      <c r="B83" s="113">
        <f>B81-B82</f>
        <v>99.58</v>
      </c>
      <c r="C83" s="114"/>
      <c r="D83" s="114"/>
      <c r="E83" s="114"/>
      <c r="F83" s="114"/>
      <c r="G83" s="115"/>
      <c r="I83" s="112"/>
      <c r="J83" s="112"/>
      <c r="K83" s="112"/>
      <c r="L83" s="112"/>
    </row>
    <row r="84" spans="1:12" s="14" customFormat="1" ht="27" customHeight="1" x14ac:dyDescent="0.4">
      <c r="A84" s="109" t="s">
        <v>51</v>
      </c>
      <c r="B84" s="116">
        <v>1</v>
      </c>
      <c r="C84" s="481" t="s">
        <v>110</v>
      </c>
      <c r="D84" s="482"/>
      <c r="E84" s="482"/>
      <c r="F84" s="482"/>
      <c r="G84" s="482"/>
      <c r="H84" s="483"/>
      <c r="I84" s="112"/>
      <c r="J84" s="112"/>
      <c r="K84" s="112"/>
      <c r="L84" s="112"/>
    </row>
    <row r="85" spans="1:12" s="14" customFormat="1" ht="27" customHeight="1" x14ac:dyDescent="0.4">
      <c r="A85" s="109" t="s">
        <v>53</v>
      </c>
      <c r="B85" s="116">
        <v>1</v>
      </c>
      <c r="C85" s="481" t="s">
        <v>111</v>
      </c>
      <c r="D85" s="482"/>
      <c r="E85" s="482"/>
      <c r="F85" s="482"/>
      <c r="G85" s="482"/>
      <c r="H85" s="483"/>
      <c r="I85" s="112"/>
      <c r="J85" s="112"/>
      <c r="K85" s="112"/>
      <c r="L85" s="112"/>
    </row>
    <row r="86" spans="1:12" s="14" customFormat="1" ht="18.75" x14ac:dyDescent="0.3">
      <c r="A86" s="109"/>
      <c r="B86" s="119"/>
      <c r="C86" s="120"/>
      <c r="D86" s="120"/>
      <c r="E86" s="120"/>
      <c r="F86" s="120"/>
      <c r="G86" s="120"/>
      <c r="H86" s="120"/>
      <c r="I86" s="112"/>
      <c r="J86" s="112"/>
      <c r="K86" s="112"/>
      <c r="L86" s="112"/>
    </row>
    <row r="87" spans="1:12" s="14" customFormat="1" ht="18.75" x14ac:dyDescent="0.3">
      <c r="A87" s="109" t="s">
        <v>55</v>
      </c>
      <c r="B87" s="121">
        <f>B84/B85</f>
        <v>1</v>
      </c>
      <c r="C87" s="99" t="s">
        <v>56</v>
      </c>
      <c r="D87" s="99"/>
      <c r="E87" s="99"/>
      <c r="F87" s="99"/>
      <c r="G87" s="99"/>
      <c r="I87" s="112"/>
      <c r="J87" s="112"/>
      <c r="K87" s="112"/>
      <c r="L87" s="112"/>
    </row>
    <row r="88" spans="1:12" ht="19.5" customHeight="1" x14ac:dyDescent="0.3">
      <c r="A88" s="107"/>
      <c r="B88" s="107"/>
    </row>
    <row r="89" spans="1:12" ht="27" customHeight="1" x14ac:dyDescent="0.4">
      <c r="A89" s="122" t="s">
        <v>57</v>
      </c>
      <c r="B89" s="123">
        <v>25</v>
      </c>
      <c r="D89" s="208" t="s">
        <v>58</v>
      </c>
      <c r="E89" s="209"/>
      <c r="F89" s="484" t="s">
        <v>59</v>
      </c>
      <c r="G89" s="485"/>
    </row>
    <row r="90" spans="1:12" ht="27" customHeight="1" x14ac:dyDescent="0.4">
      <c r="A90" s="124" t="s">
        <v>60</v>
      </c>
      <c r="B90" s="125">
        <v>10</v>
      </c>
      <c r="C90" s="210" t="s">
        <v>61</v>
      </c>
      <c r="D90" s="127" t="s">
        <v>62</v>
      </c>
      <c r="E90" s="128" t="s">
        <v>63</v>
      </c>
      <c r="F90" s="127" t="s">
        <v>62</v>
      </c>
      <c r="G90" s="211" t="s">
        <v>63</v>
      </c>
      <c r="I90" s="130" t="s">
        <v>64</v>
      </c>
    </row>
    <row r="91" spans="1:12" ht="26.25" customHeight="1" x14ac:dyDescent="0.4">
      <c r="A91" s="124" t="s">
        <v>65</v>
      </c>
      <c r="B91" s="125">
        <v>50</v>
      </c>
      <c r="C91" s="212">
        <v>1</v>
      </c>
      <c r="D91" s="310">
        <v>61010288</v>
      </c>
      <c r="E91" s="133">
        <f>IF(ISBLANK(D91),"-",$D$101/$D$98*D91)</f>
        <v>71320193.202112973</v>
      </c>
      <c r="F91" s="310">
        <v>66285869</v>
      </c>
      <c r="G91" s="134">
        <f>IF(ISBLANK(F91),"-",$D$101/$F$98*F91)</f>
        <v>70912372.28531988</v>
      </c>
      <c r="I91" s="135"/>
    </row>
    <row r="92" spans="1:12" ht="26.25" customHeight="1" x14ac:dyDescent="0.4">
      <c r="A92" s="124" t="s">
        <v>66</v>
      </c>
      <c r="B92" s="125">
        <v>1</v>
      </c>
      <c r="C92" s="196">
        <v>2</v>
      </c>
      <c r="D92" s="315">
        <v>60924238</v>
      </c>
      <c r="E92" s="138">
        <f>IF(ISBLANK(D92),"-",$D$101/$D$98*D92)</f>
        <v>71219601.92765379</v>
      </c>
      <c r="F92" s="315">
        <v>66542679</v>
      </c>
      <c r="G92" s="139">
        <f>IF(ISBLANK(F92),"-",$D$101/$F$98*F92)</f>
        <v>71187106.653313041</v>
      </c>
      <c r="I92" s="486">
        <f>ABS((F96/D96*D95)-F95)/D95</f>
        <v>4.7350117320067997E-3</v>
      </c>
    </row>
    <row r="93" spans="1:12" ht="26.25" customHeight="1" x14ac:dyDescent="0.4">
      <c r="A93" s="124" t="s">
        <v>67</v>
      </c>
      <c r="B93" s="125">
        <v>1</v>
      </c>
      <c r="C93" s="196">
        <v>3</v>
      </c>
      <c r="D93" s="315">
        <v>61223161</v>
      </c>
      <c r="E93" s="138">
        <f>IF(ISBLANK(D93),"-",$D$101/$D$98*D93)</f>
        <v>71569038.831025809</v>
      </c>
      <c r="F93" s="315">
        <v>66444028</v>
      </c>
      <c r="G93" s="139">
        <f>IF(ISBLANK(F93),"-",$D$101/$F$98*F93)</f>
        <v>71081570.186131492</v>
      </c>
      <c r="I93" s="486"/>
    </row>
    <row r="94" spans="1:12" ht="27" customHeight="1" x14ac:dyDescent="0.4">
      <c r="A94" s="124" t="s">
        <v>68</v>
      </c>
      <c r="B94" s="125">
        <v>1</v>
      </c>
      <c r="C94" s="213">
        <v>4</v>
      </c>
      <c r="D94" s="320"/>
      <c r="E94" s="143"/>
      <c r="F94" s="392"/>
      <c r="G94" s="144"/>
      <c r="I94" s="145"/>
    </row>
    <row r="95" spans="1:12" ht="27" customHeight="1" x14ac:dyDescent="0.4">
      <c r="A95" s="124" t="s">
        <v>69</v>
      </c>
      <c r="B95" s="125">
        <v>1</v>
      </c>
      <c r="C95" s="214" t="s">
        <v>70</v>
      </c>
      <c r="D95" s="394">
        <f>AVERAGE(D91:D94)</f>
        <v>61052562.333333336</v>
      </c>
      <c r="E95" s="148">
        <f>AVERAGE(E91:E94)</f>
        <v>71369611.32026419</v>
      </c>
      <c r="F95" s="395">
        <f>AVERAGE(F91:F94)</f>
        <v>66424192</v>
      </c>
      <c r="G95" s="215">
        <f>AVERAGE(G91:G94)</f>
        <v>71060349.708254799</v>
      </c>
    </row>
    <row r="96" spans="1:12" ht="26.25" customHeight="1" x14ac:dyDescent="0.4">
      <c r="A96" s="124" t="s">
        <v>71</v>
      </c>
      <c r="B96" s="110">
        <v>1</v>
      </c>
      <c r="C96" s="216" t="s">
        <v>112</v>
      </c>
      <c r="D96" s="398">
        <v>19.09</v>
      </c>
      <c r="E96" s="140"/>
      <c r="F96" s="330">
        <v>20.86</v>
      </c>
    </row>
    <row r="97" spans="1:10" ht="26.25" customHeight="1" x14ac:dyDescent="0.4">
      <c r="A97" s="124" t="s">
        <v>73</v>
      </c>
      <c r="B97" s="110">
        <v>1</v>
      </c>
      <c r="C97" s="217" t="s">
        <v>113</v>
      </c>
      <c r="D97" s="218">
        <f>D96*$B$87</f>
        <v>19.09</v>
      </c>
      <c r="E97" s="155"/>
      <c r="F97" s="154">
        <f>F96*$B$87</f>
        <v>20.86</v>
      </c>
    </row>
    <row r="98" spans="1:10" ht="19.5" customHeight="1" x14ac:dyDescent="0.3">
      <c r="A98" s="124" t="s">
        <v>75</v>
      </c>
      <c r="B98" s="219">
        <f>(B97/B96)*(B95/B94)*(B93/B92)*(B91/B90)*B89</f>
        <v>125</v>
      </c>
      <c r="C98" s="217" t="s">
        <v>114</v>
      </c>
      <c r="D98" s="220">
        <f>D97*$B$83/100</f>
        <v>19.009822</v>
      </c>
      <c r="E98" s="158"/>
      <c r="F98" s="157">
        <f>F97*$B$83/100</f>
        <v>20.772387999999999</v>
      </c>
    </row>
    <row r="99" spans="1:10" ht="19.5" customHeight="1" x14ac:dyDescent="0.3">
      <c r="A99" s="472" t="s">
        <v>77</v>
      </c>
      <c r="B99" s="487"/>
      <c r="C99" s="217" t="s">
        <v>115</v>
      </c>
      <c r="D99" s="221">
        <f>D98/$B$98</f>
        <v>0.15207857599999999</v>
      </c>
      <c r="E99" s="158"/>
      <c r="F99" s="161">
        <f>F98/$B$98</f>
        <v>0.16617910399999999</v>
      </c>
      <c r="G99" s="222"/>
      <c r="H99" s="150"/>
    </row>
    <row r="100" spans="1:10" ht="19.5" customHeight="1" x14ac:dyDescent="0.3">
      <c r="A100" s="474"/>
      <c r="B100" s="488"/>
      <c r="C100" s="217" t="s">
        <v>79</v>
      </c>
      <c r="D100" s="223">
        <f>$B$56/$B$116</f>
        <v>0.17777777777777778</v>
      </c>
      <c r="F100" s="165"/>
      <c r="G100" s="224"/>
      <c r="H100" s="150"/>
    </row>
    <row r="101" spans="1:10" ht="18.75" x14ac:dyDescent="0.3">
      <c r="C101" s="217" t="s">
        <v>80</v>
      </c>
      <c r="D101" s="218">
        <f>D100*$B$98</f>
        <v>22.222222222222221</v>
      </c>
      <c r="F101" s="165"/>
      <c r="G101" s="222"/>
      <c r="H101" s="150"/>
    </row>
    <row r="102" spans="1:10" ht="19.5" customHeight="1" x14ac:dyDescent="0.3">
      <c r="C102" s="225" t="s">
        <v>81</v>
      </c>
      <c r="D102" s="226">
        <f>D101/B34</f>
        <v>22.222222222222221</v>
      </c>
      <c r="F102" s="169"/>
      <c r="G102" s="222"/>
      <c r="H102" s="150"/>
      <c r="J102" s="227"/>
    </row>
    <row r="103" spans="1:10" ht="18.75" x14ac:dyDescent="0.3">
      <c r="C103" s="228" t="s">
        <v>116</v>
      </c>
      <c r="D103" s="229">
        <f>AVERAGE(E91:E94,G91:G94)</f>
        <v>71214980.514259502</v>
      </c>
      <c r="F103" s="169"/>
      <c r="G103" s="230"/>
      <c r="H103" s="150"/>
      <c r="J103" s="231"/>
    </row>
    <row r="104" spans="1:10" ht="18.75" x14ac:dyDescent="0.3">
      <c r="C104" s="199" t="s">
        <v>83</v>
      </c>
      <c r="D104" s="232">
        <f>STDEV(E91:E94,G91:G94)/D103</f>
        <v>3.1184306786055135E-3</v>
      </c>
      <c r="F104" s="169"/>
      <c r="G104" s="222"/>
      <c r="H104" s="150"/>
      <c r="J104" s="231"/>
    </row>
    <row r="105" spans="1:10" ht="19.5" customHeight="1" x14ac:dyDescent="0.3">
      <c r="C105" s="201" t="s">
        <v>19</v>
      </c>
      <c r="D105" s="233">
        <f>COUNT(E91:E94,G91:G94)</f>
        <v>6</v>
      </c>
      <c r="F105" s="169"/>
      <c r="G105" s="222"/>
      <c r="H105" s="150"/>
      <c r="J105" s="231"/>
    </row>
    <row r="106" spans="1:10" ht="19.5" customHeight="1" x14ac:dyDescent="0.3">
      <c r="A106" s="173"/>
      <c r="B106" s="173"/>
      <c r="C106" s="173"/>
      <c r="D106" s="173"/>
      <c r="E106" s="173"/>
    </row>
    <row r="107" spans="1:10" ht="26.25" customHeight="1" x14ac:dyDescent="0.4">
      <c r="A107" s="122" t="s">
        <v>117</v>
      </c>
      <c r="B107" s="123">
        <v>900</v>
      </c>
      <c r="C107" s="234" t="s">
        <v>118</v>
      </c>
      <c r="D107" s="235" t="s">
        <v>62</v>
      </c>
      <c r="E107" s="236" t="s">
        <v>119</v>
      </c>
      <c r="F107" s="237" t="s">
        <v>120</v>
      </c>
    </row>
    <row r="108" spans="1:10" ht="26.25" customHeight="1" x14ac:dyDescent="0.4">
      <c r="A108" s="124" t="s">
        <v>121</v>
      </c>
      <c r="B108" s="125">
        <v>5</v>
      </c>
      <c r="C108" s="238">
        <v>1</v>
      </c>
      <c r="D108" s="239">
        <v>69091193</v>
      </c>
      <c r="E108" s="270">
        <f>IF(ISBLANK(D108),"-",D108/$D$103*$D$100*$B$116)</f>
        <v>776.14223862537744</v>
      </c>
      <c r="F108" s="240">
        <f>IF(ISBLANK(D108), "-", E108/$B$56)</f>
        <v>0.97017779828172179</v>
      </c>
    </row>
    <row r="109" spans="1:10" ht="26.25" customHeight="1" x14ac:dyDescent="0.4">
      <c r="A109" s="124" t="s">
        <v>94</v>
      </c>
      <c r="B109" s="125">
        <v>25</v>
      </c>
      <c r="C109" s="238">
        <v>2</v>
      </c>
      <c r="D109" s="239">
        <v>69936083</v>
      </c>
      <c r="E109" s="271">
        <f t="shared" ref="E108:E113" si="1">IF(ISBLANK(D109),"-",D109/$D$103*$D$100*$B$116)</f>
        <v>785.63338775045031</v>
      </c>
      <c r="F109" s="241">
        <f t="shared" ref="F108:F113" si="2">IF(ISBLANK(D109), "-", E109/$B$56)</f>
        <v>0.98204173468806288</v>
      </c>
    </row>
    <row r="110" spans="1:10" ht="26.25" customHeight="1" x14ac:dyDescent="0.4">
      <c r="A110" s="124" t="s">
        <v>95</v>
      </c>
      <c r="B110" s="125">
        <v>1</v>
      </c>
      <c r="C110" s="238">
        <v>3</v>
      </c>
      <c r="D110" s="239">
        <v>68408637</v>
      </c>
      <c r="E110" s="271">
        <f t="shared" si="1"/>
        <v>768.47468334337248</v>
      </c>
      <c r="F110" s="241">
        <f>IF(ISBLANK(D110), "-", E110/$B$56)</f>
        <v>0.96059335417921554</v>
      </c>
    </row>
    <row r="111" spans="1:10" ht="26.25" customHeight="1" x14ac:dyDescent="0.4">
      <c r="A111" s="124" t="s">
        <v>96</v>
      </c>
      <c r="B111" s="125">
        <v>1</v>
      </c>
      <c r="C111" s="238">
        <v>4</v>
      </c>
      <c r="D111" s="239">
        <v>70081783</v>
      </c>
      <c r="E111" s="271">
        <f t="shared" si="1"/>
        <v>787.27012203245533</v>
      </c>
      <c r="F111" s="241">
        <f t="shared" si="2"/>
        <v>0.98408765254056918</v>
      </c>
    </row>
    <row r="112" spans="1:10" ht="26.25" customHeight="1" x14ac:dyDescent="0.4">
      <c r="A112" s="124" t="s">
        <v>97</v>
      </c>
      <c r="B112" s="125">
        <v>1</v>
      </c>
      <c r="C112" s="238">
        <v>5</v>
      </c>
      <c r="D112" s="239">
        <v>70825522</v>
      </c>
      <c r="E112" s="271">
        <f t="shared" si="1"/>
        <v>795.62498214339587</v>
      </c>
      <c r="F112" s="241">
        <f>IF(ISBLANK(D112), "-", E112/$B$56)</f>
        <v>0.99453122767924484</v>
      </c>
    </row>
    <row r="113" spans="1:10" ht="26.25" customHeight="1" x14ac:dyDescent="0.4">
      <c r="A113" s="124" t="s">
        <v>99</v>
      </c>
      <c r="B113" s="125">
        <v>1</v>
      </c>
      <c r="C113" s="242">
        <v>6</v>
      </c>
      <c r="D113" s="243">
        <v>68743916</v>
      </c>
      <c r="E113" s="272">
        <f t="shared" si="1"/>
        <v>772.2410706689476</v>
      </c>
      <c r="F113" s="244">
        <f t="shared" si="2"/>
        <v>0.96530133833618448</v>
      </c>
    </row>
    <row r="114" spans="1:10" ht="26.25" customHeight="1" x14ac:dyDescent="0.4">
      <c r="A114" s="124" t="s">
        <v>100</v>
      </c>
      <c r="B114" s="125">
        <v>1</v>
      </c>
      <c r="C114" s="238"/>
      <c r="D114" s="196"/>
      <c r="E114" s="98"/>
      <c r="F114" s="245"/>
    </row>
    <row r="115" spans="1:10" ht="26.25" customHeight="1" x14ac:dyDescent="0.4">
      <c r="A115" s="124" t="s">
        <v>101</v>
      </c>
      <c r="B115" s="125">
        <v>1</v>
      </c>
      <c r="C115" s="238"/>
      <c r="D115" s="246" t="s">
        <v>70</v>
      </c>
      <c r="E115" s="274">
        <f>AVERAGE(E108:E113)</f>
        <v>780.89774742733323</v>
      </c>
      <c r="F115" s="247">
        <f>AVERAGE(F108:F113)</f>
        <v>0.97612218428416642</v>
      </c>
    </row>
    <row r="116" spans="1:10" ht="27" customHeight="1" x14ac:dyDescent="0.4">
      <c r="A116" s="124" t="s">
        <v>102</v>
      </c>
      <c r="B116" s="156">
        <f>(B115/B114)*(B113/B112)*(B111/B110)*(B109/B108)*B107</f>
        <v>4500</v>
      </c>
      <c r="C116" s="248"/>
      <c r="D116" s="214" t="s">
        <v>83</v>
      </c>
      <c r="E116" s="249">
        <f>STDEV(E108:E113)/E115</f>
        <v>1.3206848963538626E-2</v>
      </c>
      <c r="F116" s="249">
        <f>STDEV(F108:F113)/F115</f>
        <v>1.3206848963538648E-2</v>
      </c>
      <c r="I116" s="98"/>
    </row>
    <row r="117" spans="1:10" ht="27" customHeight="1" x14ac:dyDescent="0.4">
      <c r="A117" s="472" t="s">
        <v>77</v>
      </c>
      <c r="B117" s="473"/>
      <c r="C117" s="250"/>
      <c r="D117" s="251" t="s">
        <v>19</v>
      </c>
      <c r="E117" s="252">
        <f>COUNT(E108:E113)</f>
        <v>6</v>
      </c>
      <c r="F117" s="252">
        <f>COUNT(F108:F113)</f>
        <v>6</v>
      </c>
      <c r="I117" s="98"/>
      <c r="J117" s="231"/>
    </row>
    <row r="118" spans="1:10" ht="19.5" customHeight="1" x14ac:dyDescent="0.3">
      <c r="A118" s="474"/>
      <c r="B118" s="475"/>
      <c r="C118" s="98"/>
      <c r="D118" s="98"/>
      <c r="E118" s="98"/>
      <c r="F118" s="196"/>
      <c r="G118" s="98"/>
      <c r="H118" s="98"/>
      <c r="I118" s="98"/>
    </row>
    <row r="119" spans="1:10" ht="18.75" x14ac:dyDescent="0.3">
      <c r="A119" s="261"/>
      <c r="B119" s="120"/>
      <c r="C119" s="98"/>
      <c r="D119" s="98"/>
      <c r="E119" s="98"/>
      <c r="F119" s="196"/>
      <c r="G119" s="98"/>
      <c r="H119" s="98"/>
      <c r="I119" s="98"/>
    </row>
    <row r="120" spans="1:10" ht="26.25" customHeight="1" x14ac:dyDescent="0.4">
      <c r="A120" s="108" t="s">
        <v>105</v>
      </c>
      <c r="B120" s="203" t="s">
        <v>122</v>
      </c>
      <c r="C120" s="476" t="str">
        <f>B20</f>
        <v>Sulfamethoxazole BP &amp; Trimethoprim BP</v>
      </c>
      <c r="D120" s="476"/>
      <c r="E120" s="204" t="s">
        <v>123</v>
      </c>
      <c r="F120" s="204"/>
      <c r="G120" s="205">
        <f>F115</f>
        <v>0.97612218428416642</v>
      </c>
      <c r="H120" s="98"/>
      <c r="I120" s="98"/>
    </row>
    <row r="121" spans="1:10" ht="19.5" customHeight="1" x14ac:dyDescent="0.3">
      <c r="A121" s="253"/>
      <c r="B121" s="253"/>
      <c r="C121" s="254"/>
      <c r="D121" s="254"/>
      <c r="E121" s="254"/>
      <c r="F121" s="254"/>
      <c r="G121" s="254"/>
      <c r="H121" s="254"/>
    </row>
    <row r="122" spans="1:10" ht="18.75" x14ac:dyDescent="0.3">
      <c r="B122" s="477" t="s">
        <v>25</v>
      </c>
      <c r="C122" s="477"/>
      <c r="E122" s="210" t="s">
        <v>26</v>
      </c>
      <c r="F122" s="255"/>
      <c r="G122" s="477" t="s">
        <v>27</v>
      </c>
      <c r="H122" s="477"/>
    </row>
    <row r="123" spans="1:10" ht="69.95" customHeight="1" x14ac:dyDescent="0.3">
      <c r="A123" s="256" t="s">
        <v>28</v>
      </c>
      <c r="B123" s="257"/>
      <c r="C123" s="257"/>
      <c r="E123" s="257"/>
      <c r="F123" s="98"/>
      <c r="G123" s="258"/>
      <c r="H123" s="258"/>
    </row>
    <row r="124" spans="1:10" ht="69.95" customHeight="1" x14ac:dyDescent="0.3">
      <c r="A124" s="256" t="s">
        <v>29</v>
      </c>
      <c r="B124" s="259"/>
      <c r="C124" s="259"/>
      <c r="E124" s="259"/>
      <c r="F124" s="98"/>
      <c r="G124" s="260"/>
      <c r="H124" s="260"/>
    </row>
    <row r="125" spans="1:10" ht="18.75" x14ac:dyDescent="0.3">
      <c r="A125" s="195"/>
      <c r="B125" s="195"/>
      <c r="C125" s="196"/>
      <c r="D125" s="196"/>
      <c r="E125" s="196"/>
      <c r="F125" s="200"/>
      <c r="G125" s="196"/>
      <c r="H125" s="196"/>
      <c r="I125" s="98"/>
    </row>
    <row r="126" spans="1:10" ht="18.75" x14ac:dyDescent="0.3">
      <c r="A126" s="195"/>
      <c r="B126" s="195"/>
      <c r="C126" s="196"/>
      <c r="D126" s="196"/>
      <c r="E126" s="196"/>
      <c r="F126" s="200"/>
      <c r="G126" s="196"/>
      <c r="H126" s="196"/>
      <c r="I126" s="98"/>
    </row>
    <row r="127" spans="1:10" ht="18.75" x14ac:dyDescent="0.3">
      <c r="A127" s="195"/>
      <c r="B127" s="195"/>
      <c r="C127" s="196"/>
      <c r="D127" s="196"/>
      <c r="E127" s="196"/>
      <c r="F127" s="200"/>
      <c r="G127" s="196"/>
      <c r="H127" s="196"/>
      <c r="I127" s="98"/>
    </row>
    <row r="128" spans="1:10" ht="18.75" x14ac:dyDescent="0.3">
      <c r="A128" s="195"/>
      <c r="B128" s="195"/>
      <c r="C128" s="196"/>
      <c r="D128" s="196"/>
      <c r="E128" s="196"/>
      <c r="F128" s="200"/>
      <c r="G128" s="196"/>
      <c r="H128" s="196"/>
      <c r="I128" s="98"/>
    </row>
    <row r="129" spans="1:9" ht="18.75" x14ac:dyDescent="0.3">
      <c r="A129" s="195"/>
      <c r="B129" s="195"/>
      <c r="C129" s="196"/>
      <c r="D129" s="196"/>
      <c r="E129" s="196"/>
      <c r="F129" s="200"/>
      <c r="G129" s="196"/>
      <c r="H129" s="196"/>
      <c r="I129" s="98"/>
    </row>
    <row r="130" spans="1:9" ht="18.75" x14ac:dyDescent="0.3">
      <c r="A130" s="195"/>
      <c r="B130" s="195"/>
      <c r="C130" s="196"/>
      <c r="D130" s="196"/>
      <c r="E130" s="196"/>
      <c r="F130" s="200"/>
      <c r="G130" s="196"/>
      <c r="H130" s="196"/>
      <c r="I130" s="98"/>
    </row>
    <row r="131" spans="1:9" ht="18.75" x14ac:dyDescent="0.3">
      <c r="A131" s="195"/>
      <c r="B131" s="195"/>
      <c r="C131" s="196"/>
      <c r="D131" s="196"/>
      <c r="E131" s="196"/>
      <c r="F131" s="200"/>
      <c r="G131" s="196"/>
      <c r="H131" s="196"/>
      <c r="I131" s="98"/>
    </row>
    <row r="132" spans="1:9" ht="18.75" x14ac:dyDescent="0.3">
      <c r="A132" s="195"/>
      <c r="B132" s="195"/>
      <c r="C132" s="196"/>
      <c r="D132" s="196"/>
      <c r="E132" s="196"/>
      <c r="F132" s="200"/>
      <c r="G132" s="196"/>
      <c r="H132" s="196"/>
      <c r="I132" s="98"/>
    </row>
    <row r="133" spans="1:9" ht="18.75" x14ac:dyDescent="0.3">
      <c r="A133" s="195"/>
      <c r="B133" s="195"/>
      <c r="C133" s="196"/>
      <c r="D133" s="196"/>
      <c r="E133" s="196"/>
      <c r="F133" s="200"/>
      <c r="G133" s="196"/>
      <c r="H133" s="196"/>
      <c r="I133" s="98"/>
    </row>
    <row r="250" spans="1:1" x14ac:dyDescent="0.25">
      <c r="A250" s="2">
        <v>5</v>
      </c>
    </row>
  </sheetData>
  <sheetProtection password="AD9C" formatCells="0" formatColumns="0" formatRows="0" insertColumns="0" insertRows="0" insertHyperlinks="0" deleteColumns="0" deleteRows="0" sort="0" autoFilter="0" pivotTables="0"/>
  <mergeCells count="36"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G73">
    <cfRule type="cellIs" dxfId="15" priority="3" operator="greaterThan">
      <formula>0.02</formula>
    </cfRule>
  </conditionalFormatting>
  <conditionalFormatting sqref="H73">
    <cfRule type="cellIs" dxfId="14" priority="4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B72" zoomScale="55" zoomScaleNormal="40" zoomScalePageLayoutView="55" workbookViewId="0">
      <selection activeCell="H115" sqref="H115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470" t="s">
        <v>44</v>
      </c>
      <c r="B1" s="470"/>
      <c r="C1" s="470"/>
      <c r="D1" s="470"/>
      <c r="E1" s="470"/>
      <c r="F1" s="470"/>
      <c r="G1" s="470"/>
      <c r="H1" s="470"/>
      <c r="I1" s="470"/>
    </row>
    <row r="2" spans="1:9" ht="18.75" customHeight="1" x14ac:dyDescent="0.25">
      <c r="A2" s="470"/>
      <c r="B2" s="470"/>
      <c r="C2" s="470"/>
      <c r="D2" s="470"/>
      <c r="E2" s="470"/>
      <c r="F2" s="470"/>
      <c r="G2" s="470"/>
      <c r="H2" s="470"/>
      <c r="I2" s="470"/>
    </row>
    <row r="3" spans="1:9" ht="18.75" customHeight="1" x14ac:dyDescent="0.25">
      <c r="A3" s="470"/>
      <c r="B3" s="470"/>
      <c r="C3" s="470"/>
      <c r="D3" s="470"/>
      <c r="E3" s="470"/>
      <c r="F3" s="470"/>
      <c r="G3" s="470"/>
      <c r="H3" s="470"/>
      <c r="I3" s="470"/>
    </row>
    <row r="4" spans="1:9" ht="18.75" customHeight="1" x14ac:dyDescent="0.25">
      <c r="A4" s="470"/>
      <c r="B4" s="470"/>
      <c r="C4" s="470"/>
      <c r="D4" s="470"/>
      <c r="E4" s="470"/>
      <c r="F4" s="470"/>
      <c r="G4" s="470"/>
      <c r="H4" s="470"/>
      <c r="I4" s="470"/>
    </row>
    <row r="5" spans="1:9" ht="18.75" customHeight="1" x14ac:dyDescent="0.25">
      <c r="A5" s="470"/>
      <c r="B5" s="470"/>
      <c r="C5" s="470"/>
      <c r="D5" s="470"/>
      <c r="E5" s="470"/>
      <c r="F5" s="470"/>
      <c r="G5" s="470"/>
      <c r="H5" s="470"/>
      <c r="I5" s="470"/>
    </row>
    <row r="6" spans="1:9" ht="18.75" customHeight="1" x14ac:dyDescent="0.25">
      <c r="A6" s="470"/>
      <c r="B6" s="470"/>
      <c r="C6" s="470"/>
      <c r="D6" s="470"/>
      <c r="E6" s="470"/>
      <c r="F6" s="470"/>
      <c r="G6" s="470"/>
      <c r="H6" s="470"/>
      <c r="I6" s="470"/>
    </row>
    <row r="7" spans="1:9" ht="18.75" customHeight="1" x14ac:dyDescent="0.25">
      <c r="A7" s="470"/>
      <c r="B7" s="470"/>
      <c r="C7" s="470"/>
      <c r="D7" s="470"/>
      <c r="E7" s="470"/>
      <c r="F7" s="470"/>
      <c r="G7" s="470"/>
      <c r="H7" s="470"/>
      <c r="I7" s="470"/>
    </row>
    <row r="8" spans="1:9" x14ac:dyDescent="0.25">
      <c r="A8" s="471" t="s">
        <v>45</v>
      </c>
      <c r="B8" s="471"/>
      <c r="C8" s="471"/>
      <c r="D8" s="471"/>
      <c r="E8" s="471"/>
      <c r="F8" s="471"/>
      <c r="G8" s="471"/>
      <c r="H8" s="471"/>
      <c r="I8" s="471"/>
    </row>
    <row r="9" spans="1:9" x14ac:dyDescent="0.25">
      <c r="A9" s="471"/>
      <c r="B9" s="471"/>
      <c r="C9" s="471"/>
      <c r="D9" s="471"/>
      <c r="E9" s="471"/>
      <c r="F9" s="471"/>
      <c r="G9" s="471"/>
      <c r="H9" s="471"/>
      <c r="I9" s="471"/>
    </row>
    <row r="10" spans="1:9" x14ac:dyDescent="0.25">
      <c r="A10" s="471"/>
      <c r="B10" s="471"/>
      <c r="C10" s="471"/>
      <c r="D10" s="471"/>
      <c r="E10" s="471"/>
      <c r="F10" s="471"/>
      <c r="G10" s="471"/>
      <c r="H10" s="471"/>
      <c r="I10" s="471"/>
    </row>
    <row r="11" spans="1:9" x14ac:dyDescent="0.25">
      <c r="A11" s="471"/>
      <c r="B11" s="471"/>
      <c r="C11" s="471"/>
      <c r="D11" s="471"/>
      <c r="E11" s="471"/>
      <c r="F11" s="471"/>
      <c r="G11" s="471"/>
      <c r="H11" s="471"/>
      <c r="I11" s="471"/>
    </row>
    <row r="12" spans="1:9" x14ac:dyDescent="0.25">
      <c r="A12" s="471"/>
      <c r="B12" s="471"/>
      <c r="C12" s="471"/>
      <c r="D12" s="471"/>
      <c r="E12" s="471"/>
      <c r="F12" s="471"/>
      <c r="G12" s="471"/>
      <c r="H12" s="471"/>
      <c r="I12" s="471"/>
    </row>
    <row r="13" spans="1:9" x14ac:dyDescent="0.25">
      <c r="A13" s="471"/>
      <c r="B13" s="471"/>
      <c r="C13" s="471"/>
      <c r="D13" s="471"/>
      <c r="E13" s="471"/>
      <c r="F13" s="471"/>
      <c r="G13" s="471"/>
      <c r="H13" s="471"/>
      <c r="I13" s="471"/>
    </row>
    <row r="14" spans="1:9" x14ac:dyDescent="0.25">
      <c r="A14" s="471"/>
      <c r="B14" s="471"/>
      <c r="C14" s="471"/>
      <c r="D14" s="471"/>
      <c r="E14" s="471"/>
      <c r="F14" s="471"/>
      <c r="G14" s="471"/>
      <c r="H14" s="471"/>
      <c r="I14" s="471"/>
    </row>
    <row r="15" spans="1:9" ht="19.5" customHeight="1" x14ac:dyDescent="0.3">
      <c r="A15" s="276"/>
    </row>
    <row r="16" spans="1:9" ht="19.5" customHeight="1" x14ac:dyDescent="0.3">
      <c r="A16" s="504" t="s">
        <v>30</v>
      </c>
      <c r="B16" s="505"/>
      <c r="C16" s="505"/>
      <c r="D16" s="505"/>
      <c r="E16" s="505"/>
      <c r="F16" s="505"/>
      <c r="G16" s="505"/>
      <c r="H16" s="506"/>
    </row>
    <row r="17" spans="1:14" ht="20.25" customHeight="1" x14ac:dyDescent="0.25">
      <c r="A17" s="507" t="s">
        <v>46</v>
      </c>
      <c r="B17" s="507"/>
      <c r="C17" s="507"/>
      <c r="D17" s="507"/>
      <c r="E17" s="507"/>
      <c r="F17" s="507"/>
      <c r="G17" s="507"/>
      <c r="H17" s="507"/>
    </row>
    <row r="18" spans="1:14" ht="26.25" customHeight="1" x14ac:dyDescent="0.4">
      <c r="A18" s="278" t="s">
        <v>32</v>
      </c>
      <c r="B18" s="503" t="s">
        <v>5</v>
      </c>
      <c r="C18" s="503"/>
      <c r="D18" s="444"/>
      <c r="E18" s="279"/>
      <c r="F18" s="280"/>
      <c r="G18" s="280"/>
      <c r="H18" s="280"/>
    </row>
    <row r="19" spans="1:14" ht="26.25" customHeight="1" x14ac:dyDescent="0.4">
      <c r="A19" s="278" t="s">
        <v>33</v>
      </c>
      <c r="B19" s="281" t="s">
        <v>128</v>
      </c>
      <c r="C19" s="457">
        <v>29</v>
      </c>
      <c r="D19" s="280"/>
      <c r="E19" s="280"/>
      <c r="F19" s="280"/>
      <c r="G19" s="280"/>
      <c r="H19" s="280"/>
    </row>
    <row r="20" spans="1:14" ht="26.25" customHeight="1" x14ac:dyDescent="0.4">
      <c r="A20" s="278" t="s">
        <v>34</v>
      </c>
      <c r="B20" s="508" t="s">
        <v>8</v>
      </c>
      <c r="C20" s="508"/>
      <c r="D20" s="280"/>
      <c r="E20" s="280"/>
      <c r="F20" s="280"/>
      <c r="G20" s="280"/>
      <c r="H20" s="280"/>
    </row>
    <row r="21" spans="1:14" ht="26.25" customHeight="1" x14ac:dyDescent="0.4">
      <c r="A21" s="278" t="s">
        <v>35</v>
      </c>
      <c r="B21" s="508" t="s">
        <v>10</v>
      </c>
      <c r="C21" s="508"/>
      <c r="D21" s="508"/>
      <c r="E21" s="508"/>
      <c r="F21" s="508"/>
      <c r="G21" s="508"/>
      <c r="H21" s="508"/>
      <c r="I21" s="282"/>
    </row>
    <row r="22" spans="1:14" ht="26.25" customHeight="1" x14ac:dyDescent="0.4">
      <c r="A22" s="278" t="s">
        <v>36</v>
      </c>
      <c r="B22" s="283" t="s">
        <v>11</v>
      </c>
      <c r="C22" s="280"/>
      <c r="D22" s="280"/>
      <c r="E22" s="280"/>
      <c r="F22" s="280"/>
      <c r="G22" s="280"/>
      <c r="H22" s="280"/>
    </row>
    <row r="23" spans="1:14" ht="26.25" customHeight="1" x14ac:dyDescent="0.4">
      <c r="A23" s="278" t="s">
        <v>37</v>
      </c>
      <c r="B23" s="283"/>
      <c r="C23" s="280"/>
      <c r="D23" s="280"/>
      <c r="E23" s="280"/>
      <c r="F23" s="280"/>
      <c r="G23" s="280"/>
      <c r="H23" s="280"/>
    </row>
    <row r="24" spans="1:14" ht="18.75" x14ac:dyDescent="0.3">
      <c r="A24" s="278"/>
      <c r="B24" s="284"/>
    </row>
    <row r="25" spans="1:14" ht="18.75" x14ac:dyDescent="0.3">
      <c r="A25" s="285" t="s">
        <v>1</v>
      </c>
      <c r="B25" s="284"/>
    </row>
    <row r="26" spans="1:14" ht="26.25" customHeight="1" x14ac:dyDescent="0.4">
      <c r="A26" s="286" t="s">
        <v>4</v>
      </c>
      <c r="B26" s="503" t="s">
        <v>127</v>
      </c>
      <c r="C26" s="503"/>
    </row>
    <row r="27" spans="1:14" ht="26.25" customHeight="1" x14ac:dyDescent="0.4">
      <c r="A27" s="287" t="s">
        <v>47</v>
      </c>
      <c r="B27" s="501" t="s">
        <v>126</v>
      </c>
      <c r="C27" s="501"/>
    </row>
    <row r="28" spans="1:14" ht="27" customHeight="1" x14ac:dyDescent="0.4">
      <c r="A28" s="287" t="s">
        <v>6</v>
      </c>
      <c r="B28" s="288">
        <v>99.66</v>
      </c>
    </row>
    <row r="29" spans="1:14" s="14" customFormat="1" ht="27" customHeight="1" x14ac:dyDescent="0.4">
      <c r="A29" s="287" t="s">
        <v>48</v>
      </c>
      <c r="B29" s="289">
        <v>0</v>
      </c>
      <c r="C29" s="478" t="s">
        <v>49</v>
      </c>
      <c r="D29" s="479"/>
      <c r="E29" s="479"/>
      <c r="F29" s="479"/>
      <c r="G29" s="480"/>
      <c r="I29" s="290"/>
      <c r="J29" s="290"/>
      <c r="K29" s="290"/>
      <c r="L29" s="290"/>
    </row>
    <row r="30" spans="1:14" s="14" customFormat="1" ht="19.5" customHeight="1" x14ac:dyDescent="0.3">
      <c r="A30" s="287" t="s">
        <v>50</v>
      </c>
      <c r="B30" s="291">
        <f>B28-B29</f>
        <v>99.66</v>
      </c>
      <c r="C30" s="292"/>
      <c r="D30" s="292"/>
      <c r="E30" s="292"/>
      <c r="F30" s="292"/>
      <c r="G30" s="293"/>
      <c r="I30" s="290"/>
      <c r="J30" s="290"/>
      <c r="K30" s="290"/>
      <c r="L30" s="290"/>
    </row>
    <row r="31" spans="1:14" s="14" customFormat="1" ht="27" customHeight="1" x14ac:dyDescent="0.4">
      <c r="A31" s="287" t="s">
        <v>51</v>
      </c>
      <c r="B31" s="294">
        <v>1</v>
      </c>
      <c r="C31" s="481" t="s">
        <v>52</v>
      </c>
      <c r="D31" s="482"/>
      <c r="E31" s="482"/>
      <c r="F31" s="482"/>
      <c r="G31" s="482"/>
      <c r="H31" s="483"/>
      <c r="I31" s="290"/>
      <c r="J31" s="290"/>
      <c r="K31" s="290"/>
      <c r="L31" s="290"/>
    </row>
    <row r="32" spans="1:14" s="14" customFormat="1" ht="27" customHeight="1" x14ac:dyDescent="0.4">
      <c r="A32" s="287" t="s">
        <v>53</v>
      </c>
      <c r="B32" s="294">
        <v>1</v>
      </c>
      <c r="C32" s="481" t="s">
        <v>54</v>
      </c>
      <c r="D32" s="482"/>
      <c r="E32" s="482"/>
      <c r="F32" s="482"/>
      <c r="G32" s="482"/>
      <c r="H32" s="483"/>
      <c r="I32" s="290"/>
      <c r="J32" s="290"/>
      <c r="K32" s="290"/>
      <c r="L32" s="295"/>
      <c r="M32" s="295"/>
      <c r="N32" s="296"/>
    </row>
    <row r="33" spans="1:14" s="14" customFormat="1" ht="17.25" customHeight="1" x14ac:dyDescent="0.3">
      <c r="A33" s="287"/>
      <c r="B33" s="297"/>
      <c r="C33" s="298"/>
      <c r="D33" s="298"/>
      <c r="E33" s="298"/>
      <c r="F33" s="298"/>
      <c r="G33" s="298"/>
      <c r="H33" s="298"/>
      <c r="I33" s="290"/>
      <c r="J33" s="290"/>
      <c r="K33" s="290"/>
      <c r="L33" s="295"/>
      <c r="M33" s="295"/>
      <c r="N33" s="296"/>
    </row>
    <row r="34" spans="1:14" s="14" customFormat="1" ht="18.75" x14ac:dyDescent="0.3">
      <c r="A34" s="287" t="s">
        <v>55</v>
      </c>
      <c r="B34" s="299">
        <f>B31/B32</f>
        <v>1</v>
      </c>
      <c r="C34" s="277" t="s">
        <v>56</v>
      </c>
      <c r="D34" s="277"/>
      <c r="E34" s="277"/>
      <c r="F34" s="277"/>
      <c r="G34" s="277"/>
      <c r="I34" s="290"/>
      <c r="J34" s="290"/>
      <c r="K34" s="290"/>
      <c r="L34" s="295"/>
      <c r="M34" s="295"/>
      <c r="N34" s="296"/>
    </row>
    <row r="35" spans="1:14" s="14" customFormat="1" ht="19.5" customHeight="1" x14ac:dyDescent="0.3">
      <c r="A35" s="287"/>
      <c r="B35" s="291"/>
      <c r="G35" s="277"/>
      <c r="I35" s="290"/>
      <c r="J35" s="290"/>
      <c r="K35" s="290"/>
      <c r="L35" s="295"/>
      <c r="M35" s="295"/>
      <c r="N35" s="296"/>
    </row>
    <row r="36" spans="1:14" s="14" customFormat="1" ht="27" customHeight="1" x14ac:dyDescent="0.4">
      <c r="A36" s="300" t="s">
        <v>57</v>
      </c>
      <c r="B36" s="301">
        <v>25</v>
      </c>
      <c r="C36" s="277"/>
      <c r="D36" s="484" t="s">
        <v>58</v>
      </c>
      <c r="E36" s="502"/>
      <c r="F36" s="484" t="s">
        <v>59</v>
      </c>
      <c r="G36" s="485"/>
      <c r="J36" s="290"/>
      <c r="K36" s="290"/>
      <c r="L36" s="295"/>
      <c r="M36" s="295"/>
      <c r="N36" s="296"/>
    </row>
    <row r="37" spans="1:14" s="14" customFormat="1" ht="27" customHeight="1" x14ac:dyDescent="0.4">
      <c r="A37" s="302" t="s">
        <v>60</v>
      </c>
      <c r="B37" s="303">
        <v>2</v>
      </c>
      <c r="C37" s="304" t="s">
        <v>61</v>
      </c>
      <c r="D37" s="305" t="s">
        <v>62</v>
      </c>
      <c r="E37" s="306" t="s">
        <v>63</v>
      </c>
      <c r="F37" s="305" t="s">
        <v>62</v>
      </c>
      <c r="G37" s="307" t="s">
        <v>63</v>
      </c>
      <c r="I37" s="308" t="s">
        <v>64</v>
      </c>
      <c r="J37" s="290"/>
      <c r="K37" s="290"/>
      <c r="L37" s="295"/>
      <c r="M37" s="295"/>
      <c r="N37" s="296"/>
    </row>
    <row r="38" spans="1:14" s="14" customFormat="1" ht="26.25" customHeight="1" x14ac:dyDescent="0.4">
      <c r="A38" s="302" t="s">
        <v>65</v>
      </c>
      <c r="B38" s="303">
        <v>50</v>
      </c>
      <c r="C38" s="309">
        <v>1</v>
      </c>
      <c r="D38" s="310">
        <v>4694421</v>
      </c>
      <c r="E38" s="311">
        <f>IF(ISBLANK(D38),"-",$D$48/$D$45*D38)</f>
        <v>4652282.9472056851</v>
      </c>
      <c r="F38" s="310">
        <v>4261385</v>
      </c>
      <c r="G38" s="312">
        <f>IF(ISBLANK(F38),"-",$D$48/$F$45*F38)</f>
        <v>4668038.3609950691</v>
      </c>
      <c r="I38" s="313"/>
      <c r="J38" s="290"/>
      <c r="K38" s="290"/>
      <c r="L38" s="295"/>
      <c r="M38" s="295"/>
      <c r="N38" s="296"/>
    </row>
    <row r="39" spans="1:14" s="14" customFormat="1" ht="26.25" customHeight="1" x14ac:dyDescent="0.4">
      <c r="A39" s="302" t="s">
        <v>66</v>
      </c>
      <c r="B39" s="303">
        <v>1</v>
      </c>
      <c r="C39" s="314">
        <v>2</v>
      </c>
      <c r="D39" s="315">
        <v>4700737</v>
      </c>
      <c r="E39" s="316">
        <f>IF(ISBLANK(D39),"-",$D$48/$D$45*D39)</f>
        <v>4658542.2535385741</v>
      </c>
      <c r="F39" s="315">
        <v>4265552</v>
      </c>
      <c r="G39" s="317">
        <f>IF(ISBLANK(F39),"-",$D$48/$F$45*F39)</f>
        <v>4672603.0074305041</v>
      </c>
      <c r="I39" s="486">
        <f>ABS((F43/D43*D42)-F42)/D42</f>
        <v>2.367907674247007E-3</v>
      </c>
      <c r="J39" s="290"/>
      <c r="K39" s="290"/>
      <c r="L39" s="295"/>
      <c r="M39" s="295"/>
      <c r="N39" s="296"/>
    </row>
    <row r="40" spans="1:14" ht="26.25" customHeight="1" x14ac:dyDescent="0.4">
      <c r="A40" s="302" t="s">
        <v>67</v>
      </c>
      <c r="B40" s="303">
        <v>1</v>
      </c>
      <c r="C40" s="314">
        <v>3</v>
      </c>
      <c r="D40" s="315">
        <v>4703773</v>
      </c>
      <c r="E40" s="316">
        <f>IF(ISBLANK(D40),"-",$D$48/$D$45*D40)</f>
        <v>4661551.0018011862</v>
      </c>
      <c r="F40" s="315">
        <v>4261629</v>
      </c>
      <c r="G40" s="317">
        <f>IF(ISBLANK(F40),"-",$D$48/$F$45*F40)</f>
        <v>4668305.6453075837</v>
      </c>
      <c r="I40" s="486"/>
      <c r="L40" s="295"/>
      <c r="M40" s="295"/>
      <c r="N40" s="318"/>
    </row>
    <row r="41" spans="1:14" ht="27" customHeight="1" x14ac:dyDescent="0.4">
      <c r="A41" s="302" t="s">
        <v>68</v>
      </c>
      <c r="B41" s="303">
        <v>1</v>
      </c>
      <c r="C41" s="319">
        <v>4</v>
      </c>
      <c r="D41" s="320"/>
      <c r="E41" s="321"/>
      <c r="F41" s="320"/>
      <c r="G41" s="322"/>
      <c r="I41" s="323"/>
      <c r="L41" s="295"/>
      <c r="M41" s="295"/>
      <c r="N41" s="318"/>
    </row>
    <row r="42" spans="1:14" ht="27" customHeight="1" x14ac:dyDescent="0.4">
      <c r="A42" s="302" t="s">
        <v>69</v>
      </c>
      <c r="B42" s="303">
        <v>1</v>
      </c>
      <c r="C42" s="324" t="s">
        <v>70</v>
      </c>
      <c r="D42" s="325">
        <f>AVERAGE(D38:D41)</f>
        <v>4699643.666666667</v>
      </c>
      <c r="E42" s="326">
        <f>AVERAGE(E38:E41)</f>
        <v>4657458.7341818148</v>
      </c>
      <c r="F42" s="325">
        <f>AVERAGE(F38:F41)</f>
        <v>4262855.333333333</v>
      </c>
      <c r="G42" s="327">
        <f>AVERAGE(G38:G41)</f>
        <v>4669649.0045777196</v>
      </c>
      <c r="H42" s="328"/>
    </row>
    <row r="43" spans="1:14" ht="26.25" customHeight="1" x14ac:dyDescent="0.4">
      <c r="A43" s="302" t="s">
        <v>71</v>
      </c>
      <c r="B43" s="303">
        <v>1</v>
      </c>
      <c r="C43" s="329" t="s">
        <v>72</v>
      </c>
      <c r="D43" s="330">
        <v>20.25</v>
      </c>
      <c r="E43" s="318"/>
      <c r="F43" s="330">
        <v>18.32</v>
      </c>
      <c r="H43" s="328"/>
    </row>
    <row r="44" spans="1:14" ht="26.25" customHeight="1" x14ac:dyDescent="0.4">
      <c r="A44" s="302" t="s">
        <v>73</v>
      </c>
      <c r="B44" s="303">
        <v>1</v>
      </c>
      <c r="C44" s="331" t="s">
        <v>74</v>
      </c>
      <c r="D44" s="332">
        <f>D43*$B$34</f>
        <v>20.25</v>
      </c>
      <c r="E44" s="333"/>
      <c r="F44" s="332">
        <f>F43*$B$34</f>
        <v>18.32</v>
      </c>
      <c r="H44" s="328"/>
    </row>
    <row r="45" spans="1:14" ht="19.5" customHeight="1" x14ac:dyDescent="0.3">
      <c r="A45" s="302" t="s">
        <v>75</v>
      </c>
      <c r="B45" s="334">
        <f>(B44/B43)*(B42/B41)*(B40/B39)*(B38/B37)*B36</f>
        <v>625</v>
      </c>
      <c r="C45" s="331" t="s">
        <v>76</v>
      </c>
      <c r="D45" s="335">
        <f>D44*$B$30/100</f>
        <v>20.181149999999999</v>
      </c>
      <c r="E45" s="336"/>
      <c r="F45" s="335">
        <f>F44*$B$30/100</f>
        <v>18.257711999999998</v>
      </c>
      <c r="H45" s="328"/>
    </row>
    <row r="46" spans="1:14" ht="19.5" customHeight="1" x14ac:dyDescent="0.3">
      <c r="A46" s="472" t="s">
        <v>77</v>
      </c>
      <c r="B46" s="473"/>
      <c r="C46" s="331" t="s">
        <v>78</v>
      </c>
      <c r="D46" s="337">
        <f>D45/$B$45</f>
        <v>3.228984E-2</v>
      </c>
      <c r="E46" s="338"/>
      <c r="F46" s="339">
        <f>F45/$B$45</f>
        <v>2.9212339199999996E-2</v>
      </c>
      <c r="H46" s="328"/>
    </row>
    <row r="47" spans="1:14" ht="27" customHeight="1" x14ac:dyDescent="0.4">
      <c r="A47" s="474"/>
      <c r="B47" s="475"/>
      <c r="C47" s="340" t="s">
        <v>79</v>
      </c>
      <c r="D47" s="458">
        <f>20/25*2/50</f>
        <v>3.2000000000000001E-2</v>
      </c>
      <c r="E47" s="341"/>
      <c r="F47" s="338"/>
      <c r="H47" s="328"/>
    </row>
    <row r="48" spans="1:14" ht="18.75" x14ac:dyDescent="0.3">
      <c r="C48" s="342" t="s">
        <v>80</v>
      </c>
      <c r="D48" s="335">
        <f>D47*$B$45</f>
        <v>20</v>
      </c>
      <c r="F48" s="343"/>
      <c r="H48" s="328"/>
    </row>
    <row r="49" spans="1:12" ht="19.5" customHeight="1" x14ac:dyDescent="0.3">
      <c r="C49" s="344" t="s">
        <v>81</v>
      </c>
      <c r="D49" s="345">
        <f>D48/B34</f>
        <v>20</v>
      </c>
      <c r="F49" s="343"/>
      <c r="H49" s="328"/>
    </row>
    <row r="50" spans="1:12" ht="18.75" x14ac:dyDescent="0.3">
      <c r="C50" s="300" t="s">
        <v>82</v>
      </c>
      <c r="D50" s="346">
        <f>AVERAGE(E38:E41,G38:G41)</f>
        <v>4663553.8693797672</v>
      </c>
      <c r="F50" s="347"/>
      <c r="H50" s="328"/>
    </row>
    <row r="51" spans="1:12" ht="18.75" x14ac:dyDescent="0.3">
      <c r="C51" s="302" t="s">
        <v>83</v>
      </c>
      <c r="D51" s="348">
        <f>STDEV(E38:E41,G38:G41)/D50</f>
        <v>1.6067522191071503E-3</v>
      </c>
      <c r="F51" s="347"/>
      <c r="H51" s="328"/>
    </row>
    <row r="52" spans="1:12" ht="19.5" customHeight="1" x14ac:dyDescent="0.3">
      <c r="C52" s="349" t="s">
        <v>19</v>
      </c>
      <c r="D52" s="350">
        <f>COUNT(E38:E41,G38:G41)</f>
        <v>6</v>
      </c>
      <c r="F52" s="347"/>
    </row>
    <row r="54" spans="1:12" ht="18.75" x14ac:dyDescent="0.3">
      <c r="A54" s="351" t="s">
        <v>1</v>
      </c>
      <c r="B54" s="352" t="s">
        <v>84</v>
      </c>
    </row>
    <row r="55" spans="1:12" ht="18.75" x14ac:dyDescent="0.3">
      <c r="A55" s="277" t="s">
        <v>85</v>
      </c>
      <c r="B55" s="353" t="str">
        <f>B21</f>
        <v>Sulphamethoxazole 800mg Trimethoprim 160 per tablets</v>
      </c>
    </row>
    <row r="56" spans="1:12" ht="26.25" customHeight="1" x14ac:dyDescent="0.4">
      <c r="A56" s="354" t="s">
        <v>86</v>
      </c>
      <c r="B56" s="355">
        <v>160</v>
      </c>
      <c r="C56" s="277" t="str">
        <f>B20</f>
        <v>Sulfamethoxazole BP &amp; Trimethoprim BP</v>
      </c>
      <c r="H56" s="356"/>
    </row>
    <row r="57" spans="1:12" ht="18.75" x14ac:dyDescent="0.3">
      <c r="A57" s="353" t="s">
        <v>87</v>
      </c>
      <c r="B57" s="445">
        <f>Uniformity!C46</f>
        <v>1044.4935</v>
      </c>
      <c r="H57" s="356"/>
    </row>
    <row r="58" spans="1:12" ht="19.5" customHeight="1" x14ac:dyDescent="0.3">
      <c r="H58" s="356"/>
    </row>
    <row r="59" spans="1:12" s="14" customFormat="1" ht="27" customHeight="1" x14ac:dyDescent="0.4">
      <c r="A59" s="300" t="s">
        <v>88</v>
      </c>
      <c r="B59" s="301">
        <v>100</v>
      </c>
      <c r="C59" s="277"/>
      <c r="D59" s="357" t="s">
        <v>89</v>
      </c>
      <c r="E59" s="358" t="s">
        <v>61</v>
      </c>
      <c r="F59" s="358" t="s">
        <v>62</v>
      </c>
      <c r="G59" s="358" t="s">
        <v>90</v>
      </c>
      <c r="H59" s="304" t="s">
        <v>91</v>
      </c>
      <c r="L59" s="290"/>
    </row>
    <row r="60" spans="1:12" s="14" customFormat="1" ht="26.25" customHeight="1" x14ac:dyDescent="0.4">
      <c r="A60" s="302" t="s">
        <v>92</v>
      </c>
      <c r="B60" s="303">
        <v>5</v>
      </c>
      <c r="C60" s="489" t="s">
        <v>93</v>
      </c>
      <c r="D60" s="492">
        <v>210.69</v>
      </c>
      <c r="E60" s="359">
        <v>1</v>
      </c>
      <c r="F60" s="360">
        <v>4694005</v>
      </c>
      <c r="G60" s="446">
        <f>IF(ISBLANK(F60),"-",(F60/$D$50*$D$47*$B$68)*($B$57/$D$60))</f>
        <v>159.67552287899267</v>
      </c>
      <c r="H60" s="361">
        <f>IF(ISBLANK(F60),"-",G60/$B$56)</f>
        <v>0.99797201799370416</v>
      </c>
      <c r="L60" s="290"/>
    </row>
    <row r="61" spans="1:12" s="14" customFormat="1" ht="26.25" customHeight="1" x14ac:dyDescent="0.4">
      <c r="A61" s="302" t="s">
        <v>94</v>
      </c>
      <c r="B61" s="303">
        <v>50</v>
      </c>
      <c r="C61" s="490"/>
      <c r="D61" s="493"/>
      <c r="E61" s="362">
        <v>2</v>
      </c>
      <c r="F61" s="315">
        <v>4693922</v>
      </c>
      <c r="G61" s="447">
        <f>IF(ISBLANK(F61),"-",(F61/$D$50*$D$47*$B$68)*($B$57/$D$60))</f>
        <v>159.6726994758649</v>
      </c>
      <c r="H61" s="363">
        <f t="shared" ref="H61:H71" si="0">IF(ISBLANK(F61),"-",G61/$B$56)</f>
        <v>0.99795437172415569</v>
      </c>
      <c r="L61" s="290"/>
    </row>
    <row r="62" spans="1:12" s="14" customFormat="1" ht="26.25" customHeight="1" x14ac:dyDescent="0.4">
      <c r="A62" s="302" t="s">
        <v>95</v>
      </c>
      <c r="B62" s="303">
        <v>1</v>
      </c>
      <c r="C62" s="490"/>
      <c r="D62" s="493"/>
      <c r="E62" s="362">
        <v>3</v>
      </c>
      <c r="F62" s="364">
        <v>4694899</v>
      </c>
      <c r="G62" s="447">
        <f>IF(ISBLANK(F62),"-",(F62/$D$50*$D$47*$B$68)*($B$57/$D$60))</f>
        <v>159.70593399220061</v>
      </c>
      <c r="H62" s="363">
        <f t="shared" si="0"/>
        <v>0.99816208745125379</v>
      </c>
      <c r="L62" s="290"/>
    </row>
    <row r="63" spans="1:12" ht="27" customHeight="1" x14ac:dyDescent="0.4">
      <c r="A63" s="302" t="s">
        <v>96</v>
      </c>
      <c r="B63" s="303">
        <v>1</v>
      </c>
      <c r="C63" s="500"/>
      <c r="D63" s="494"/>
      <c r="E63" s="365">
        <v>4</v>
      </c>
      <c r="F63" s="366"/>
      <c r="G63" s="447"/>
      <c r="H63" s="363" t="str">
        <f t="shared" si="0"/>
        <v>-</v>
      </c>
    </row>
    <row r="64" spans="1:12" ht="26.25" customHeight="1" x14ac:dyDescent="0.4">
      <c r="A64" s="302" t="s">
        <v>97</v>
      </c>
      <c r="B64" s="303">
        <v>1</v>
      </c>
      <c r="C64" s="489" t="s">
        <v>98</v>
      </c>
      <c r="D64" s="492">
        <v>205.84</v>
      </c>
      <c r="E64" s="359">
        <v>1</v>
      </c>
      <c r="F64" s="360">
        <v>4627374</v>
      </c>
      <c r="G64" s="448">
        <f>IF(ISBLANK(F64),"-",(F64/$D$50*$D$47*$B$68)*($B$57/$D$64))</f>
        <v>161.11781038356372</v>
      </c>
      <c r="H64" s="367">
        <f>IF(ISBLANK(F64),"-",G64/$B$56)</f>
        <v>1.0069863148972733</v>
      </c>
    </row>
    <row r="65" spans="1:8" ht="26.25" customHeight="1" x14ac:dyDescent="0.4">
      <c r="A65" s="302" t="s">
        <v>99</v>
      </c>
      <c r="B65" s="303">
        <v>1</v>
      </c>
      <c r="C65" s="490"/>
      <c r="D65" s="493"/>
      <c r="E65" s="362">
        <v>2</v>
      </c>
      <c r="F65" s="315">
        <v>4622295</v>
      </c>
      <c r="G65" s="449">
        <f>IF(ISBLANK(F65),"-",(F65/$D$50*$D$47*$B$68)*($B$57/$D$64))</f>
        <v>160.94096767343521</v>
      </c>
      <c r="H65" s="368">
        <f t="shared" si="0"/>
        <v>1.0058810479589702</v>
      </c>
    </row>
    <row r="66" spans="1:8" ht="26.25" customHeight="1" x14ac:dyDescent="0.4">
      <c r="A66" s="302" t="s">
        <v>100</v>
      </c>
      <c r="B66" s="303">
        <v>1</v>
      </c>
      <c r="C66" s="490"/>
      <c r="D66" s="493"/>
      <c r="E66" s="362">
        <v>3</v>
      </c>
      <c r="F66" s="315">
        <v>4622327</v>
      </c>
      <c r="G66" s="449">
        <f>IF(ISBLANK(F66),"-",(F66/$D$50*$D$47*$B$68)*($B$57/$D$64))</f>
        <v>160.94208186259141</v>
      </c>
      <c r="H66" s="368">
        <f t="shared" si="0"/>
        <v>1.0058880116411963</v>
      </c>
    </row>
    <row r="67" spans="1:8" ht="27" customHeight="1" x14ac:dyDescent="0.4">
      <c r="A67" s="302" t="s">
        <v>101</v>
      </c>
      <c r="B67" s="303">
        <v>1</v>
      </c>
      <c r="C67" s="500"/>
      <c r="D67" s="494"/>
      <c r="E67" s="365">
        <v>4</v>
      </c>
      <c r="F67" s="366"/>
      <c r="G67" s="450"/>
      <c r="H67" s="369" t="str">
        <f t="shared" si="0"/>
        <v>-</v>
      </c>
    </row>
    <row r="68" spans="1:8" ht="26.25" customHeight="1" x14ac:dyDescent="0.4">
      <c r="A68" s="302" t="s">
        <v>102</v>
      </c>
      <c r="B68" s="370">
        <f>(B67/B66)*(B65/B64)*(B63/B62)*(B61/B60)*B59</f>
        <v>1000</v>
      </c>
      <c r="C68" s="489" t="s">
        <v>103</v>
      </c>
      <c r="D68" s="492">
        <v>203.81</v>
      </c>
      <c r="E68" s="359">
        <v>1</v>
      </c>
      <c r="F68" s="360">
        <v>4574443</v>
      </c>
      <c r="G68" s="448">
        <f>IF(ISBLANK(F68),"-",(F68/$D$50*$D$47*$B$68)*($B$57/$D$68))</f>
        <v>160.86125539111927</v>
      </c>
      <c r="H68" s="363">
        <f>IF(ISBLANK(F68),"-",G68/$B$56)</f>
        <v>1.0053828461944954</v>
      </c>
    </row>
    <row r="69" spans="1:8" ht="27" customHeight="1" x14ac:dyDescent="0.4">
      <c r="A69" s="349" t="s">
        <v>104</v>
      </c>
      <c r="B69" s="371">
        <f>(D47*B68)/B56*B57</f>
        <v>208.89870000000002</v>
      </c>
      <c r="C69" s="490"/>
      <c r="D69" s="493"/>
      <c r="E69" s="362">
        <v>2</v>
      </c>
      <c r="F69" s="315">
        <v>4578372</v>
      </c>
      <c r="G69" s="449">
        <f>IF(ISBLANK(F69),"-",(F69/$D$50*$D$47*$B$68)*($B$57/$D$68))</f>
        <v>160.99941950693216</v>
      </c>
      <c r="H69" s="363">
        <f t="shared" si="0"/>
        <v>1.0062463719183259</v>
      </c>
    </row>
    <row r="70" spans="1:8" ht="26.25" customHeight="1" x14ac:dyDescent="0.4">
      <c r="A70" s="495" t="s">
        <v>77</v>
      </c>
      <c r="B70" s="496"/>
      <c r="C70" s="490"/>
      <c r="D70" s="493"/>
      <c r="E70" s="362">
        <v>3</v>
      </c>
      <c r="F70" s="315">
        <v>4579820</v>
      </c>
      <c r="G70" s="449">
        <f>IF(ISBLANK(F70),"-",(F70/$D$50*$D$47*$B$68)*($B$57/$D$68))</f>
        <v>161.05033873312132</v>
      </c>
      <c r="H70" s="363">
        <f t="shared" si="0"/>
        <v>1.0065646170820082</v>
      </c>
    </row>
    <row r="71" spans="1:8" ht="27" customHeight="1" x14ac:dyDescent="0.4">
      <c r="A71" s="497"/>
      <c r="B71" s="498"/>
      <c r="C71" s="491"/>
      <c r="D71" s="494"/>
      <c r="E71" s="365">
        <v>4</v>
      </c>
      <c r="F71" s="366"/>
      <c r="G71" s="450"/>
      <c r="H71" s="372" t="str">
        <f t="shared" si="0"/>
        <v>-</v>
      </c>
    </row>
    <row r="72" spans="1:8" ht="26.25" customHeight="1" x14ac:dyDescent="0.4">
      <c r="A72" s="373"/>
      <c r="B72" s="373"/>
      <c r="C72" s="373"/>
      <c r="D72" s="373"/>
      <c r="E72" s="373"/>
      <c r="F72" s="375" t="s">
        <v>70</v>
      </c>
      <c r="G72" s="455">
        <f>AVERAGE(G60:G71)</f>
        <v>160.55178109975793</v>
      </c>
      <c r="H72" s="376">
        <f>AVERAGE(H60:H71)</f>
        <v>1.003448631873487</v>
      </c>
    </row>
    <row r="73" spans="1:8" ht="26.25" customHeight="1" x14ac:dyDescent="0.4">
      <c r="C73" s="373"/>
      <c r="D73" s="373"/>
      <c r="E73" s="373"/>
      <c r="F73" s="377" t="s">
        <v>83</v>
      </c>
      <c r="G73" s="451">
        <f>STDEV(G60:G71)/G72</f>
        <v>4.0753841409817736E-3</v>
      </c>
      <c r="H73" s="451">
        <f>STDEV(H60:H71)/H72</f>
        <v>4.0753841409817675E-3</v>
      </c>
    </row>
    <row r="74" spans="1:8" ht="27" customHeight="1" x14ac:dyDescent="0.4">
      <c r="A74" s="373"/>
      <c r="B74" s="373"/>
      <c r="C74" s="374"/>
      <c r="D74" s="374"/>
      <c r="E74" s="378"/>
      <c r="F74" s="379" t="s">
        <v>19</v>
      </c>
      <c r="G74" s="380">
        <f>COUNT(G60:G71)</f>
        <v>9</v>
      </c>
      <c r="H74" s="380">
        <f>COUNT(H60:H71)</f>
        <v>9</v>
      </c>
    </row>
    <row r="76" spans="1:8" ht="26.25" customHeight="1" x14ac:dyDescent="0.4">
      <c r="A76" s="286" t="s">
        <v>105</v>
      </c>
      <c r="B76" s="381" t="s">
        <v>106</v>
      </c>
      <c r="C76" s="476" t="str">
        <f>B20</f>
        <v>Sulfamethoxazole BP &amp; Trimethoprim BP</v>
      </c>
      <c r="D76" s="476"/>
      <c r="E76" s="382" t="s">
        <v>107</v>
      </c>
      <c r="F76" s="382"/>
      <c r="G76" s="383">
        <f>H72</f>
        <v>1.003448631873487</v>
      </c>
      <c r="H76" s="384"/>
    </row>
    <row r="77" spans="1:8" ht="18.75" x14ac:dyDescent="0.3">
      <c r="A77" s="285" t="s">
        <v>108</v>
      </c>
      <c r="B77" s="285" t="s">
        <v>109</v>
      </c>
    </row>
    <row r="78" spans="1:8" ht="18.75" x14ac:dyDescent="0.3">
      <c r="A78" s="285"/>
      <c r="B78" s="285"/>
    </row>
    <row r="79" spans="1:8" ht="26.25" customHeight="1" x14ac:dyDescent="0.4">
      <c r="A79" s="286" t="s">
        <v>4</v>
      </c>
      <c r="B79" s="499" t="str">
        <f>B26</f>
        <v>Trimethoprim</v>
      </c>
      <c r="C79" s="499"/>
    </row>
    <row r="80" spans="1:8" ht="26.25" customHeight="1" x14ac:dyDescent="0.4">
      <c r="A80" s="287" t="s">
        <v>47</v>
      </c>
      <c r="B80" s="499" t="str">
        <f>B27</f>
        <v>T7-2</v>
      </c>
      <c r="C80" s="499"/>
    </row>
    <row r="81" spans="1:12" ht="27" customHeight="1" x14ac:dyDescent="0.4">
      <c r="A81" s="287" t="s">
        <v>6</v>
      </c>
      <c r="B81" s="385">
        <f>B28</f>
        <v>99.66</v>
      </c>
    </row>
    <row r="82" spans="1:12" s="14" customFormat="1" ht="27" customHeight="1" x14ac:dyDescent="0.4">
      <c r="A82" s="287" t="s">
        <v>48</v>
      </c>
      <c r="B82" s="289">
        <v>0</v>
      </c>
      <c r="C82" s="478" t="s">
        <v>49</v>
      </c>
      <c r="D82" s="479"/>
      <c r="E82" s="479"/>
      <c r="F82" s="479"/>
      <c r="G82" s="480"/>
      <c r="I82" s="290"/>
      <c r="J82" s="290"/>
      <c r="K82" s="290"/>
      <c r="L82" s="290"/>
    </row>
    <row r="83" spans="1:12" s="14" customFormat="1" ht="19.5" customHeight="1" x14ac:dyDescent="0.3">
      <c r="A83" s="287" t="s">
        <v>50</v>
      </c>
      <c r="B83" s="291">
        <f>B81-B82</f>
        <v>99.66</v>
      </c>
      <c r="C83" s="292"/>
      <c r="D83" s="292"/>
      <c r="E83" s="292"/>
      <c r="F83" s="292"/>
      <c r="G83" s="293"/>
      <c r="I83" s="290"/>
      <c r="J83" s="290"/>
      <c r="K83" s="290"/>
      <c r="L83" s="290"/>
    </row>
    <row r="84" spans="1:12" s="14" customFormat="1" ht="27" customHeight="1" x14ac:dyDescent="0.4">
      <c r="A84" s="287" t="s">
        <v>51</v>
      </c>
      <c r="B84" s="294">
        <v>1</v>
      </c>
      <c r="C84" s="481" t="s">
        <v>110</v>
      </c>
      <c r="D84" s="482"/>
      <c r="E84" s="482"/>
      <c r="F84" s="482"/>
      <c r="G84" s="482"/>
      <c r="H84" s="483"/>
      <c r="I84" s="290"/>
      <c r="J84" s="290"/>
      <c r="K84" s="290"/>
      <c r="L84" s="290"/>
    </row>
    <row r="85" spans="1:12" s="14" customFormat="1" ht="27" customHeight="1" x14ac:dyDescent="0.4">
      <c r="A85" s="287" t="s">
        <v>53</v>
      </c>
      <c r="B85" s="294">
        <v>1</v>
      </c>
      <c r="C85" s="481" t="s">
        <v>111</v>
      </c>
      <c r="D85" s="482"/>
      <c r="E85" s="482"/>
      <c r="F85" s="482"/>
      <c r="G85" s="482"/>
      <c r="H85" s="483"/>
      <c r="I85" s="290"/>
      <c r="J85" s="290"/>
      <c r="K85" s="290"/>
      <c r="L85" s="290"/>
    </row>
    <row r="86" spans="1:12" s="14" customFormat="1" ht="18.75" x14ac:dyDescent="0.3">
      <c r="A86" s="287"/>
      <c r="B86" s="297"/>
      <c r="C86" s="298"/>
      <c r="D86" s="298"/>
      <c r="E86" s="298"/>
      <c r="F86" s="298"/>
      <c r="G86" s="298"/>
      <c r="H86" s="298"/>
      <c r="I86" s="290"/>
      <c r="J86" s="290"/>
      <c r="K86" s="290"/>
      <c r="L86" s="290"/>
    </row>
    <row r="87" spans="1:12" s="14" customFormat="1" ht="18.75" x14ac:dyDescent="0.3">
      <c r="A87" s="287" t="s">
        <v>55</v>
      </c>
      <c r="B87" s="299">
        <f>B84/B85</f>
        <v>1</v>
      </c>
      <c r="C87" s="277" t="s">
        <v>56</v>
      </c>
      <c r="D87" s="277"/>
      <c r="E87" s="277"/>
      <c r="F87" s="277"/>
      <c r="G87" s="277"/>
      <c r="I87" s="290"/>
      <c r="J87" s="290"/>
      <c r="K87" s="290"/>
      <c r="L87" s="290"/>
    </row>
    <row r="88" spans="1:12" ht="19.5" customHeight="1" x14ac:dyDescent="0.3">
      <c r="A88" s="285"/>
      <c r="B88" s="285"/>
    </row>
    <row r="89" spans="1:12" ht="27" customHeight="1" x14ac:dyDescent="0.4">
      <c r="A89" s="300" t="s">
        <v>57</v>
      </c>
      <c r="B89" s="301">
        <v>25</v>
      </c>
      <c r="D89" s="386" t="s">
        <v>58</v>
      </c>
      <c r="E89" s="387"/>
      <c r="F89" s="484" t="s">
        <v>59</v>
      </c>
      <c r="G89" s="485"/>
    </row>
    <row r="90" spans="1:12" ht="27" customHeight="1" x14ac:dyDescent="0.4">
      <c r="A90" s="302" t="s">
        <v>60</v>
      </c>
      <c r="B90" s="303">
        <v>2</v>
      </c>
      <c r="C90" s="388" t="s">
        <v>61</v>
      </c>
      <c r="D90" s="305" t="s">
        <v>62</v>
      </c>
      <c r="E90" s="306" t="s">
        <v>63</v>
      </c>
      <c r="F90" s="305" t="s">
        <v>62</v>
      </c>
      <c r="G90" s="389" t="s">
        <v>63</v>
      </c>
      <c r="I90" s="308" t="s">
        <v>64</v>
      </c>
    </row>
    <row r="91" spans="1:12" ht="26.25" customHeight="1" x14ac:dyDescent="0.4">
      <c r="A91" s="302" t="s">
        <v>65</v>
      </c>
      <c r="B91" s="303">
        <v>50</v>
      </c>
      <c r="C91" s="390">
        <v>1</v>
      </c>
      <c r="D91" s="310">
        <v>4591853</v>
      </c>
      <c r="E91" s="311">
        <f>IF(ISBLANK(D91),"-",$D$101/$D$98*D91)</f>
        <v>5200066.0945935212</v>
      </c>
      <c r="F91" s="310">
        <v>4840260</v>
      </c>
      <c r="G91" s="312">
        <f>IF(ISBLANK(F91),"-",$D$101/$F$98*F91)</f>
        <v>5146794.9221599186</v>
      </c>
      <c r="I91" s="313"/>
    </row>
    <row r="92" spans="1:12" ht="26.25" customHeight="1" x14ac:dyDescent="0.4">
      <c r="A92" s="302" t="s">
        <v>66</v>
      </c>
      <c r="B92" s="303">
        <v>1</v>
      </c>
      <c r="C92" s="374">
        <v>2</v>
      </c>
      <c r="D92" s="315">
        <v>4589810</v>
      </c>
      <c r="E92" s="316">
        <f>IF(ISBLANK(D92),"-",$D$101/$D$98*D92)</f>
        <v>5197752.4893820183</v>
      </c>
      <c r="F92" s="315">
        <v>4855891</v>
      </c>
      <c r="G92" s="317">
        <f>IF(ISBLANK(F92),"-",$D$101/$F$98*F92)</f>
        <v>5163415.837447172</v>
      </c>
      <c r="I92" s="486">
        <f>ABS((F96/D96*D95)-F95)/D95</f>
        <v>1.0382667460468939E-2</v>
      </c>
    </row>
    <row r="93" spans="1:12" ht="26.25" customHeight="1" x14ac:dyDescent="0.4">
      <c r="A93" s="302" t="s">
        <v>67</v>
      </c>
      <c r="B93" s="303">
        <v>1</v>
      </c>
      <c r="C93" s="374">
        <v>3</v>
      </c>
      <c r="D93" s="315">
        <v>4611814</v>
      </c>
      <c r="E93" s="316">
        <f>IF(ISBLANK(D93),"-",$D$101/$D$98*D93)</f>
        <v>5222671.0253946995</v>
      </c>
      <c r="F93" s="315">
        <v>4850794</v>
      </c>
      <c r="G93" s="317">
        <f>IF(ISBLANK(F93),"-",$D$101/$F$98*F93)</f>
        <v>5157996.0431141714</v>
      </c>
      <c r="I93" s="486"/>
    </row>
    <row r="94" spans="1:12" ht="27" customHeight="1" x14ac:dyDescent="0.4">
      <c r="A94" s="302" t="s">
        <v>68</v>
      </c>
      <c r="B94" s="303">
        <v>1</v>
      </c>
      <c r="C94" s="391">
        <v>4</v>
      </c>
      <c r="D94" s="320"/>
      <c r="E94" s="321"/>
      <c r="F94" s="392"/>
      <c r="G94" s="322"/>
      <c r="I94" s="323"/>
    </row>
    <row r="95" spans="1:12" ht="27" customHeight="1" x14ac:dyDescent="0.4">
      <c r="A95" s="302" t="s">
        <v>69</v>
      </c>
      <c r="B95" s="303">
        <v>1</v>
      </c>
      <c r="C95" s="393" t="s">
        <v>70</v>
      </c>
      <c r="D95" s="394">
        <f>AVERAGE(D91:D94)</f>
        <v>4597825.666666667</v>
      </c>
      <c r="E95" s="326">
        <f>AVERAGE(E91:E94)</f>
        <v>5206829.86979008</v>
      </c>
      <c r="F95" s="395">
        <f>AVERAGE(F91:F94)</f>
        <v>4848981.666666667</v>
      </c>
      <c r="G95" s="396">
        <f>AVERAGE(G91:G94)</f>
        <v>5156068.9342404203</v>
      </c>
    </row>
    <row r="96" spans="1:12" ht="26.25" customHeight="1" x14ac:dyDescent="0.4">
      <c r="A96" s="302" t="s">
        <v>71</v>
      </c>
      <c r="B96" s="288">
        <v>1</v>
      </c>
      <c r="C96" s="397" t="s">
        <v>112</v>
      </c>
      <c r="D96" s="398">
        <v>19.690000000000001</v>
      </c>
      <c r="E96" s="318"/>
      <c r="F96" s="330">
        <v>20.97</v>
      </c>
    </row>
    <row r="97" spans="1:10" ht="26.25" customHeight="1" x14ac:dyDescent="0.4">
      <c r="A97" s="302" t="s">
        <v>73</v>
      </c>
      <c r="B97" s="288">
        <v>1</v>
      </c>
      <c r="C97" s="399" t="s">
        <v>113</v>
      </c>
      <c r="D97" s="400">
        <f>D96*$B$87</f>
        <v>19.690000000000001</v>
      </c>
      <c r="E97" s="333"/>
      <c r="F97" s="332">
        <f>F96*$B$87</f>
        <v>20.97</v>
      </c>
    </row>
    <row r="98" spans="1:10" ht="19.5" customHeight="1" x14ac:dyDescent="0.3">
      <c r="A98" s="302" t="s">
        <v>75</v>
      </c>
      <c r="B98" s="401">
        <f>(B97/B96)*(B95/B94)*(B93/B92)*(B91/B90)*B89</f>
        <v>625</v>
      </c>
      <c r="C98" s="399" t="s">
        <v>114</v>
      </c>
      <c r="D98" s="402">
        <f>D97*$B$83/100</f>
        <v>19.623054</v>
      </c>
      <c r="E98" s="336"/>
      <c r="F98" s="335">
        <f>F97*$B$83/100</f>
        <v>20.898702</v>
      </c>
    </row>
    <row r="99" spans="1:10" ht="19.5" customHeight="1" x14ac:dyDescent="0.3">
      <c r="A99" s="472" t="s">
        <v>77</v>
      </c>
      <c r="B99" s="487"/>
      <c r="C99" s="399" t="s">
        <v>115</v>
      </c>
      <c r="D99" s="403">
        <f>D98/$B$98</f>
        <v>3.1396886399999997E-2</v>
      </c>
      <c r="E99" s="336"/>
      <c r="F99" s="339">
        <f>F98/$B$98</f>
        <v>3.3437923199999997E-2</v>
      </c>
      <c r="G99" s="404"/>
      <c r="H99" s="328"/>
    </row>
    <row r="100" spans="1:10" ht="19.5" customHeight="1" x14ac:dyDescent="0.3">
      <c r="A100" s="474"/>
      <c r="B100" s="488"/>
      <c r="C100" s="399" t="s">
        <v>79</v>
      </c>
      <c r="D100" s="405">
        <f>$B$56/$B$116</f>
        <v>3.5555555555555556E-2</v>
      </c>
      <c r="F100" s="343"/>
      <c r="G100" s="406"/>
      <c r="H100" s="328"/>
    </row>
    <row r="101" spans="1:10" ht="18.75" x14ac:dyDescent="0.3">
      <c r="C101" s="399" t="s">
        <v>80</v>
      </c>
      <c r="D101" s="400">
        <f>D100*$B$98</f>
        <v>22.222222222222221</v>
      </c>
      <c r="F101" s="343"/>
      <c r="G101" s="404"/>
      <c r="H101" s="328"/>
    </row>
    <row r="102" spans="1:10" ht="19.5" customHeight="1" x14ac:dyDescent="0.3">
      <c r="C102" s="407" t="s">
        <v>81</v>
      </c>
      <c r="D102" s="408">
        <f>D101/B34</f>
        <v>22.222222222222221</v>
      </c>
      <c r="F102" s="347"/>
      <c r="G102" s="404"/>
      <c r="H102" s="328"/>
      <c r="J102" s="409"/>
    </row>
    <row r="103" spans="1:10" ht="18.75" x14ac:dyDescent="0.3">
      <c r="C103" s="410" t="s">
        <v>116</v>
      </c>
      <c r="D103" s="411">
        <f>AVERAGE(E91:E94,G91:G94)</f>
        <v>5181449.4020152502</v>
      </c>
      <c r="F103" s="347"/>
      <c r="G103" s="412"/>
      <c r="H103" s="328"/>
      <c r="J103" s="413"/>
    </row>
    <row r="104" spans="1:10" ht="18.75" x14ac:dyDescent="0.3">
      <c r="C104" s="377" t="s">
        <v>83</v>
      </c>
      <c r="D104" s="414">
        <f>STDEV(E91:E94,G91:G94)/D103</f>
        <v>5.7172473267543735E-3</v>
      </c>
      <c r="F104" s="347"/>
      <c r="G104" s="404"/>
      <c r="H104" s="328"/>
      <c r="J104" s="413"/>
    </row>
    <row r="105" spans="1:10" ht="19.5" customHeight="1" x14ac:dyDescent="0.3">
      <c r="C105" s="379" t="s">
        <v>19</v>
      </c>
      <c r="D105" s="415">
        <f>COUNT(E91:E94,G91:G94)</f>
        <v>6</v>
      </c>
      <c r="F105" s="347"/>
      <c r="G105" s="404"/>
      <c r="H105" s="328"/>
      <c r="J105" s="413"/>
    </row>
    <row r="106" spans="1:10" ht="19.5" customHeight="1" x14ac:dyDescent="0.3">
      <c r="A106" s="351"/>
      <c r="B106" s="351"/>
      <c r="C106" s="351"/>
      <c r="D106" s="351"/>
      <c r="E106" s="351"/>
    </row>
    <row r="107" spans="1:10" ht="26.25" customHeight="1" x14ac:dyDescent="0.4">
      <c r="A107" s="300" t="s">
        <v>117</v>
      </c>
      <c r="B107" s="301">
        <v>900</v>
      </c>
      <c r="C107" s="416" t="s">
        <v>118</v>
      </c>
      <c r="D107" s="417" t="s">
        <v>62</v>
      </c>
      <c r="E107" s="418" t="s">
        <v>119</v>
      </c>
      <c r="F107" s="419" t="s">
        <v>120</v>
      </c>
    </row>
    <row r="108" spans="1:10" ht="26.25" customHeight="1" x14ac:dyDescent="0.4">
      <c r="A108" s="302" t="s">
        <v>121</v>
      </c>
      <c r="B108" s="303">
        <v>5</v>
      </c>
      <c r="C108" s="420">
        <v>1</v>
      </c>
      <c r="D108" s="421">
        <v>5098328</v>
      </c>
      <c r="E108" s="452">
        <f>IF(ISBLANK(D108),"-",D108/$D$103*$D$100*$B$116)</f>
        <v>157.43326175929317</v>
      </c>
      <c r="F108" s="422">
        <f>IF(ISBLANK(D108), "-", E108/$B$56)</f>
        <v>0.98395788599558232</v>
      </c>
    </row>
    <row r="109" spans="1:10" ht="26.25" customHeight="1" x14ac:dyDescent="0.4">
      <c r="A109" s="302" t="s">
        <v>94</v>
      </c>
      <c r="B109" s="303">
        <v>25</v>
      </c>
      <c r="C109" s="420">
        <v>2</v>
      </c>
      <c r="D109" s="421">
        <v>5184597</v>
      </c>
      <c r="E109" s="453">
        <f t="shared" ref="E108:E113" si="1">IF(ISBLANK(D109),"-",D109/$D$103*$D$100*$B$116)</f>
        <v>160.09719590764777</v>
      </c>
      <c r="F109" s="423">
        <f t="shared" ref="F108:F113" si="2">IF(ISBLANK(D109), "-", E109/$B$56)</f>
        <v>1.0006074744227986</v>
      </c>
    </row>
    <row r="110" spans="1:10" ht="26.25" customHeight="1" x14ac:dyDescent="0.4">
      <c r="A110" s="302" t="s">
        <v>95</v>
      </c>
      <c r="B110" s="303">
        <v>1</v>
      </c>
      <c r="C110" s="420">
        <v>3</v>
      </c>
      <c r="D110" s="421">
        <v>5049892</v>
      </c>
      <c r="E110" s="453">
        <f t="shared" si="1"/>
        <v>155.937587595808</v>
      </c>
      <c r="F110" s="423">
        <f>IF(ISBLANK(D110), "-", E110/$B$56)</f>
        <v>0.97460992247379996</v>
      </c>
    </row>
    <row r="111" spans="1:10" ht="26.25" customHeight="1" x14ac:dyDescent="0.4">
      <c r="A111" s="302" t="s">
        <v>96</v>
      </c>
      <c r="B111" s="303">
        <v>1</v>
      </c>
      <c r="C111" s="420">
        <v>4</v>
      </c>
      <c r="D111" s="421">
        <v>5172408</v>
      </c>
      <c r="E111" s="453">
        <f t="shared" si="1"/>
        <v>159.72080701552784</v>
      </c>
      <c r="F111" s="423">
        <f t="shared" si="2"/>
        <v>0.998255043847049</v>
      </c>
    </row>
    <row r="112" spans="1:10" ht="26.25" customHeight="1" x14ac:dyDescent="0.4">
      <c r="A112" s="302" t="s">
        <v>97</v>
      </c>
      <c r="B112" s="303">
        <v>1</v>
      </c>
      <c r="C112" s="420">
        <v>5</v>
      </c>
      <c r="D112" s="421">
        <v>5215290</v>
      </c>
      <c r="E112" s="453">
        <f t="shared" si="1"/>
        <v>161.04497704357667</v>
      </c>
      <c r="F112" s="423">
        <f>IF(ISBLANK(D112), "-", E112/$B$56)</f>
        <v>1.0065311065223541</v>
      </c>
    </row>
    <row r="113" spans="1:10" ht="26.25" customHeight="1" x14ac:dyDescent="0.4">
      <c r="A113" s="302" t="s">
        <v>99</v>
      </c>
      <c r="B113" s="303">
        <v>1</v>
      </c>
      <c r="C113" s="424">
        <v>6</v>
      </c>
      <c r="D113" s="425">
        <v>5069654</v>
      </c>
      <c r="E113" s="454">
        <f t="shared" si="1"/>
        <v>156.54782611300169</v>
      </c>
      <c r="F113" s="426">
        <f t="shared" si="2"/>
        <v>0.97842391320626054</v>
      </c>
    </row>
    <row r="114" spans="1:10" ht="26.25" customHeight="1" x14ac:dyDescent="0.4">
      <c r="A114" s="302" t="s">
        <v>100</v>
      </c>
      <c r="B114" s="303">
        <v>1</v>
      </c>
      <c r="C114" s="420"/>
      <c r="D114" s="374"/>
      <c r="E114" s="276"/>
      <c r="F114" s="427"/>
    </row>
    <row r="115" spans="1:10" ht="26.25" customHeight="1" x14ac:dyDescent="0.4">
      <c r="A115" s="302" t="s">
        <v>101</v>
      </c>
      <c r="B115" s="303">
        <v>1</v>
      </c>
      <c r="C115" s="420"/>
      <c r="D115" s="428" t="s">
        <v>70</v>
      </c>
      <c r="E115" s="456">
        <f>AVERAGE(E108:E113)</f>
        <v>158.46360923914253</v>
      </c>
      <c r="F115" s="429">
        <f>AVERAGE(F108:F113)</f>
        <v>0.99039755774464078</v>
      </c>
    </row>
    <row r="116" spans="1:10" ht="27" customHeight="1" x14ac:dyDescent="0.4">
      <c r="A116" s="302" t="s">
        <v>102</v>
      </c>
      <c r="B116" s="334">
        <f>(B115/B114)*(B113/B112)*(B111/B110)*(B109/B108)*B107</f>
        <v>4500</v>
      </c>
      <c r="C116" s="430"/>
      <c r="D116" s="393" t="s">
        <v>83</v>
      </c>
      <c r="E116" s="431">
        <f>STDEV(E108:E113)/E115</f>
        <v>1.3244810713535124E-2</v>
      </c>
      <c r="F116" s="431">
        <f>STDEV(F108:F113)/F115</f>
        <v>1.3244810713535135E-2</v>
      </c>
      <c r="I116" s="276"/>
    </row>
    <row r="117" spans="1:10" ht="27" customHeight="1" x14ac:dyDescent="0.4">
      <c r="A117" s="472" t="s">
        <v>77</v>
      </c>
      <c r="B117" s="473"/>
      <c r="C117" s="432"/>
      <c r="D117" s="433" t="s">
        <v>19</v>
      </c>
      <c r="E117" s="434">
        <f>COUNT(E108:E113)</f>
        <v>6</v>
      </c>
      <c r="F117" s="434">
        <f>COUNT(F108:F113)</f>
        <v>6</v>
      </c>
      <c r="I117" s="276"/>
      <c r="J117" s="413"/>
    </row>
    <row r="118" spans="1:10" ht="19.5" customHeight="1" x14ac:dyDescent="0.3">
      <c r="A118" s="474"/>
      <c r="B118" s="475"/>
      <c r="C118" s="276"/>
      <c r="D118" s="276"/>
      <c r="E118" s="276"/>
      <c r="F118" s="374"/>
      <c r="G118" s="276"/>
      <c r="H118" s="276"/>
      <c r="I118" s="276"/>
    </row>
    <row r="119" spans="1:10" ht="18.75" x14ac:dyDescent="0.3">
      <c r="A119" s="443"/>
      <c r="B119" s="298"/>
      <c r="C119" s="276"/>
      <c r="D119" s="276"/>
      <c r="E119" s="276"/>
      <c r="F119" s="374"/>
      <c r="G119" s="276"/>
      <c r="H119" s="276"/>
      <c r="I119" s="276"/>
    </row>
    <row r="120" spans="1:10" ht="26.25" customHeight="1" x14ac:dyDescent="0.4">
      <c r="A120" s="286" t="s">
        <v>105</v>
      </c>
      <c r="B120" s="381" t="s">
        <v>122</v>
      </c>
      <c r="C120" s="476" t="str">
        <f>B20</f>
        <v>Sulfamethoxazole BP &amp; Trimethoprim BP</v>
      </c>
      <c r="D120" s="476"/>
      <c r="E120" s="382" t="s">
        <v>123</v>
      </c>
      <c r="F120" s="382"/>
      <c r="G120" s="383">
        <f>F115</f>
        <v>0.99039755774464078</v>
      </c>
      <c r="H120" s="276"/>
      <c r="I120" s="276"/>
    </row>
    <row r="121" spans="1:10" ht="19.5" customHeight="1" x14ac:dyDescent="0.3">
      <c r="A121" s="435"/>
      <c r="B121" s="435"/>
      <c r="C121" s="436"/>
      <c r="D121" s="436"/>
      <c r="E121" s="436"/>
      <c r="F121" s="436"/>
      <c r="G121" s="436"/>
      <c r="H121" s="436"/>
    </row>
    <row r="122" spans="1:10" ht="18.75" x14ac:dyDescent="0.3">
      <c r="B122" s="477" t="s">
        <v>25</v>
      </c>
      <c r="C122" s="477"/>
      <c r="E122" s="388" t="s">
        <v>26</v>
      </c>
      <c r="F122" s="437"/>
      <c r="G122" s="477" t="s">
        <v>27</v>
      </c>
      <c r="H122" s="477"/>
    </row>
    <row r="123" spans="1:10" ht="69.95" customHeight="1" x14ac:dyDescent="0.3">
      <c r="A123" s="438" t="s">
        <v>28</v>
      </c>
      <c r="B123" s="439"/>
      <c r="C123" s="439"/>
      <c r="E123" s="439"/>
      <c r="F123" s="276"/>
      <c r="G123" s="440"/>
      <c r="H123" s="440"/>
    </row>
    <row r="124" spans="1:10" ht="69.95" customHeight="1" x14ac:dyDescent="0.3">
      <c r="A124" s="438" t="s">
        <v>29</v>
      </c>
      <c r="B124" s="441"/>
      <c r="C124" s="441"/>
      <c r="E124" s="441"/>
      <c r="F124" s="276"/>
      <c r="G124" s="442"/>
      <c r="H124" s="442"/>
    </row>
    <row r="125" spans="1:10" ht="18.75" x14ac:dyDescent="0.3">
      <c r="A125" s="373"/>
      <c r="B125" s="373"/>
      <c r="C125" s="374"/>
      <c r="D125" s="374"/>
      <c r="E125" s="374"/>
      <c r="F125" s="378"/>
      <c r="G125" s="374"/>
      <c r="H125" s="374"/>
      <c r="I125" s="276"/>
    </row>
    <row r="126" spans="1:10" ht="18.75" x14ac:dyDescent="0.3">
      <c r="A126" s="373"/>
      <c r="B126" s="373"/>
      <c r="C126" s="374"/>
      <c r="D126" s="374"/>
      <c r="E126" s="374"/>
      <c r="F126" s="378"/>
      <c r="G126" s="374"/>
      <c r="H126" s="374"/>
      <c r="I126" s="276"/>
    </row>
    <row r="127" spans="1:10" ht="18.75" x14ac:dyDescent="0.3">
      <c r="A127" s="373"/>
      <c r="B127" s="373"/>
      <c r="C127" s="374"/>
      <c r="D127" s="374"/>
      <c r="E127" s="374"/>
      <c r="F127" s="378"/>
      <c r="G127" s="374"/>
      <c r="H127" s="374"/>
      <c r="I127" s="276"/>
    </row>
    <row r="128" spans="1:10" ht="18.75" x14ac:dyDescent="0.3">
      <c r="A128" s="373"/>
      <c r="B128" s="373"/>
      <c r="C128" s="374"/>
      <c r="D128" s="374"/>
      <c r="E128" s="374"/>
      <c r="F128" s="378"/>
      <c r="G128" s="374"/>
      <c r="H128" s="374"/>
      <c r="I128" s="276"/>
    </row>
    <row r="129" spans="1:9" ht="18.75" x14ac:dyDescent="0.3">
      <c r="A129" s="373"/>
      <c r="B129" s="373"/>
      <c r="C129" s="374"/>
      <c r="D129" s="374"/>
      <c r="E129" s="374"/>
      <c r="F129" s="378"/>
      <c r="G129" s="374"/>
      <c r="H129" s="374"/>
      <c r="I129" s="276"/>
    </row>
    <row r="130" spans="1:9" ht="18.75" x14ac:dyDescent="0.3">
      <c r="A130" s="373"/>
      <c r="B130" s="373"/>
      <c r="C130" s="374"/>
      <c r="D130" s="374"/>
      <c r="E130" s="374"/>
      <c r="F130" s="378"/>
      <c r="G130" s="374"/>
      <c r="H130" s="374"/>
      <c r="I130" s="276"/>
    </row>
    <row r="131" spans="1:9" ht="18.75" x14ac:dyDescent="0.3">
      <c r="A131" s="373"/>
      <c r="B131" s="373"/>
      <c r="C131" s="374"/>
      <c r="D131" s="374"/>
      <c r="E131" s="374"/>
      <c r="F131" s="378"/>
      <c r="G131" s="374"/>
      <c r="H131" s="374"/>
      <c r="I131" s="276"/>
    </row>
    <row r="132" spans="1:9" ht="18.75" x14ac:dyDescent="0.3">
      <c r="A132" s="373"/>
      <c r="B132" s="373"/>
      <c r="C132" s="374"/>
      <c r="D132" s="374"/>
      <c r="E132" s="374"/>
      <c r="F132" s="378"/>
      <c r="G132" s="374"/>
      <c r="H132" s="374"/>
      <c r="I132" s="276"/>
    </row>
    <row r="133" spans="1:9" ht="18.75" x14ac:dyDescent="0.3">
      <c r="A133" s="373"/>
      <c r="B133" s="373"/>
      <c r="C133" s="374"/>
      <c r="D133" s="374"/>
      <c r="E133" s="374"/>
      <c r="F133" s="378"/>
      <c r="G133" s="374"/>
      <c r="H133" s="374"/>
      <c r="I133" s="276"/>
    </row>
    <row r="250" spans="1:1" x14ac:dyDescent="0.25">
      <c r="A250" s="2">
        <v>5</v>
      </c>
    </row>
  </sheetData>
  <sheetProtection password="AD9C" formatCells="0" formatColumns="0" formatRows="0" insertColumns="0" insertRows="0" insertHyperlinks="0" deleteColumns="0" deleteRows="0" sort="0" autoFilter="0" pivotTables="0"/>
  <mergeCells count="36"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Sulfame</vt:lpstr>
      <vt:lpstr>Trimeth</vt:lpstr>
      <vt:lpstr>Uniformity</vt:lpstr>
      <vt:lpstr>Sulfamethoxazole</vt:lpstr>
      <vt:lpstr>Trimethoprim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Quality Assurance</cp:lastModifiedBy>
  <dcterms:created xsi:type="dcterms:W3CDTF">2005-07-05T10:19:27Z</dcterms:created>
  <dcterms:modified xsi:type="dcterms:W3CDTF">2016-02-02T13:03:38Z</dcterms:modified>
</cp:coreProperties>
</file>