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6"/>
  </bookViews>
  <sheets>
    <sheet name="SST-3TC" sheetId="6" r:id="rId1"/>
    <sheet name="SST-TDF" sheetId="7" r:id="rId2"/>
    <sheet name="SST-EFV" sheetId="8" r:id="rId3"/>
    <sheet name="Uniformity" sheetId="2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Efavirenz!$A$1:$H$126</definedName>
    <definedName name="_xlnm.Print_Area" localSheetId="4">Lamivudine!$A$1:$H$126</definedName>
    <definedName name="_xlnm.Print_Area" localSheetId="5">'Tenofovir DF'!$A$1:$H$126</definedName>
    <definedName name="_xlnm.Print_Area" localSheetId="3">Uniformity!$A$1:$F$44</definedName>
  </definedNames>
  <calcPr calcId="145621"/>
</workbook>
</file>

<file path=xl/calcChain.xml><?xml version="1.0" encoding="utf-8"?>
<calcChain xmlns="http://schemas.openxmlformats.org/spreadsheetml/2006/main">
  <c r="B25" i="8" l="1"/>
  <c r="B39" i="8"/>
  <c r="E37" i="8"/>
  <c r="D37" i="8"/>
  <c r="C37" i="8"/>
  <c r="B37" i="8"/>
  <c r="B38" i="8" s="1"/>
  <c r="B18" i="8"/>
  <c r="E16" i="8"/>
  <c r="D16" i="8"/>
  <c r="C16" i="8"/>
  <c r="B16" i="8"/>
  <c r="B17" i="8" s="1"/>
  <c r="B7" i="8"/>
  <c r="B39" i="7"/>
  <c r="E37" i="7"/>
  <c r="D37" i="7"/>
  <c r="C37" i="7"/>
  <c r="B37" i="7"/>
  <c r="B38" i="7" s="1"/>
  <c r="B18" i="7"/>
  <c r="E16" i="7"/>
  <c r="D16" i="7"/>
  <c r="C16" i="7"/>
  <c r="B16" i="7"/>
  <c r="B17" i="7" s="1"/>
  <c r="B7" i="7"/>
  <c r="B39" i="6"/>
  <c r="E37" i="6"/>
  <c r="D37" i="6"/>
  <c r="C37" i="6"/>
  <c r="B37" i="6"/>
  <c r="B38" i="6" s="1"/>
  <c r="B28" i="6"/>
  <c r="B18" i="6"/>
  <c r="E16" i="6"/>
  <c r="D16" i="6"/>
  <c r="C16" i="6"/>
  <c r="B16" i="6"/>
  <c r="B17" i="6" s="1"/>
  <c r="B7" i="6"/>
  <c r="B79" i="4" l="1"/>
  <c r="B79" i="5"/>
  <c r="C120" i="5"/>
  <c r="B116" i="5"/>
  <c r="D100" i="5"/>
  <c r="B98" i="5"/>
  <c r="F95" i="5"/>
  <c r="D95" i="5"/>
  <c r="B87" i="5"/>
  <c r="F97" i="5" s="1"/>
  <c r="B83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D97" i="3" s="1"/>
  <c r="B83" i="3"/>
  <c r="B79" i="3"/>
  <c r="C76" i="3"/>
  <c r="B68" i="3"/>
  <c r="C56" i="3"/>
  <c r="B55" i="3"/>
  <c r="B45" i="3"/>
  <c r="D48" i="3" s="1"/>
  <c r="F42" i="3"/>
  <c r="D42" i="3"/>
  <c r="B34" i="3"/>
  <c r="B30" i="3"/>
  <c r="C36" i="2"/>
  <c r="D25" i="2" s="1"/>
  <c r="C35" i="2"/>
  <c r="I92" i="5" l="1"/>
  <c r="D101" i="5"/>
  <c r="D102" i="5" s="1"/>
  <c r="D98" i="5"/>
  <c r="D99" i="5" s="1"/>
  <c r="D97" i="5"/>
  <c r="F98" i="5"/>
  <c r="F99" i="5" s="1"/>
  <c r="I39" i="5"/>
  <c r="D49" i="5"/>
  <c r="F44" i="5"/>
  <c r="F45" i="5" s="1"/>
  <c r="F46" i="5" s="1"/>
  <c r="D44" i="5"/>
  <c r="D45" i="5" s="1"/>
  <c r="I92" i="4"/>
  <c r="D101" i="4"/>
  <c r="D102" i="4" s="1"/>
  <c r="D97" i="4"/>
  <c r="D98" i="4" s="1"/>
  <c r="D99" i="4" s="1"/>
  <c r="I39" i="4"/>
  <c r="D44" i="4"/>
  <c r="D45" i="4" s="1"/>
  <c r="D49" i="4"/>
  <c r="F45" i="4"/>
  <c r="G39" i="4" s="1"/>
  <c r="F98" i="4"/>
  <c r="F99" i="4" s="1"/>
  <c r="E94" i="5"/>
  <c r="D101" i="3"/>
  <c r="I92" i="3"/>
  <c r="D98" i="3"/>
  <c r="E91" i="3" s="1"/>
  <c r="F97" i="3"/>
  <c r="F98" i="3" s="1"/>
  <c r="I39" i="3"/>
  <c r="D49" i="3"/>
  <c r="D102" i="3"/>
  <c r="F44" i="3"/>
  <c r="F45" i="3" s="1"/>
  <c r="D44" i="3"/>
  <c r="D45" i="3" s="1"/>
  <c r="E94" i="3"/>
  <c r="D15" i="2"/>
  <c r="D19" i="2"/>
  <c r="D23" i="2"/>
  <c r="D27" i="2"/>
  <c r="D31" i="2"/>
  <c r="D14" i="2"/>
  <c r="D18" i="2"/>
  <c r="D22" i="2"/>
  <c r="D26" i="2"/>
  <c r="D30" i="2"/>
  <c r="D39" i="2"/>
  <c r="B57" i="3"/>
  <c r="D17" i="2"/>
  <c r="D21" i="2"/>
  <c r="D29" i="2"/>
  <c r="D33" i="2"/>
  <c r="C39" i="2"/>
  <c r="D16" i="2"/>
  <c r="D20" i="2"/>
  <c r="D24" i="2"/>
  <c r="D28" i="2"/>
  <c r="D32" i="2"/>
  <c r="B39" i="2"/>
  <c r="D40" i="2"/>
  <c r="C40" i="2"/>
  <c r="B57" i="4"/>
  <c r="B57" i="5"/>
  <c r="B69" i="5"/>
  <c r="B69" i="3"/>
  <c r="E93" i="5" l="1"/>
  <c r="E92" i="5"/>
  <c r="G92" i="4"/>
  <c r="G91" i="4"/>
  <c r="E91" i="5"/>
  <c r="G93" i="5"/>
  <c r="G91" i="5"/>
  <c r="G92" i="5"/>
  <c r="G94" i="5"/>
  <c r="G39" i="5"/>
  <c r="G41" i="5"/>
  <c r="G40" i="5"/>
  <c r="G38" i="5"/>
  <c r="E41" i="5"/>
  <c r="E38" i="5"/>
  <c r="E40" i="5"/>
  <c r="D46" i="5"/>
  <c r="E39" i="5"/>
  <c r="E94" i="4"/>
  <c r="G41" i="4"/>
  <c r="G38" i="4"/>
  <c r="G40" i="4"/>
  <c r="F46" i="4"/>
  <c r="E40" i="4"/>
  <c r="E39" i="4"/>
  <c r="E41" i="4"/>
  <c r="E38" i="4"/>
  <c r="D46" i="4"/>
  <c r="G94" i="4"/>
  <c r="G93" i="4"/>
  <c r="E91" i="4"/>
  <c r="E92" i="4"/>
  <c r="E93" i="4"/>
  <c r="E93" i="3"/>
  <c r="E92" i="3"/>
  <c r="D99" i="3"/>
  <c r="F46" i="3"/>
  <c r="G39" i="3"/>
  <c r="G41" i="3"/>
  <c r="E39" i="3"/>
  <c r="D46" i="3"/>
  <c r="E41" i="3"/>
  <c r="E38" i="3"/>
  <c r="E40" i="3"/>
  <c r="G40" i="3"/>
  <c r="G38" i="3"/>
  <c r="G93" i="3"/>
  <c r="F99" i="3"/>
  <c r="G92" i="3"/>
  <c r="G94" i="3"/>
  <c r="G91" i="3"/>
  <c r="B69" i="4"/>
  <c r="E95" i="5" l="1"/>
  <c r="E95" i="3"/>
  <c r="G95" i="4"/>
  <c r="D105" i="5"/>
  <c r="G95" i="5"/>
  <c r="D103" i="5"/>
  <c r="E108" i="5" s="1"/>
  <c r="G42" i="5"/>
  <c r="D52" i="5"/>
  <c r="D50" i="5"/>
  <c r="E42" i="5"/>
  <c r="E95" i="4"/>
  <c r="D103" i="4"/>
  <c r="E113" i="4" s="1"/>
  <c r="F113" i="4" s="1"/>
  <c r="D105" i="4"/>
  <c r="G42" i="4"/>
  <c r="E42" i="4"/>
  <c r="D52" i="4"/>
  <c r="D50" i="4"/>
  <c r="D104" i="5"/>
  <c r="D103" i="3"/>
  <c r="E112" i="3" s="1"/>
  <c r="F112" i="3" s="1"/>
  <c r="E42" i="3"/>
  <c r="G42" i="3"/>
  <c r="D52" i="3"/>
  <c r="D50" i="3"/>
  <c r="G64" i="3" s="1"/>
  <c r="H64" i="3" s="1"/>
  <c r="G95" i="3"/>
  <c r="D105" i="3"/>
  <c r="D51" i="3" l="1"/>
  <c r="E113" i="5"/>
  <c r="F113" i="5" s="1"/>
  <c r="E111" i="5"/>
  <c r="F111" i="5" s="1"/>
  <c r="E112" i="5"/>
  <c r="F112" i="5" s="1"/>
  <c r="E109" i="5"/>
  <c r="F109" i="5" s="1"/>
  <c r="E110" i="5"/>
  <c r="F110" i="5" s="1"/>
  <c r="D51" i="5"/>
  <c r="G69" i="5"/>
  <c r="H69" i="5" s="1"/>
  <c r="G67" i="5"/>
  <c r="H67" i="5" s="1"/>
  <c r="G66" i="5"/>
  <c r="H66" i="5" s="1"/>
  <c r="G65" i="5"/>
  <c r="H65" i="5" s="1"/>
  <c r="G60" i="5"/>
  <c r="G70" i="5"/>
  <c r="H70" i="5" s="1"/>
  <c r="G71" i="5"/>
  <c r="H71" i="5" s="1"/>
  <c r="G64" i="5"/>
  <c r="H64" i="5" s="1"/>
  <c r="G63" i="5"/>
  <c r="H63" i="5" s="1"/>
  <c r="G61" i="5"/>
  <c r="H61" i="5" s="1"/>
  <c r="G62" i="5"/>
  <c r="H62" i="5" s="1"/>
  <c r="G68" i="5"/>
  <c r="H68" i="5" s="1"/>
  <c r="D104" i="4"/>
  <c r="E112" i="4"/>
  <c r="F112" i="4" s="1"/>
  <c r="E111" i="4"/>
  <c r="F111" i="4" s="1"/>
  <c r="E110" i="4"/>
  <c r="F110" i="4" s="1"/>
  <c r="E108" i="4"/>
  <c r="F108" i="4" s="1"/>
  <c r="E109" i="4"/>
  <c r="F109" i="4" s="1"/>
  <c r="D51" i="4"/>
  <c r="G71" i="4"/>
  <c r="H71" i="4" s="1"/>
  <c r="G64" i="4"/>
  <c r="H64" i="4" s="1"/>
  <c r="G65" i="4"/>
  <c r="H65" i="4" s="1"/>
  <c r="G62" i="4"/>
  <c r="H62" i="4" s="1"/>
  <c r="G61" i="4"/>
  <c r="H61" i="4" s="1"/>
  <c r="G67" i="4"/>
  <c r="H67" i="4" s="1"/>
  <c r="G70" i="4"/>
  <c r="H70" i="4" s="1"/>
  <c r="G68" i="4"/>
  <c r="H68" i="4" s="1"/>
  <c r="G63" i="4"/>
  <c r="H63" i="4" s="1"/>
  <c r="G60" i="4"/>
  <c r="G69" i="4"/>
  <c r="H69" i="4" s="1"/>
  <c r="G66" i="4"/>
  <c r="H66" i="4" s="1"/>
  <c r="F108" i="5"/>
  <c r="D104" i="3"/>
  <c r="E113" i="3"/>
  <c r="F113" i="3" s="1"/>
  <c r="E108" i="3"/>
  <c r="F108" i="3" s="1"/>
  <c r="E110" i="3"/>
  <c r="F110" i="3" s="1"/>
  <c r="E111" i="3"/>
  <c r="F111" i="3" s="1"/>
  <c r="E109" i="3"/>
  <c r="F109" i="3" s="1"/>
  <c r="G70" i="3"/>
  <c r="H70" i="3" s="1"/>
  <c r="G66" i="3"/>
  <c r="H66" i="3" s="1"/>
  <c r="G71" i="3"/>
  <c r="H71" i="3" s="1"/>
  <c r="G63" i="3"/>
  <c r="H63" i="3" s="1"/>
  <c r="G67" i="3"/>
  <c r="H67" i="3" s="1"/>
  <c r="G60" i="3"/>
  <c r="H60" i="3" s="1"/>
  <c r="G65" i="3"/>
  <c r="H65" i="3" s="1"/>
  <c r="G68" i="3"/>
  <c r="H68" i="3" s="1"/>
  <c r="G62" i="3"/>
  <c r="H62" i="3" s="1"/>
  <c r="G69" i="3"/>
  <c r="H69" i="3" s="1"/>
  <c r="G61" i="3"/>
  <c r="H61" i="3" s="1"/>
  <c r="E117" i="5" l="1"/>
  <c r="E115" i="5"/>
  <c r="E116" i="5" s="1"/>
  <c r="H60" i="5"/>
  <c r="G74" i="5"/>
  <c r="G72" i="5"/>
  <c r="G73" i="5" s="1"/>
  <c r="E117" i="4"/>
  <c r="E115" i="4"/>
  <c r="E116" i="4" s="1"/>
  <c r="H60" i="4"/>
  <c r="G72" i="4"/>
  <c r="G73" i="4" s="1"/>
  <c r="G74" i="4"/>
  <c r="F117" i="5"/>
  <c r="F115" i="5"/>
  <c r="F117" i="4"/>
  <c r="F115" i="4"/>
  <c r="E115" i="3"/>
  <c r="E116" i="3" s="1"/>
  <c r="E117" i="3"/>
  <c r="G72" i="3"/>
  <c r="G73" i="3" s="1"/>
  <c r="G74" i="3"/>
  <c r="F115" i="3"/>
  <c r="G120" i="3" s="1"/>
  <c r="F117" i="3"/>
  <c r="H74" i="3"/>
  <c r="H72" i="3"/>
  <c r="H72" i="5" l="1"/>
  <c r="G76" i="5" s="1"/>
  <c r="H74" i="5"/>
  <c r="H72" i="4"/>
  <c r="G76" i="4" s="1"/>
  <c r="H74" i="4"/>
  <c r="G120" i="5"/>
  <c r="F116" i="5"/>
  <c r="G120" i="4"/>
  <c r="F116" i="4"/>
  <c r="H73" i="3"/>
  <c r="G76" i="3"/>
  <c r="F116" i="3"/>
  <c r="H73" i="5" l="1"/>
  <c r="H73" i="4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<sst xmlns="http://schemas.openxmlformats.org/spreadsheetml/2006/main" count="647" uniqueCount="139">
  <si>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</si>
  <si>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</si>
  <si>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</si>
  <si>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</si>
  <si>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</si>
  <si>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</si>
  <si>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</si>
  <si>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NDQB201601679</t>
  </si>
  <si>
    <t>Weight (mg):</t>
  </si>
  <si>
    <t xml:space="preserve">Tenofovir Disoproxil Fumarate , Lamivudine  &amp; Efavirenz </t>
  </si>
  <si>
    <t>Standard Conc (mg/mL):</t>
  </si>
  <si>
    <t>Each tablet contains:Tenofovir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</si>
  <si>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</si>
  <si>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</si>
  <si>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</si>
  <si>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</si>
  <si>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</si>
  <si>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</si>
  <si>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</si>
  <si>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</si>
  <si>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</si>
  <si>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</si>
  <si>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</si>
  <si>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</si>
  <si>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</si>
  <si>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</si>
  <si>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</si>
  <si>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</si>
  <si>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</si>
  <si>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</si>
  <si>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</si>
  <si>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</si>
  <si>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</si>
  <si>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</si>
  <si>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</si>
  <si>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</si>
  <si>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</si>
  <si>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</si>
  <si>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</si>
  <si>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</si>
  <si>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</si>
  <si>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</si>
  <si>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</si>
  <si>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</si>
  <si>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</si>
  <si>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</si>
  <si>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</si>
  <si>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</si>
  <si>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</si>
  <si>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</si>
  <si>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</si>
  <si>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</si>
  <si>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</si>
  <si>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</si>
  <si>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</si>
  <si>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</si>
  <si>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</si>
  <si>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</si>
  <si>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</si>
  <si>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</si>
  <si>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</si>
  <si>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</si>
  <si>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</si>
  <si>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</si>
  <si>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</si>
  <si>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</si>
  <si>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</si>
  <si>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</si>
  <si>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</si>
  <si>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</si>
  <si>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</si>
  <si>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</si>
  <si>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</si>
  <si>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</si>
  <si>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</si>
  <si>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</si>
  <si>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</si>
  <si>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</si>
  <si>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</si>
  <si>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</si>
  <si>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</si>
  <si>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</si>
  <si>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</si>
  <si>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</si>
  <si>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</si>
  <si>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</si>
  <si>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</si>
  <si>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</si>
  <si>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</si>
  <si>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</si>
  <si>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</si>
  <si>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</si>
  <si>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</si>
  <si>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</si>
  <si>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</si>
  <si>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</si>
  <si>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</si>
  <si>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</si>
  <si>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</si>
  <si>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</si>
  <si>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</si>
  <si>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</si>
  <si>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</si>
  <si>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</si>
  <si>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</si>
  <si>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</si>
  <si>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</si>
  <si>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</si>
  <si>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</si>
  <si>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</si>
  <si>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</si>
  <si>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</si>
  <si>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</si>
  <si>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</si>
  <si>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</si>
  <si>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</si>
  <si>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</si>
  <si>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</si>
  <si>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</si>
  <si>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</si>
  <si>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</si>
  <si>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</si>
  <si>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</si>
  <si>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</si>
  <si>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</si>
  <si>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</si>
  <si>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L3-8</t>
  </si>
  <si>
    <t>Tenofovir DF</t>
  </si>
  <si>
    <t>T11-6</t>
  </si>
  <si>
    <t>Efavirenz</t>
  </si>
  <si>
    <t>E15-2</t>
  </si>
  <si>
    <t>E15-3</t>
  </si>
  <si>
    <t>T11-7</t>
  </si>
  <si>
    <t>TENOFOVIR DISOPROXIL FUMARATE/  LAMIVUDINE/ EFAVIRENZ  TABLETS 
(300 mg/300 mg /600 mg)</t>
  </si>
  <si>
    <r>
      <t xml:space="preserve">The RSD of the peak areas for five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</si>
  <si>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</si>
  <si>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Dr. Sarah Mwangi</t>
  </si>
  <si>
    <t>25th February 2016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</si>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</sst>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7" sqref="B7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626"/>
  </cols>
  <sheetData>
    <row r="1" spans="1:5" ht="18.75" customHeight="1" x14ac:dyDescent="0.3">
      <c r="A1" s="633" t="s">
        <v>0</v>
      </c>
      <c r="B1" s="633"/>
      <c r="C1" s="633"/>
      <c r="D1" s="633"/>
      <c r="E1" s="633"/>
    </row>
    <row r="2" spans="1:5" ht="16.5" customHeight="1" x14ac:dyDescent="0.3">
      <c r="A2" s="592" t="s">
        <v>1</v>
      </c>
      <c r="B2" s="593" t="s">
        <v>2</v>
      </c>
    </row>
    <row r="3" spans="1:5" ht="16.5" customHeight="1" x14ac:dyDescent="0.3">
      <c r="A3" s="594" t="s">
        <v>3</v>
      </c>
      <c r="B3" s="594" t="s">
        <v>133</v>
      </c>
      <c r="D3" s="595"/>
      <c r="E3" s="596"/>
    </row>
    <row r="4" spans="1:5" ht="16.5" customHeight="1" x14ac:dyDescent="0.3">
      <c r="A4" s="597" t="s">
        <v>4</v>
      </c>
      <c r="B4" s="594" t="s">
        <v>124</v>
      </c>
      <c r="C4" s="596"/>
      <c r="D4" s="596"/>
      <c r="E4" s="596"/>
    </row>
    <row r="5" spans="1:5" ht="16.5" customHeight="1" x14ac:dyDescent="0.3">
      <c r="A5" s="597" t="s">
        <v>6</v>
      </c>
      <c r="B5" s="598">
        <v>101.74</v>
      </c>
      <c r="C5" s="596"/>
      <c r="D5" s="596"/>
      <c r="E5" s="596"/>
    </row>
    <row r="6" spans="1:5" ht="16.5" customHeight="1" x14ac:dyDescent="0.3">
      <c r="A6" s="594" t="s">
        <v>8</v>
      </c>
      <c r="B6" s="598">
        <v>18.170000000000002</v>
      </c>
      <c r="C6" s="596"/>
      <c r="D6" s="596"/>
      <c r="E6" s="596"/>
    </row>
    <row r="7" spans="1:5" ht="16.5" customHeight="1" x14ac:dyDescent="0.3">
      <c r="A7" s="594" t="s">
        <v>10</v>
      </c>
      <c r="B7" s="599">
        <f>B6/50*10/25</f>
        <v>0.14536000000000002</v>
      </c>
      <c r="C7" s="596"/>
      <c r="D7" s="596"/>
      <c r="E7" s="596"/>
    </row>
    <row r="8" spans="1:5" ht="15.75" customHeight="1" x14ac:dyDescent="0.25">
      <c r="A8" s="596"/>
      <c r="B8" s="596"/>
      <c r="C8" s="596"/>
      <c r="D8" s="596"/>
      <c r="E8" s="596"/>
    </row>
    <row r="9" spans="1:5" ht="16.5" customHeight="1" x14ac:dyDescent="0.3">
      <c r="A9" s="600" t="s">
        <v>12</v>
      </c>
      <c r="B9" s="601" t="s">
        <v>13</v>
      </c>
      <c r="C9" s="600" t="s">
        <v>14</v>
      </c>
      <c r="D9" s="600" t="s">
        <v>15</v>
      </c>
      <c r="E9" s="600" t="s">
        <v>16</v>
      </c>
    </row>
    <row r="10" spans="1:5" ht="16.5" customHeight="1" x14ac:dyDescent="0.3">
      <c r="A10" s="602">
        <v>1</v>
      </c>
      <c r="B10" s="603">
        <v>112809068</v>
      </c>
      <c r="C10" s="603">
        <v>5589.9</v>
      </c>
      <c r="D10" s="604">
        <v>1</v>
      </c>
      <c r="E10" s="605">
        <v>4.3</v>
      </c>
    </row>
    <row r="11" spans="1:5" ht="16.5" customHeight="1" x14ac:dyDescent="0.3">
      <c r="A11" s="602">
        <v>2</v>
      </c>
      <c r="B11" s="603">
        <v>112874574</v>
      </c>
      <c r="C11" s="603">
        <v>5495.1</v>
      </c>
      <c r="D11" s="604">
        <v>1</v>
      </c>
      <c r="E11" s="604">
        <v>4.3</v>
      </c>
    </row>
    <row r="12" spans="1:5" ht="16.5" customHeight="1" x14ac:dyDescent="0.3">
      <c r="A12" s="602">
        <v>3</v>
      </c>
      <c r="B12" s="603">
        <v>112776419</v>
      </c>
      <c r="C12" s="603">
        <v>5502</v>
      </c>
      <c r="D12" s="604">
        <v>1</v>
      </c>
      <c r="E12" s="604">
        <v>4.3</v>
      </c>
    </row>
    <row r="13" spans="1:5" ht="16.5" customHeight="1" x14ac:dyDescent="0.3">
      <c r="A13" s="602">
        <v>4</v>
      </c>
      <c r="B13" s="603">
        <v>113003874</v>
      </c>
      <c r="C13" s="603">
        <v>5508.1</v>
      </c>
      <c r="D13" s="604">
        <v>1</v>
      </c>
      <c r="E13" s="604">
        <v>4.3</v>
      </c>
    </row>
    <row r="14" spans="1:5" ht="16.5" customHeight="1" x14ac:dyDescent="0.3">
      <c r="A14" s="602">
        <v>5</v>
      </c>
      <c r="B14" s="603">
        <v>113079717</v>
      </c>
      <c r="C14" s="603">
        <v>5532.5</v>
      </c>
      <c r="D14" s="604">
        <v>1</v>
      </c>
      <c r="E14" s="604">
        <v>4.3</v>
      </c>
    </row>
    <row r="15" spans="1:5" ht="16.5" customHeight="1" x14ac:dyDescent="0.3">
      <c r="A15" s="602">
        <v>6</v>
      </c>
      <c r="B15" s="606">
        <v>112741553</v>
      </c>
      <c r="C15" s="606">
        <v>5563.7</v>
      </c>
      <c r="D15" s="607">
        <v>1</v>
      </c>
      <c r="E15" s="607">
        <v>4.3</v>
      </c>
    </row>
    <row r="16" spans="1:5" ht="16.5" customHeight="1" x14ac:dyDescent="0.3">
      <c r="A16" s="608" t="s">
        <v>17</v>
      </c>
      <c r="B16" s="609">
        <f>AVERAGE(B10:B15)</f>
        <v>112880867.5</v>
      </c>
      <c r="C16" s="610">
        <f>AVERAGE(C10:C15)</f>
        <v>5531.8833333333323</v>
      </c>
      <c r="D16" s="611">
        <f>AVERAGE(D10:D15)</f>
        <v>1</v>
      </c>
      <c r="E16" s="611">
        <f>AVERAGE(E10:E15)</f>
        <v>4.3</v>
      </c>
    </row>
    <row r="17" spans="1:5" ht="16.5" customHeight="1" x14ac:dyDescent="0.3">
      <c r="A17" s="612" t="s">
        <v>18</v>
      </c>
      <c r="B17" s="613">
        <f>(STDEV(B10:B15)/B16)</f>
        <v>1.1897635345507771E-3</v>
      </c>
      <c r="C17" s="614"/>
      <c r="D17" s="614"/>
      <c r="E17" s="615"/>
    </row>
    <row r="18" spans="1:5" s="591" customFormat="1" ht="16.5" customHeight="1" x14ac:dyDescent="0.3">
      <c r="A18" s="616" t="s">
        <v>19</v>
      </c>
      <c r="B18" s="617">
        <f>COUNT(B10:B15)</f>
        <v>6</v>
      </c>
      <c r="C18" s="618"/>
      <c r="D18" s="619"/>
      <c r="E18" s="620"/>
    </row>
    <row r="19" spans="1:5" s="591" customFormat="1" ht="15.75" customHeight="1" x14ac:dyDescent="0.25">
      <c r="A19" s="596"/>
      <c r="B19" s="596"/>
      <c r="C19" s="596"/>
      <c r="D19" s="596"/>
      <c r="E19" s="596"/>
    </row>
    <row r="20" spans="1:5" s="591" customFormat="1" ht="16.5" customHeight="1" x14ac:dyDescent="0.3">
      <c r="A20" s="597" t="s">
        <v>20</v>
      </c>
      <c r="B20" s="621" t="s">
        <v>21</v>
      </c>
      <c r="C20" s="622"/>
      <c r="D20" s="622"/>
      <c r="E20" s="622"/>
    </row>
    <row r="21" spans="1:5" ht="16.5" customHeight="1" x14ac:dyDescent="0.3">
      <c r="A21" s="597"/>
      <c r="B21" s="621" t="s">
        <v>22</v>
      </c>
      <c r="C21" s="622"/>
      <c r="D21" s="622"/>
      <c r="E21" s="622"/>
    </row>
    <row r="22" spans="1:5" ht="16.5" customHeight="1" x14ac:dyDescent="0.3">
      <c r="A22" s="597"/>
      <c r="B22" s="621" t="s">
        <v>23</v>
      </c>
      <c r="C22" s="622"/>
      <c r="D22" s="622"/>
      <c r="E22" s="622"/>
    </row>
    <row r="23" spans="1:5" ht="15.75" customHeight="1" x14ac:dyDescent="0.25">
      <c r="A23" s="596"/>
      <c r="B23" s="596"/>
      <c r="C23" s="596"/>
      <c r="D23" s="596"/>
      <c r="E23" s="596"/>
    </row>
    <row r="24" spans="1:5" ht="16.5" customHeight="1" x14ac:dyDescent="0.3">
      <c r="A24" s="592" t="s">
        <v>1</v>
      </c>
      <c r="B24" s="593" t="s">
        <v>24</v>
      </c>
    </row>
    <row r="25" spans="1:5" ht="16.5" customHeight="1" x14ac:dyDescent="0.3">
      <c r="A25" s="597" t="s">
        <v>4</v>
      </c>
      <c r="B25" s="594" t="s">
        <v>124</v>
      </c>
      <c r="C25" s="596"/>
      <c r="D25" s="596"/>
      <c r="E25" s="596"/>
    </row>
    <row r="26" spans="1:5" ht="16.5" customHeight="1" x14ac:dyDescent="0.3">
      <c r="A26" s="597" t="s">
        <v>6</v>
      </c>
      <c r="B26" s="598">
        <v>99.9</v>
      </c>
      <c r="C26" s="596"/>
      <c r="D26" s="596"/>
      <c r="E26" s="596"/>
    </row>
    <row r="27" spans="1:5" ht="16.5" customHeight="1" x14ac:dyDescent="0.3">
      <c r="A27" s="594" t="s">
        <v>8</v>
      </c>
      <c r="B27" s="598">
        <v>17.05</v>
      </c>
      <c r="C27" s="596"/>
      <c r="D27" s="596"/>
      <c r="E27" s="596"/>
    </row>
    <row r="28" spans="1:5" ht="16.5" customHeight="1" x14ac:dyDescent="0.3">
      <c r="A28" s="594" t="s">
        <v>10</v>
      </c>
      <c r="B28" s="599">
        <f>B27/50</f>
        <v>0.34100000000000003</v>
      </c>
      <c r="C28" s="596"/>
      <c r="D28" s="596"/>
      <c r="E28" s="596"/>
    </row>
    <row r="29" spans="1:5" ht="15.75" customHeight="1" x14ac:dyDescent="0.25">
      <c r="A29" s="596"/>
      <c r="B29" s="596"/>
      <c r="C29" s="596"/>
      <c r="D29" s="596"/>
      <c r="E29" s="596"/>
    </row>
    <row r="30" spans="1:5" ht="16.5" customHeight="1" x14ac:dyDescent="0.3">
      <c r="A30" s="600" t="s">
        <v>12</v>
      </c>
      <c r="B30" s="601" t="s">
        <v>13</v>
      </c>
      <c r="C30" s="600" t="s">
        <v>14</v>
      </c>
      <c r="D30" s="600" t="s">
        <v>15</v>
      </c>
      <c r="E30" s="600" t="s">
        <v>16</v>
      </c>
    </row>
    <row r="31" spans="1:5" ht="16.5" customHeight="1" x14ac:dyDescent="0.3">
      <c r="A31" s="602">
        <v>1</v>
      </c>
      <c r="B31" s="603">
        <v>51124295</v>
      </c>
      <c r="C31" s="603">
        <v>1855.3</v>
      </c>
      <c r="D31" s="604">
        <v>1.4</v>
      </c>
      <c r="E31" s="605">
        <v>4</v>
      </c>
    </row>
    <row r="32" spans="1:5" ht="16.5" customHeight="1" x14ac:dyDescent="0.3">
      <c r="A32" s="602">
        <v>2</v>
      </c>
      <c r="B32" s="603">
        <v>50516546</v>
      </c>
      <c r="C32" s="603">
        <v>1932.9</v>
      </c>
      <c r="D32" s="604">
        <v>1.5</v>
      </c>
      <c r="E32" s="604">
        <v>4</v>
      </c>
    </row>
    <row r="33" spans="1:7" ht="16.5" customHeight="1" x14ac:dyDescent="0.3">
      <c r="A33" s="602">
        <v>3</v>
      </c>
      <c r="B33" s="603">
        <v>51420736</v>
      </c>
      <c r="C33" s="603">
        <v>1958.2</v>
      </c>
      <c r="D33" s="604">
        <v>1.5</v>
      </c>
      <c r="E33" s="604">
        <v>4</v>
      </c>
    </row>
    <row r="34" spans="1:7" ht="16.5" customHeight="1" x14ac:dyDescent="0.3">
      <c r="A34" s="602">
        <v>4</v>
      </c>
      <c r="B34" s="603">
        <v>51417287</v>
      </c>
      <c r="C34" s="603">
        <v>1914.3</v>
      </c>
      <c r="D34" s="604">
        <v>1.5</v>
      </c>
      <c r="E34" s="604">
        <v>4</v>
      </c>
    </row>
    <row r="35" spans="1:7" ht="16.5" customHeight="1" x14ac:dyDescent="0.3">
      <c r="A35" s="602">
        <v>5</v>
      </c>
      <c r="B35" s="603">
        <v>50799269</v>
      </c>
      <c r="C35" s="603">
        <v>1992.8</v>
      </c>
      <c r="D35" s="604">
        <v>1.5</v>
      </c>
      <c r="E35" s="604">
        <v>4</v>
      </c>
    </row>
    <row r="36" spans="1:7" ht="16.5" customHeight="1" x14ac:dyDescent="0.3">
      <c r="A36" s="602">
        <v>6</v>
      </c>
      <c r="B36" s="606"/>
      <c r="C36" s="606"/>
      <c r="D36" s="607"/>
      <c r="E36" s="607"/>
    </row>
    <row r="37" spans="1:7" ht="16.5" customHeight="1" x14ac:dyDescent="0.3">
      <c r="A37" s="608" t="s">
        <v>17</v>
      </c>
      <c r="B37" s="609">
        <f>AVERAGE(B31:B36)</f>
        <v>51055626.600000001</v>
      </c>
      <c r="C37" s="610">
        <f>AVERAGE(C31:C36)</f>
        <v>1930.7</v>
      </c>
      <c r="D37" s="611">
        <f>AVERAGE(D31:D36)</f>
        <v>1.48</v>
      </c>
      <c r="E37" s="611">
        <f>AVERAGE(E31:E36)</f>
        <v>4</v>
      </c>
    </row>
    <row r="38" spans="1:7" ht="16.5" customHeight="1" x14ac:dyDescent="0.3">
      <c r="A38" s="612" t="s">
        <v>18</v>
      </c>
      <c r="B38" s="613">
        <f>(STDEV(B31:B36)/B37)</f>
        <v>7.7431375881782168E-3</v>
      </c>
      <c r="C38" s="614"/>
      <c r="D38" s="614"/>
      <c r="E38" s="615"/>
    </row>
    <row r="39" spans="1:7" s="591" customFormat="1" ht="16.5" customHeight="1" x14ac:dyDescent="0.3">
      <c r="A39" s="616" t="s">
        <v>19</v>
      </c>
      <c r="B39" s="617">
        <f>COUNT(B31:B36)</f>
        <v>5</v>
      </c>
      <c r="C39" s="618"/>
      <c r="D39" s="619"/>
      <c r="E39" s="620"/>
    </row>
    <row r="40" spans="1:7" s="591" customFormat="1" ht="15.75" customHeight="1" x14ac:dyDescent="0.25">
      <c r="A40" s="596"/>
      <c r="B40" s="596"/>
      <c r="C40" s="596"/>
      <c r="D40" s="596"/>
      <c r="E40" s="596"/>
    </row>
    <row r="41" spans="1:7" s="591" customFormat="1" ht="16.5" customHeight="1" x14ac:dyDescent="0.3">
      <c r="A41" s="597" t="s">
        <v>20</v>
      </c>
      <c r="B41" s="621" t="s">
        <v>134</v>
      </c>
      <c r="C41" s="622"/>
      <c r="D41" s="622"/>
      <c r="E41" s="622"/>
    </row>
    <row r="42" spans="1:7" ht="16.5" customHeight="1" x14ac:dyDescent="0.3">
      <c r="A42" s="597"/>
      <c r="B42" s="621" t="s">
        <v>135</v>
      </c>
      <c r="C42" s="622"/>
      <c r="D42" s="622"/>
      <c r="E42" s="622"/>
    </row>
    <row r="43" spans="1:7" ht="16.5" customHeight="1" x14ac:dyDescent="0.3">
      <c r="A43" s="597"/>
      <c r="B43" s="621" t="s">
        <v>23</v>
      </c>
      <c r="C43" s="622"/>
      <c r="D43" s="622"/>
      <c r="E43" s="622"/>
    </row>
    <row r="44" spans="1:7" ht="14.25" customHeight="1" thickBot="1" x14ac:dyDescent="0.3">
      <c r="A44" s="623"/>
      <c r="B44" s="624"/>
      <c r="D44" s="625"/>
      <c r="F44" s="626"/>
      <c r="G44" s="626"/>
    </row>
    <row r="45" spans="1:7" ht="15" customHeight="1" x14ac:dyDescent="0.3">
      <c r="B45" s="634" t="s">
        <v>25</v>
      </c>
      <c r="C45" s="634"/>
      <c r="E45" s="627" t="s">
        <v>26</v>
      </c>
      <c r="F45" s="628"/>
      <c r="G45" s="627" t="s">
        <v>27</v>
      </c>
    </row>
    <row r="46" spans="1:7" ht="15" customHeight="1" x14ac:dyDescent="0.3">
      <c r="A46" s="629" t="s">
        <v>28</v>
      </c>
      <c r="B46" s="630"/>
      <c r="C46" s="630"/>
      <c r="E46" s="630"/>
      <c r="G46" s="630"/>
    </row>
    <row r="47" spans="1:7" ht="15" customHeight="1" x14ac:dyDescent="0.3">
      <c r="A47" s="629" t="s">
        <v>29</v>
      </c>
      <c r="B47" s="631"/>
      <c r="C47" s="631"/>
      <c r="E47" s="631"/>
      <c r="G47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626"/>
  </cols>
  <sheetData>
    <row r="1" spans="1:5" ht="18.75" customHeight="1" x14ac:dyDescent="0.3">
      <c r="A1" s="633" t="s">
        <v>0</v>
      </c>
      <c r="B1" s="633"/>
      <c r="C1" s="633"/>
      <c r="D1" s="633"/>
      <c r="E1" s="633"/>
    </row>
    <row r="2" spans="1:5" ht="16.5" customHeight="1" x14ac:dyDescent="0.3">
      <c r="A2" s="592" t="s">
        <v>1</v>
      </c>
      <c r="B2" s="593" t="s">
        <v>2</v>
      </c>
    </row>
    <row r="3" spans="1:5" ht="16.5" customHeight="1" x14ac:dyDescent="0.3">
      <c r="A3" s="594" t="s">
        <v>3</v>
      </c>
      <c r="B3" s="594" t="s">
        <v>133</v>
      </c>
      <c r="D3" s="595"/>
      <c r="E3" s="596"/>
    </row>
    <row r="4" spans="1:5" ht="16.5" customHeight="1" x14ac:dyDescent="0.3">
      <c r="A4" s="597" t="s">
        <v>4</v>
      </c>
      <c r="B4" s="594" t="s">
        <v>127</v>
      </c>
      <c r="C4" s="596"/>
      <c r="D4" s="596"/>
      <c r="E4" s="596"/>
    </row>
    <row r="5" spans="1:5" ht="16.5" customHeight="1" x14ac:dyDescent="0.3">
      <c r="A5" s="597" t="s">
        <v>6</v>
      </c>
      <c r="B5" s="598">
        <v>98.8</v>
      </c>
      <c r="C5" s="596"/>
      <c r="D5" s="596"/>
      <c r="E5" s="596"/>
    </row>
    <row r="6" spans="1:5" ht="16.5" customHeight="1" x14ac:dyDescent="0.3">
      <c r="A6" s="594" t="s">
        <v>8</v>
      </c>
      <c r="B6" s="598">
        <v>22.96</v>
      </c>
      <c r="C6" s="596"/>
      <c r="D6" s="596"/>
      <c r="E6" s="596"/>
    </row>
    <row r="7" spans="1:5" ht="16.5" customHeight="1" x14ac:dyDescent="0.3">
      <c r="A7" s="594" t="s">
        <v>10</v>
      </c>
      <c r="B7" s="599">
        <f>B6/50*10/25</f>
        <v>0.18367999999999998</v>
      </c>
      <c r="C7" s="596"/>
      <c r="D7" s="596"/>
      <c r="E7" s="596"/>
    </row>
    <row r="8" spans="1:5" ht="15.75" customHeight="1" x14ac:dyDescent="0.25">
      <c r="A8" s="596"/>
      <c r="B8" s="596"/>
      <c r="C8" s="596"/>
      <c r="D8" s="596"/>
      <c r="E8" s="596"/>
    </row>
    <row r="9" spans="1:5" ht="16.5" customHeight="1" x14ac:dyDescent="0.3">
      <c r="A9" s="600" t="s">
        <v>12</v>
      </c>
      <c r="B9" s="601" t="s">
        <v>13</v>
      </c>
      <c r="C9" s="600" t="s">
        <v>14</v>
      </c>
      <c r="D9" s="600" t="s">
        <v>15</v>
      </c>
      <c r="E9" s="600" t="s">
        <v>16</v>
      </c>
    </row>
    <row r="10" spans="1:5" ht="16.5" customHeight="1" x14ac:dyDescent="0.3">
      <c r="A10" s="602">
        <v>1</v>
      </c>
      <c r="B10" s="603">
        <v>74050937</v>
      </c>
      <c r="C10" s="603">
        <v>43387.5</v>
      </c>
      <c r="D10" s="604">
        <v>1.1000000000000001</v>
      </c>
      <c r="E10" s="605">
        <v>16.399999999999999</v>
      </c>
    </row>
    <row r="11" spans="1:5" ht="16.5" customHeight="1" x14ac:dyDescent="0.3">
      <c r="A11" s="602">
        <v>2</v>
      </c>
      <c r="B11" s="603">
        <v>74082800</v>
      </c>
      <c r="C11" s="603">
        <v>42013.1</v>
      </c>
      <c r="D11" s="604">
        <v>1.1000000000000001</v>
      </c>
      <c r="E11" s="604">
        <v>16.399999999999999</v>
      </c>
    </row>
    <row r="12" spans="1:5" ht="16.5" customHeight="1" x14ac:dyDescent="0.3">
      <c r="A12" s="602">
        <v>3</v>
      </c>
      <c r="B12" s="603">
        <v>74035659</v>
      </c>
      <c r="C12" s="603">
        <v>42333.7</v>
      </c>
      <c r="D12" s="604">
        <v>1.1000000000000001</v>
      </c>
      <c r="E12" s="604">
        <v>16.399999999999999</v>
      </c>
    </row>
    <row r="13" spans="1:5" ht="16.5" customHeight="1" x14ac:dyDescent="0.3">
      <c r="A13" s="602">
        <v>4</v>
      </c>
      <c r="B13" s="603">
        <v>74121658</v>
      </c>
      <c r="C13" s="603">
        <v>41231.199999999997</v>
      </c>
      <c r="D13" s="604">
        <v>1.1000000000000001</v>
      </c>
      <c r="E13" s="604">
        <v>16.399999999999999</v>
      </c>
    </row>
    <row r="14" spans="1:5" ht="16.5" customHeight="1" x14ac:dyDescent="0.3">
      <c r="A14" s="602">
        <v>5</v>
      </c>
      <c r="B14" s="603">
        <v>74167837</v>
      </c>
      <c r="C14" s="603">
        <v>41066.300000000003</v>
      </c>
      <c r="D14" s="604">
        <v>1.1000000000000001</v>
      </c>
      <c r="E14" s="604">
        <v>16.399999999999999</v>
      </c>
    </row>
    <row r="15" spans="1:5" ht="16.5" customHeight="1" x14ac:dyDescent="0.3">
      <c r="A15" s="602">
        <v>6</v>
      </c>
      <c r="B15" s="606">
        <v>73979909</v>
      </c>
      <c r="C15" s="606">
        <v>40909</v>
      </c>
      <c r="D15" s="607">
        <v>1.1000000000000001</v>
      </c>
      <c r="E15" s="607">
        <v>16.399999999999999</v>
      </c>
    </row>
    <row r="16" spans="1:5" ht="16.5" customHeight="1" x14ac:dyDescent="0.3">
      <c r="A16" s="608" t="s">
        <v>17</v>
      </c>
      <c r="B16" s="609">
        <f>AVERAGE(B10:B15)</f>
        <v>74073133.333333328</v>
      </c>
      <c r="C16" s="610">
        <f>AVERAGE(C10:C15)</f>
        <v>41823.466666666667</v>
      </c>
      <c r="D16" s="611">
        <f>AVERAGE(D10:D15)</f>
        <v>1.0999999999999999</v>
      </c>
      <c r="E16" s="611">
        <f>AVERAGE(E10:E15)</f>
        <v>16.400000000000002</v>
      </c>
    </row>
    <row r="17" spans="1:5" ht="16.5" customHeight="1" x14ac:dyDescent="0.3">
      <c r="A17" s="612" t="s">
        <v>18</v>
      </c>
      <c r="B17" s="613">
        <f>(STDEV(B10:B15)/B16)</f>
        <v>8.9559472775765448E-4</v>
      </c>
      <c r="C17" s="614"/>
      <c r="D17" s="614"/>
      <c r="E17" s="615"/>
    </row>
    <row r="18" spans="1:5" s="591" customFormat="1" ht="16.5" customHeight="1" x14ac:dyDescent="0.3">
      <c r="A18" s="616" t="s">
        <v>19</v>
      </c>
      <c r="B18" s="617">
        <f>COUNT(B10:B15)</f>
        <v>6</v>
      </c>
      <c r="C18" s="618"/>
      <c r="D18" s="619"/>
      <c r="E18" s="620"/>
    </row>
    <row r="19" spans="1:5" s="591" customFormat="1" ht="15.75" customHeight="1" x14ac:dyDescent="0.25">
      <c r="A19" s="596"/>
      <c r="B19" s="596"/>
      <c r="C19" s="596"/>
      <c r="D19" s="596"/>
      <c r="E19" s="596"/>
    </row>
    <row r="20" spans="1:5" s="591" customFormat="1" ht="16.5" customHeight="1" x14ac:dyDescent="0.3">
      <c r="A20" s="597" t="s">
        <v>20</v>
      </c>
      <c r="B20" s="621" t="s">
        <v>21</v>
      </c>
      <c r="C20" s="622"/>
      <c r="D20" s="622"/>
      <c r="E20" s="622"/>
    </row>
    <row r="21" spans="1:5" ht="16.5" customHeight="1" x14ac:dyDescent="0.3">
      <c r="A21" s="597"/>
      <c r="B21" s="621" t="s">
        <v>22</v>
      </c>
      <c r="C21" s="622"/>
      <c r="D21" s="622"/>
      <c r="E21" s="622"/>
    </row>
    <row r="22" spans="1:5" ht="16.5" customHeight="1" x14ac:dyDescent="0.3">
      <c r="A22" s="597"/>
      <c r="B22" s="621" t="s">
        <v>23</v>
      </c>
      <c r="C22" s="622"/>
      <c r="D22" s="622"/>
      <c r="E22" s="622"/>
    </row>
    <row r="23" spans="1:5" ht="15.75" customHeight="1" x14ac:dyDescent="0.25">
      <c r="A23" s="596"/>
      <c r="B23" s="596"/>
      <c r="C23" s="596"/>
      <c r="D23" s="596"/>
      <c r="E23" s="596"/>
    </row>
    <row r="24" spans="1:5" ht="16.5" customHeight="1" x14ac:dyDescent="0.3">
      <c r="A24" s="592" t="s">
        <v>1</v>
      </c>
      <c r="B24" s="593" t="s">
        <v>24</v>
      </c>
    </row>
    <row r="25" spans="1:5" ht="16.5" customHeight="1" x14ac:dyDescent="0.3">
      <c r="A25" s="597" t="s">
        <v>4</v>
      </c>
      <c r="B25" s="594" t="s">
        <v>127</v>
      </c>
      <c r="C25" s="596"/>
      <c r="D25" s="596"/>
      <c r="E25" s="596"/>
    </row>
    <row r="26" spans="1:5" ht="16.5" customHeight="1" x14ac:dyDescent="0.3">
      <c r="A26" s="597" t="s">
        <v>6</v>
      </c>
      <c r="B26" s="598">
        <v>99.8</v>
      </c>
      <c r="C26" s="596"/>
      <c r="D26" s="596"/>
      <c r="E26" s="596"/>
    </row>
    <row r="27" spans="1:5" ht="16.5" customHeight="1" x14ac:dyDescent="0.3">
      <c r="A27" s="594" t="s">
        <v>8</v>
      </c>
      <c r="B27" s="598">
        <v>13.4</v>
      </c>
      <c r="C27" s="596"/>
      <c r="D27" s="596"/>
      <c r="E27" s="596"/>
    </row>
    <row r="28" spans="1:5" ht="16.5" customHeight="1" x14ac:dyDescent="0.3">
      <c r="A28" s="594" t="s">
        <v>10</v>
      </c>
      <c r="B28" s="599">
        <v>0.3</v>
      </c>
      <c r="C28" s="596"/>
      <c r="D28" s="596"/>
      <c r="E28" s="596"/>
    </row>
    <row r="29" spans="1:5" ht="15.75" customHeight="1" x14ac:dyDescent="0.25">
      <c r="A29" s="596"/>
      <c r="B29" s="596"/>
      <c r="C29" s="596"/>
      <c r="D29" s="596"/>
      <c r="E29" s="596"/>
    </row>
    <row r="30" spans="1:5" ht="16.5" customHeight="1" x14ac:dyDescent="0.3">
      <c r="A30" s="600" t="s">
        <v>12</v>
      </c>
      <c r="B30" s="601" t="s">
        <v>13</v>
      </c>
      <c r="C30" s="600" t="s">
        <v>14</v>
      </c>
      <c r="D30" s="600" t="s">
        <v>15</v>
      </c>
      <c r="E30" s="600" t="s">
        <v>16</v>
      </c>
    </row>
    <row r="31" spans="1:5" ht="16.5" customHeight="1" x14ac:dyDescent="0.3">
      <c r="A31" s="602">
        <v>1</v>
      </c>
      <c r="B31" s="603">
        <v>28472934</v>
      </c>
      <c r="C31" s="603">
        <v>25676</v>
      </c>
      <c r="D31" s="604">
        <v>1.5</v>
      </c>
      <c r="E31" s="605">
        <v>10.1</v>
      </c>
    </row>
    <row r="32" spans="1:5" ht="16.5" customHeight="1" x14ac:dyDescent="0.3">
      <c r="A32" s="602">
        <v>2</v>
      </c>
      <c r="B32" s="603">
        <v>28140184</v>
      </c>
      <c r="C32" s="603">
        <v>23716.7</v>
      </c>
      <c r="D32" s="604">
        <v>1.5</v>
      </c>
      <c r="E32" s="604">
        <v>10</v>
      </c>
    </row>
    <row r="33" spans="1:7" ht="16.5" customHeight="1" x14ac:dyDescent="0.3">
      <c r="A33" s="602">
        <v>3</v>
      </c>
      <c r="B33" s="603">
        <v>28741023</v>
      </c>
      <c r="C33" s="603">
        <v>25494.2</v>
      </c>
      <c r="D33" s="604">
        <v>1.5</v>
      </c>
      <c r="E33" s="604">
        <v>10.1</v>
      </c>
    </row>
    <row r="34" spans="1:7" ht="16.5" customHeight="1" x14ac:dyDescent="0.3">
      <c r="A34" s="602">
        <v>4</v>
      </c>
      <c r="B34" s="603">
        <v>28627743</v>
      </c>
      <c r="C34" s="603">
        <v>24569.7</v>
      </c>
      <c r="D34" s="604">
        <v>1.5</v>
      </c>
      <c r="E34" s="604">
        <v>10.1</v>
      </c>
    </row>
    <row r="35" spans="1:7" ht="16.5" customHeight="1" x14ac:dyDescent="0.3">
      <c r="A35" s="602">
        <v>5</v>
      </c>
      <c r="B35" s="603">
        <v>28461409</v>
      </c>
      <c r="C35" s="603">
        <v>24975.5</v>
      </c>
      <c r="D35" s="604">
        <v>1.6</v>
      </c>
      <c r="E35" s="604">
        <v>10.1</v>
      </c>
    </row>
    <row r="36" spans="1:7" ht="16.5" customHeight="1" x14ac:dyDescent="0.3">
      <c r="A36" s="602">
        <v>6</v>
      </c>
      <c r="B36" s="606"/>
      <c r="C36" s="606"/>
      <c r="D36" s="607"/>
      <c r="E36" s="607"/>
    </row>
    <row r="37" spans="1:7" ht="16.5" customHeight="1" x14ac:dyDescent="0.3">
      <c r="A37" s="608" t="s">
        <v>17</v>
      </c>
      <c r="B37" s="609">
        <f>AVERAGE(B31:B36)</f>
        <v>28488658.600000001</v>
      </c>
      <c r="C37" s="610">
        <f>AVERAGE(C31:C36)</f>
        <v>24886.42</v>
      </c>
      <c r="D37" s="611">
        <f>AVERAGE(D31:D36)</f>
        <v>1.52</v>
      </c>
      <c r="E37" s="611">
        <f>AVERAGE(E31:E36)</f>
        <v>10.080000000000002</v>
      </c>
    </row>
    <row r="38" spans="1:7" ht="16.5" customHeight="1" x14ac:dyDescent="0.3">
      <c r="A38" s="612" t="s">
        <v>18</v>
      </c>
      <c r="B38" s="613">
        <f>(STDEV(B31:B36)/B37)</f>
        <v>7.9553275151953359E-3</v>
      </c>
      <c r="C38" s="614"/>
      <c r="D38" s="614"/>
      <c r="E38" s="615"/>
    </row>
    <row r="39" spans="1:7" s="591" customFormat="1" ht="16.5" customHeight="1" x14ac:dyDescent="0.3">
      <c r="A39" s="616" t="s">
        <v>19</v>
      </c>
      <c r="B39" s="617">
        <f>COUNT(B31:B36)</f>
        <v>5</v>
      </c>
      <c r="C39" s="618"/>
      <c r="D39" s="619"/>
      <c r="E39" s="620"/>
    </row>
    <row r="40" spans="1:7" s="591" customFormat="1" ht="15.75" customHeight="1" x14ac:dyDescent="0.25">
      <c r="A40" s="596"/>
      <c r="B40" s="596"/>
      <c r="C40" s="596"/>
      <c r="D40" s="596"/>
      <c r="E40" s="596"/>
    </row>
    <row r="41" spans="1:7" s="591" customFormat="1" ht="16.5" customHeight="1" x14ac:dyDescent="0.3">
      <c r="A41" s="597" t="s">
        <v>20</v>
      </c>
      <c r="B41" s="621" t="s">
        <v>134</v>
      </c>
      <c r="C41" s="622"/>
      <c r="D41" s="622"/>
      <c r="E41" s="622"/>
    </row>
    <row r="42" spans="1:7" ht="16.5" customHeight="1" x14ac:dyDescent="0.3">
      <c r="A42" s="597"/>
      <c r="B42" s="621" t="s">
        <v>22</v>
      </c>
      <c r="C42" s="622"/>
      <c r="D42" s="622"/>
      <c r="E42" s="622"/>
    </row>
    <row r="43" spans="1:7" ht="16.5" customHeight="1" x14ac:dyDescent="0.3">
      <c r="A43" s="597"/>
      <c r="B43" s="621" t="s">
        <v>23</v>
      </c>
      <c r="C43" s="622"/>
      <c r="D43" s="622"/>
      <c r="E43" s="622"/>
    </row>
    <row r="44" spans="1:7" ht="14.25" customHeight="1" thickBot="1" x14ac:dyDescent="0.3">
      <c r="A44" s="623"/>
      <c r="B44" s="624"/>
      <c r="D44" s="625"/>
      <c r="F44" s="626"/>
      <c r="G44" s="626"/>
    </row>
    <row r="45" spans="1:7" ht="15" customHeight="1" x14ac:dyDescent="0.3">
      <c r="B45" s="634" t="s">
        <v>25</v>
      </c>
      <c r="C45" s="634"/>
      <c r="E45" s="627" t="s">
        <v>26</v>
      </c>
      <c r="F45" s="628"/>
      <c r="G45" s="627" t="s">
        <v>27</v>
      </c>
    </row>
    <row r="46" spans="1:7" ht="15" customHeight="1" x14ac:dyDescent="0.3">
      <c r="A46" s="629" t="s">
        <v>28</v>
      </c>
      <c r="B46" s="630"/>
      <c r="C46" s="630"/>
      <c r="E46" s="630"/>
      <c r="G46" s="630"/>
    </row>
    <row r="47" spans="1:7" ht="15" customHeight="1" x14ac:dyDescent="0.3">
      <c r="A47" s="629" t="s">
        <v>29</v>
      </c>
      <c r="B47" s="631"/>
      <c r="C47" s="631"/>
      <c r="E47" s="631"/>
      <c r="G47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626"/>
  </cols>
  <sheetData>
    <row r="1" spans="1:5" ht="18.75" customHeight="1" x14ac:dyDescent="0.3">
      <c r="A1" s="633" t="s">
        <v>0</v>
      </c>
      <c r="B1" s="633"/>
      <c r="C1" s="633"/>
      <c r="D1" s="633"/>
      <c r="E1" s="633"/>
    </row>
    <row r="2" spans="1:5" ht="16.5" customHeight="1" x14ac:dyDescent="0.3">
      <c r="A2" s="592" t="s">
        <v>1</v>
      </c>
      <c r="B2" s="593" t="s">
        <v>2</v>
      </c>
    </row>
    <row r="3" spans="1:5" ht="16.5" customHeight="1" x14ac:dyDescent="0.3">
      <c r="A3" s="594" t="s">
        <v>3</v>
      </c>
      <c r="B3" s="594" t="s">
        <v>133</v>
      </c>
      <c r="D3" s="595"/>
      <c r="E3" s="596"/>
    </row>
    <row r="4" spans="1:5" ht="16.5" customHeight="1" x14ac:dyDescent="0.3">
      <c r="A4" s="597" t="s">
        <v>4</v>
      </c>
      <c r="B4" s="594" t="s">
        <v>129</v>
      </c>
      <c r="C4" s="596"/>
      <c r="D4" s="596"/>
      <c r="E4" s="596"/>
    </row>
    <row r="5" spans="1:5" ht="16.5" customHeight="1" x14ac:dyDescent="0.3">
      <c r="A5" s="597" t="s">
        <v>6</v>
      </c>
      <c r="B5" s="598">
        <v>99.8</v>
      </c>
      <c r="C5" s="596"/>
      <c r="D5" s="596"/>
      <c r="E5" s="596"/>
    </row>
    <row r="6" spans="1:5" ht="16.5" customHeight="1" x14ac:dyDescent="0.3">
      <c r="A6" s="594" t="s">
        <v>8</v>
      </c>
      <c r="B6" s="598">
        <v>33.47</v>
      </c>
      <c r="C6" s="596"/>
      <c r="D6" s="596"/>
      <c r="E6" s="596"/>
    </row>
    <row r="7" spans="1:5" ht="16.5" customHeight="1" x14ac:dyDescent="0.3">
      <c r="A7" s="594" t="s">
        <v>10</v>
      </c>
      <c r="B7" s="599">
        <f>B6/50*10/25</f>
        <v>0.26776</v>
      </c>
      <c r="C7" s="596"/>
      <c r="D7" s="596"/>
      <c r="E7" s="596"/>
    </row>
    <row r="8" spans="1:5" ht="15.75" customHeight="1" x14ac:dyDescent="0.25">
      <c r="A8" s="596"/>
      <c r="B8" s="596"/>
      <c r="C8" s="596"/>
      <c r="D8" s="596"/>
      <c r="E8" s="596"/>
    </row>
    <row r="9" spans="1:5" ht="16.5" customHeight="1" x14ac:dyDescent="0.3">
      <c r="A9" s="600" t="s">
        <v>12</v>
      </c>
      <c r="B9" s="601" t="s">
        <v>13</v>
      </c>
      <c r="C9" s="600" t="s">
        <v>14</v>
      </c>
      <c r="D9" s="600" t="s">
        <v>15</v>
      </c>
      <c r="E9" s="600" t="s">
        <v>16</v>
      </c>
    </row>
    <row r="10" spans="1:5" ht="16.5" customHeight="1" x14ac:dyDescent="0.3">
      <c r="A10" s="602">
        <v>1</v>
      </c>
      <c r="B10" s="603">
        <v>21418983</v>
      </c>
      <c r="C10" s="603">
        <v>671719.8</v>
      </c>
      <c r="D10" s="604">
        <v>1.1000000000000001</v>
      </c>
      <c r="E10" s="605">
        <v>25.3</v>
      </c>
    </row>
    <row r="11" spans="1:5" ht="16.5" customHeight="1" x14ac:dyDescent="0.3">
      <c r="A11" s="602">
        <v>2</v>
      </c>
      <c r="B11" s="603">
        <v>21481577</v>
      </c>
      <c r="C11" s="603">
        <v>672171.2</v>
      </c>
      <c r="D11" s="604">
        <v>1.1000000000000001</v>
      </c>
      <c r="E11" s="604">
        <v>25.3</v>
      </c>
    </row>
    <row r="12" spans="1:5" ht="16.5" customHeight="1" x14ac:dyDescent="0.3">
      <c r="A12" s="602">
        <v>3</v>
      </c>
      <c r="B12" s="603">
        <v>21618817</v>
      </c>
      <c r="C12" s="603">
        <v>673229.5</v>
      </c>
      <c r="D12" s="604">
        <v>1</v>
      </c>
      <c r="E12" s="604">
        <v>25.3</v>
      </c>
    </row>
    <row r="13" spans="1:5" ht="16.5" customHeight="1" x14ac:dyDescent="0.3">
      <c r="A13" s="602">
        <v>4</v>
      </c>
      <c r="B13" s="603">
        <v>21634775</v>
      </c>
      <c r="C13" s="603">
        <v>668715.4</v>
      </c>
      <c r="D13" s="604">
        <v>1.1000000000000001</v>
      </c>
      <c r="E13" s="604">
        <v>25.3</v>
      </c>
    </row>
    <row r="14" spans="1:5" ht="16.5" customHeight="1" x14ac:dyDescent="0.3">
      <c r="A14" s="602">
        <v>5</v>
      </c>
      <c r="B14" s="603">
        <v>21686457</v>
      </c>
      <c r="C14" s="603">
        <v>668737.4</v>
      </c>
      <c r="D14" s="604">
        <v>1.1000000000000001</v>
      </c>
      <c r="E14" s="604">
        <v>25.3</v>
      </c>
    </row>
    <row r="15" spans="1:5" ht="16.5" customHeight="1" x14ac:dyDescent="0.3">
      <c r="A15" s="602">
        <v>6</v>
      </c>
      <c r="B15" s="606">
        <v>21660630</v>
      </c>
      <c r="C15" s="606">
        <v>669817.59999999998</v>
      </c>
      <c r="D15" s="607">
        <v>1.1000000000000001</v>
      </c>
      <c r="E15" s="607">
        <v>25.3</v>
      </c>
    </row>
    <row r="16" spans="1:5" ht="16.5" customHeight="1" x14ac:dyDescent="0.3">
      <c r="A16" s="608" t="s">
        <v>17</v>
      </c>
      <c r="B16" s="609">
        <f>AVERAGE(B10:B15)</f>
        <v>21583539.833333332</v>
      </c>
      <c r="C16" s="610">
        <f>AVERAGE(C10:C15)</f>
        <v>670731.81666666665</v>
      </c>
      <c r="D16" s="611">
        <f>AVERAGE(D10:D15)</f>
        <v>1.0833333333333333</v>
      </c>
      <c r="E16" s="611">
        <f>AVERAGE(E10:E15)</f>
        <v>25.3</v>
      </c>
    </row>
    <row r="17" spans="1:5" ht="16.5" customHeight="1" x14ac:dyDescent="0.3">
      <c r="A17" s="612" t="s">
        <v>18</v>
      </c>
      <c r="B17" s="613">
        <f>(STDEV(B10:B15)/B16)</f>
        <v>4.9848898649137892E-3</v>
      </c>
      <c r="C17" s="614"/>
      <c r="D17" s="614"/>
      <c r="E17" s="615"/>
    </row>
    <row r="18" spans="1:5" s="591" customFormat="1" ht="16.5" customHeight="1" x14ac:dyDescent="0.3">
      <c r="A18" s="616" t="s">
        <v>19</v>
      </c>
      <c r="B18" s="617">
        <f>COUNT(B10:B15)</f>
        <v>6</v>
      </c>
      <c r="C18" s="618"/>
      <c r="D18" s="619"/>
      <c r="E18" s="620"/>
    </row>
    <row r="19" spans="1:5" s="591" customFormat="1" ht="15.75" customHeight="1" x14ac:dyDescent="0.25">
      <c r="A19" s="596"/>
      <c r="B19" s="596"/>
      <c r="C19" s="596"/>
      <c r="D19" s="596"/>
      <c r="E19" s="596"/>
    </row>
    <row r="20" spans="1:5" s="591" customFormat="1" ht="16.5" customHeight="1" x14ac:dyDescent="0.3">
      <c r="A20" s="597" t="s">
        <v>20</v>
      </c>
      <c r="B20" s="621" t="s">
        <v>21</v>
      </c>
      <c r="C20" s="622"/>
      <c r="D20" s="622"/>
      <c r="E20" s="622"/>
    </row>
    <row r="21" spans="1:5" ht="16.5" customHeight="1" x14ac:dyDescent="0.3">
      <c r="A21" s="597"/>
      <c r="B21" s="621" t="s">
        <v>22</v>
      </c>
      <c r="C21" s="622"/>
      <c r="D21" s="622"/>
      <c r="E21" s="622"/>
    </row>
    <row r="22" spans="1:5" ht="16.5" customHeight="1" x14ac:dyDescent="0.3">
      <c r="A22" s="597"/>
      <c r="B22" s="621" t="s">
        <v>23</v>
      </c>
      <c r="C22" s="622"/>
      <c r="D22" s="622"/>
      <c r="E22" s="622"/>
    </row>
    <row r="23" spans="1:5" ht="15.75" customHeight="1" x14ac:dyDescent="0.25">
      <c r="A23" s="596"/>
      <c r="B23" s="596"/>
      <c r="C23" s="596"/>
      <c r="D23" s="596"/>
      <c r="E23" s="596"/>
    </row>
    <row r="24" spans="1:5" ht="16.5" customHeight="1" x14ac:dyDescent="0.3">
      <c r="A24" s="592" t="s">
        <v>1</v>
      </c>
      <c r="B24" s="593" t="s">
        <v>24</v>
      </c>
    </row>
    <row r="25" spans="1:5" ht="16.5" customHeight="1" x14ac:dyDescent="0.3">
      <c r="A25" s="597" t="s">
        <v>4</v>
      </c>
      <c r="B25" s="594" t="str">
        <f>B4</f>
        <v>Efavirenz</v>
      </c>
      <c r="C25" s="596"/>
      <c r="D25" s="596"/>
      <c r="E25" s="596"/>
    </row>
    <row r="26" spans="1:5" ht="16.5" customHeight="1" x14ac:dyDescent="0.3">
      <c r="A26" s="597" t="s">
        <v>6</v>
      </c>
      <c r="B26" s="598">
        <v>99.3</v>
      </c>
      <c r="C26" s="596"/>
      <c r="D26" s="596"/>
      <c r="E26" s="596"/>
    </row>
    <row r="27" spans="1:5" ht="16.5" customHeight="1" x14ac:dyDescent="0.3">
      <c r="A27" s="594" t="s">
        <v>8</v>
      </c>
      <c r="B27" s="598">
        <v>29.13</v>
      </c>
      <c r="C27" s="596"/>
      <c r="D27" s="596"/>
      <c r="E27" s="596"/>
    </row>
    <row r="28" spans="1:5" ht="16.5" customHeight="1" x14ac:dyDescent="0.3">
      <c r="A28" s="594" t="s">
        <v>10</v>
      </c>
      <c r="B28" s="599">
        <v>0.6</v>
      </c>
      <c r="C28" s="596"/>
      <c r="D28" s="596"/>
      <c r="E28" s="596"/>
    </row>
    <row r="29" spans="1:5" ht="15.75" customHeight="1" x14ac:dyDescent="0.25">
      <c r="A29" s="596"/>
      <c r="B29" s="596"/>
      <c r="C29" s="596"/>
      <c r="D29" s="596"/>
      <c r="E29" s="596"/>
    </row>
    <row r="30" spans="1:5" ht="16.5" customHeight="1" x14ac:dyDescent="0.3">
      <c r="A30" s="600" t="s">
        <v>12</v>
      </c>
      <c r="B30" s="601" t="s">
        <v>13</v>
      </c>
      <c r="C30" s="600" t="s">
        <v>14</v>
      </c>
      <c r="D30" s="600" t="s">
        <v>15</v>
      </c>
      <c r="E30" s="600" t="s">
        <v>16</v>
      </c>
    </row>
    <row r="31" spans="1:5" ht="16.5" customHeight="1" x14ac:dyDescent="0.3">
      <c r="A31" s="602">
        <v>1</v>
      </c>
      <c r="B31" s="603">
        <v>116906549</v>
      </c>
      <c r="C31" s="603">
        <v>71114.3</v>
      </c>
      <c r="D31" s="604">
        <v>1.3</v>
      </c>
      <c r="E31" s="605">
        <v>13.4</v>
      </c>
    </row>
    <row r="32" spans="1:5" ht="16.5" customHeight="1" x14ac:dyDescent="0.3">
      <c r="A32" s="602">
        <v>2</v>
      </c>
      <c r="B32" s="603">
        <v>115890996</v>
      </c>
      <c r="C32" s="603">
        <v>69132.7</v>
      </c>
      <c r="D32" s="604">
        <v>1.3</v>
      </c>
      <c r="E32" s="604">
        <v>13.4</v>
      </c>
    </row>
    <row r="33" spans="1:7" ht="16.5" customHeight="1" x14ac:dyDescent="0.3">
      <c r="A33" s="602">
        <v>3</v>
      </c>
      <c r="B33" s="603">
        <v>117929424</v>
      </c>
      <c r="C33" s="603">
        <v>69071.7</v>
      </c>
      <c r="D33" s="604">
        <v>1.3</v>
      </c>
      <c r="E33" s="604">
        <v>13.4</v>
      </c>
    </row>
    <row r="34" spans="1:7" ht="16.5" customHeight="1" x14ac:dyDescent="0.3">
      <c r="A34" s="602">
        <v>4</v>
      </c>
      <c r="B34" s="603">
        <v>117805970</v>
      </c>
      <c r="C34" s="603">
        <v>70750.899999999994</v>
      </c>
      <c r="D34" s="604">
        <v>1.3</v>
      </c>
      <c r="E34" s="604">
        <v>13.4</v>
      </c>
    </row>
    <row r="35" spans="1:7" ht="16.5" customHeight="1" x14ac:dyDescent="0.3">
      <c r="A35" s="602">
        <v>5</v>
      </c>
      <c r="B35" s="603">
        <v>116962945</v>
      </c>
      <c r="C35" s="603">
        <v>68281.899999999994</v>
      </c>
      <c r="D35" s="604">
        <v>1.3</v>
      </c>
      <c r="E35" s="604">
        <v>13.4</v>
      </c>
    </row>
    <row r="36" spans="1:7" ht="16.5" customHeight="1" x14ac:dyDescent="0.3">
      <c r="A36" s="602">
        <v>6</v>
      </c>
      <c r="B36" s="606"/>
      <c r="C36" s="606"/>
      <c r="D36" s="607"/>
      <c r="E36" s="607"/>
    </row>
    <row r="37" spans="1:7" ht="16.5" customHeight="1" x14ac:dyDescent="0.3">
      <c r="A37" s="608" t="s">
        <v>17</v>
      </c>
      <c r="B37" s="609">
        <f>AVERAGE(B31:B36)</f>
        <v>117099176.8</v>
      </c>
      <c r="C37" s="610">
        <f>AVERAGE(C31:C36)</f>
        <v>69670.3</v>
      </c>
      <c r="D37" s="611">
        <f>AVERAGE(D31:D36)</f>
        <v>1.3</v>
      </c>
      <c r="E37" s="611">
        <f>AVERAGE(E31:E36)</f>
        <v>13.4</v>
      </c>
    </row>
    <row r="38" spans="1:7" ht="16.5" customHeight="1" x14ac:dyDescent="0.3">
      <c r="A38" s="612" t="s">
        <v>18</v>
      </c>
      <c r="B38" s="613">
        <f>(STDEV(B31:B36)/B37)</f>
        <v>7.0216337524192634E-3</v>
      </c>
      <c r="C38" s="614"/>
      <c r="D38" s="614"/>
      <c r="E38" s="615"/>
    </row>
    <row r="39" spans="1:7" s="591" customFormat="1" ht="16.5" customHeight="1" x14ac:dyDescent="0.3">
      <c r="A39" s="616" t="s">
        <v>19</v>
      </c>
      <c r="B39" s="617">
        <f>COUNT(B31:B36)</f>
        <v>5</v>
      </c>
      <c r="C39" s="618"/>
      <c r="D39" s="619"/>
      <c r="E39" s="620"/>
    </row>
    <row r="40" spans="1:7" s="591" customFormat="1" ht="15.75" customHeight="1" x14ac:dyDescent="0.25">
      <c r="A40" s="596"/>
      <c r="B40" s="596"/>
      <c r="C40" s="596"/>
      <c r="D40" s="596"/>
      <c r="E40" s="596"/>
    </row>
    <row r="41" spans="1:7" s="591" customFormat="1" ht="16.5" customHeight="1" x14ac:dyDescent="0.3">
      <c r="A41" s="597" t="s">
        <v>20</v>
      </c>
      <c r="B41" s="621" t="s">
        <v>134</v>
      </c>
      <c r="C41" s="622"/>
      <c r="D41" s="622"/>
      <c r="E41" s="622"/>
    </row>
    <row r="42" spans="1:7" ht="16.5" customHeight="1" x14ac:dyDescent="0.3">
      <c r="A42" s="597"/>
      <c r="B42" s="621" t="s">
        <v>135</v>
      </c>
      <c r="C42" s="622"/>
      <c r="D42" s="622"/>
      <c r="E42" s="622"/>
    </row>
    <row r="43" spans="1:7" ht="16.5" customHeight="1" x14ac:dyDescent="0.3">
      <c r="A43" s="597"/>
      <c r="B43" s="621" t="s">
        <v>23</v>
      </c>
      <c r="C43" s="622"/>
      <c r="D43" s="622"/>
      <c r="E43" s="622"/>
    </row>
    <row r="44" spans="1:7" ht="14.25" customHeight="1" thickBot="1" x14ac:dyDescent="0.3">
      <c r="A44" s="623"/>
      <c r="B44" s="624"/>
      <c r="D44" s="625"/>
      <c r="F44" s="626"/>
      <c r="G44" s="626"/>
    </row>
    <row r="45" spans="1:7" ht="15" customHeight="1" x14ac:dyDescent="0.3">
      <c r="B45" s="634" t="s">
        <v>25</v>
      </c>
      <c r="C45" s="634"/>
      <c r="E45" s="627" t="s">
        <v>26</v>
      </c>
      <c r="F45" s="628"/>
      <c r="G45" s="627" t="s">
        <v>27</v>
      </c>
    </row>
    <row r="46" spans="1:7" ht="15" customHeight="1" x14ac:dyDescent="0.3">
      <c r="A46" s="629" t="s">
        <v>28</v>
      </c>
      <c r="B46" s="630"/>
      <c r="C46" s="630"/>
      <c r="E46" s="630"/>
      <c r="G46" s="630"/>
    </row>
    <row r="47" spans="1:7" ht="15" customHeight="1" x14ac:dyDescent="0.3">
      <c r="A47" s="629" t="s">
        <v>29</v>
      </c>
      <c r="B47" s="631"/>
      <c r="C47" s="631"/>
      <c r="E47" s="631"/>
      <c r="G47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638" t="s">
        <v>30</v>
      </c>
      <c r="B1" s="639"/>
      <c r="C1" s="639"/>
      <c r="D1" s="639"/>
      <c r="E1" s="639"/>
      <c r="F1" s="640"/>
      <c r="G1" s="42"/>
    </row>
    <row r="2" spans="1:7" ht="16.5" customHeight="1" x14ac:dyDescent="0.3">
      <c r="A2" s="637" t="s">
        <v>31</v>
      </c>
      <c r="B2" s="637"/>
      <c r="C2" s="637"/>
      <c r="D2" s="637"/>
      <c r="E2" s="637"/>
      <c r="F2" s="637"/>
      <c r="G2" s="41"/>
    </row>
    <row r="4" spans="1:7" ht="16.5" customHeight="1" x14ac:dyDescent="0.3">
      <c r="A4" s="642" t="s">
        <v>32</v>
      </c>
      <c r="B4" s="642"/>
      <c r="C4" s="12" t="s">
        <v>5</v>
      </c>
    </row>
    <row r="5" spans="1:7" ht="16.5" customHeight="1" x14ac:dyDescent="0.3">
      <c r="A5" s="642" t="s">
        <v>33</v>
      </c>
      <c r="B5" s="642"/>
      <c r="C5" s="12" t="s">
        <v>7</v>
      </c>
    </row>
    <row r="6" spans="1:7" ht="16.5" customHeight="1" x14ac:dyDescent="0.3">
      <c r="A6" s="642" t="s">
        <v>34</v>
      </c>
      <c r="B6" s="642"/>
      <c r="C6" s="12" t="s">
        <v>9</v>
      </c>
    </row>
    <row r="7" spans="1:7" ht="16.5" customHeight="1" x14ac:dyDescent="0.3">
      <c r="A7" s="642" t="s">
        <v>35</v>
      </c>
      <c r="B7" s="642"/>
      <c r="C7" s="12" t="s">
        <v>11</v>
      </c>
    </row>
    <row r="8" spans="1:7" ht="16.5" customHeight="1" x14ac:dyDescent="0.3">
      <c r="A8" s="642" t="s">
        <v>36</v>
      </c>
      <c r="B8" s="642"/>
      <c r="C8" s="48">
        <v>42412</v>
      </c>
    </row>
    <row r="9" spans="1:7" ht="16.5" customHeight="1" x14ac:dyDescent="0.3">
      <c r="A9" s="642" t="s">
        <v>37</v>
      </c>
      <c r="B9" s="642"/>
      <c r="C9" s="48">
        <v>42425</v>
      </c>
    </row>
    <row r="10" spans="1:7" ht="16.5" customHeight="1" x14ac:dyDescent="0.3">
      <c r="A10" s="14"/>
      <c r="B10" s="14"/>
      <c r="C10" s="28"/>
    </row>
    <row r="11" spans="1:7" ht="16.5" customHeight="1" x14ac:dyDescent="0.3">
      <c r="A11" s="637" t="s">
        <v>1</v>
      </c>
      <c r="B11" s="637"/>
      <c r="C11" s="11" t="s">
        <v>38</v>
      </c>
      <c r="D11" s="18"/>
    </row>
    <row r="12" spans="1:7" ht="15.75" customHeight="1" x14ac:dyDescent="0.3">
      <c r="A12" s="641"/>
      <c r="B12" s="641"/>
      <c r="C12" s="9"/>
      <c r="D12" s="641"/>
      <c r="E12" s="641"/>
    </row>
    <row r="13" spans="1:7" ht="33.75" customHeight="1" x14ac:dyDescent="0.3">
      <c r="C13" s="37" t="s">
        <v>39</v>
      </c>
      <c r="D13" s="36" t="s">
        <v>40</v>
      </c>
      <c r="E13" s="4"/>
    </row>
    <row r="14" spans="1:7" ht="15.75" customHeight="1" x14ac:dyDescent="0.3">
      <c r="C14" s="46">
        <v>1918.71</v>
      </c>
      <c r="D14" s="38">
        <f t="shared" ref="D14:D33" si="0">(C14-$C$36)/$C$36</f>
        <v>4.8437752852768523E-3</v>
      </c>
      <c r="E14" s="5"/>
    </row>
    <row r="15" spans="1:7" ht="15.75" customHeight="1" x14ac:dyDescent="0.3">
      <c r="C15" s="46">
        <v>1901.04</v>
      </c>
      <c r="D15" s="39">
        <f t="shared" si="0"/>
        <v>-4.4101450618787442E-3</v>
      </c>
      <c r="E15" s="5"/>
    </row>
    <row r="16" spans="1:7" ht="15.75" customHeight="1" x14ac:dyDescent="0.3">
      <c r="C16" s="46">
        <v>1901.44</v>
      </c>
      <c r="D16" s="39">
        <f t="shared" si="0"/>
        <v>-4.2006618621694596E-3</v>
      </c>
      <c r="E16" s="5"/>
    </row>
    <row r="17" spans="3:5" ht="15.75" customHeight="1" x14ac:dyDescent="0.3">
      <c r="C17" s="46">
        <v>1932.08</v>
      </c>
      <c r="D17" s="39">
        <f t="shared" si="0"/>
        <v>1.1845751235558052E-2</v>
      </c>
      <c r="E17" s="5"/>
    </row>
    <row r="18" spans="3:5" ht="15.75" customHeight="1" x14ac:dyDescent="0.3">
      <c r="C18" s="46">
        <v>1908.35</v>
      </c>
      <c r="D18" s="39">
        <f t="shared" si="0"/>
        <v>-5.818395871924609E-4</v>
      </c>
      <c r="E18" s="5"/>
    </row>
    <row r="19" spans="3:5" ht="15.75" customHeight="1" x14ac:dyDescent="0.3">
      <c r="C19" s="46">
        <v>1885.07</v>
      </c>
      <c r="D19" s="39">
        <f t="shared" si="0"/>
        <v>-1.2773761810270059E-2</v>
      </c>
      <c r="E19" s="5"/>
    </row>
    <row r="20" spans="3:5" ht="15.75" customHeight="1" x14ac:dyDescent="0.3">
      <c r="C20" s="46">
        <v>1906.53</v>
      </c>
      <c r="D20" s="39">
        <f t="shared" si="0"/>
        <v>-1.5349881458694575E-3</v>
      </c>
      <c r="E20" s="5"/>
    </row>
    <row r="21" spans="3:5" ht="15.75" customHeight="1" x14ac:dyDescent="0.3">
      <c r="C21" s="46">
        <v>1895.98</v>
      </c>
      <c r="D21" s="39">
        <f t="shared" si="0"/>
        <v>-7.0601075382005678E-3</v>
      </c>
      <c r="E21" s="5"/>
    </row>
    <row r="22" spans="3:5" ht="15.75" customHeight="1" x14ac:dyDescent="0.3">
      <c r="C22" s="46">
        <v>1949.44</v>
      </c>
      <c r="D22" s="39">
        <f t="shared" si="0"/>
        <v>2.093732210293902E-2</v>
      </c>
      <c r="E22" s="5"/>
    </row>
    <row r="23" spans="3:5" ht="15.75" customHeight="1" x14ac:dyDescent="0.3">
      <c r="C23" s="46">
        <v>1905.66</v>
      </c>
      <c r="D23" s="39">
        <f t="shared" si="0"/>
        <v>-1.9906141052369914E-3</v>
      </c>
      <c r="E23" s="5"/>
    </row>
    <row r="24" spans="3:5" ht="15.75" customHeight="1" x14ac:dyDescent="0.3">
      <c r="C24" s="46">
        <v>1904.11</v>
      </c>
      <c r="D24" s="39">
        <f t="shared" si="0"/>
        <v>-2.8023615041103812E-3</v>
      </c>
      <c r="E24" s="5"/>
    </row>
    <row r="25" spans="3:5" ht="15.75" customHeight="1" x14ac:dyDescent="0.3">
      <c r="C25" s="46">
        <v>1899.81</v>
      </c>
      <c r="D25" s="39">
        <f t="shared" si="0"/>
        <v>-5.0543059009846587E-3</v>
      </c>
      <c r="E25" s="5"/>
    </row>
    <row r="26" spans="3:5" ht="15.75" customHeight="1" x14ac:dyDescent="0.3">
      <c r="C26" s="46">
        <v>1910.19</v>
      </c>
      <c r="D26" s="39">
        <f t="shared" si="0"/>
        <v>3.817831314701069E-4</v>
      </c>
      <c r="E26" s="5"/>
    </row>
    <row r="27" spans="3:5" ht="15.75" customHeight="1" x14ac:dyDescent="0.3">
      <c r="C27" s="46">
        <v>1915.93</v>
      </c>
      <c r="D27" s="39">
        <f t="shared" si="0"/>
        <v>3.3878670472976672E-3</v>
      </c>
      <c r="E27" s="5"/>
    </row>
    <row r="28" spans="3:5" ht="15.75" customHeight="1" x14ac:dyDescent="0.3">
      <c r="C28" s="46">
        <v>1938.78</v>
      </c>
      <c r="D28" s="39">
        <f t="shared" si="0"/>
        <v>1.5354594830687801E-2</v>
      </c>
      <c r="E28" s="5"/>
    </row>
    <row r="29" spans="3:5" ht="15.75" customHeight="1" x14ac:dyDescent="0.3">
      <c r="C29" s="46">
        <v>1910.54</v>
      </c>
      <c r="D29" s="39">
        <f t="shared" si="0"/>
        <v>5.6508093121564195E-4</v>
      </c>
      <c r="E29" s="5"/>
    </row>
    <row r="30" spans="3:5" ht="15.75" customHeight="1" x14ac:dyDescent="0.3">
      <c r="C30" s="46">
        <v>1900.65</v>
      </c>
      <c r="D30" s="39">
        <f t="shared" si="0"/>
        <v>-4.614391181595184E-3</v>
      </c>
      <c r="E30" s="5"/>
    </row>
    <row r="31" spans="3:5" ht="15.75" customHeight="1" x14ac:dyDescent="0.3">
      <c r="C31" s="46">
        <v>1918.96</v>
      </c>
      <c r="D31" s="39">
        <f t="shared" si="0"/>
        <v>4.9747022850951256E-3</v>
      </c>
      <c r="E31" s="5"/>
    </row>
    <row r="32" spans="3:5" ht="15.75" customHeight="1" x14ac:dyDescent="0.3">
      <c r="C32" s="46">
        <v>1888.5</v>
      </c>
      <c r="D32" s="39">
        <f t="shared" si="0"/>
        <v>-1.0977443372763315E-2</v>
      </c>
      <c r="E32" s="5"/>
    </row>
    <row r="33" spans="1:7" ht="16.5" customHeight="1" x14ac:dyDescent="0.3">
      <c r="C33" s="47">
        <v>1897.45</v>
      </c>
      <c r="D33" s="40">
        <f t="shared" si="0"/>
        <v>-6.290256779269106E-3</v>
      </c>
      <c r="E33" s="5"/>
    </row>
    <row r="34" spans="1:7" ht="16.5" customHeight="1" x14ac:dyDescent="0.3">
      <c r="C34" s="6"/>
      <c r="D34" s="5"/>
      <c r="E34" s="7"/>
    </row>
    <row r="35" spans="1:7" ht="16.5" customHeight="1" x14ac:dyDescent="0.3">
      <c r="B35" s="33" t="s">
        <v>41</v>
      </c>
      <c r="C35" s="34">
        <f>SUM(C14:C34)</f>
        <v>38189.22</v>
      </c>
      <c r="D35" s="29"/>
      <c r="E35" s="6"/>
    </row>
    <row r="36" spans="1:7" ht="17.25" customHeight="1" x14ac:dyDescent="0.3">
      <c r="B36" s="33" t="s">
        <v>42</v>
      </c>
      <c r="C36" s="35">
        <f>AVERAGE(C14:C34)</f>
        <v>1909.461</v>
      </c>
      <c r="E36" s="8"/>
    </row>
    <row r="37" spans="1:7" ht="17.25" customHeight="1" x14ac:dyDescent="0.3">
      <c r="A37" s="12"/>
      <c r="B37" s="30"/>
      <c r="D37" s="10"/>
      <c r="E37" s="8"/>
    </row>
    <row r="38" spans="1:7" ht="33.75" customHeight="1" x14ac:dyDescent="0.3">
      <c r="B38" s="43" t="s">
        <v>42</v>
      </c>
      <c r="C38" s="36" t="s">
        <v>43</v>
      </c>
      <c r="D38" s="31"/>
      <c r="G38" s="10"/>
    </row>
    <row r="39" spans="1:7" ht="17.25" customHeight="1" x14ac:dyDescent="0.3">
      <c r="B39" s="635">
        <f>C36</f>
        <v>1909.461</v>
      </c>
      <c r="C39" s="44">
        <f>-IF(C36&lt;=80,10%,IF(C36&lt;250,7.5%,5%))</f>
        <v>-0.05</v>
      </c>
      <c r="D39" s="32">
        <f>IF(C36&lt;=80,C36*0.9,IF(C36&lt;250,C36*0.925,C36*0.95))</f>
        <v>1813.98795</v>
      </c>
    </row>
    <row r="40" spans="1:7" ht="17.25" customHeight="1" x14ac:dyDescent="0.3">
      <c r="B40" s="636"/>
      <c r="C40" s="45">
        <f>IF(C36&lt;=80, 10%, IF(C36&lt;250, 7.5%, 5%))</f>
        <v>0.05</v>
      </c>
      <c r="D40" s="32">
        <f>IF(C36&lt;=80, C36*1.1, IF(C36&lt;250, C36*1.075, C36*1.05))</f>
        <v>2004.9340500000001</v>
      </c>
    </row>
    <row r="41" spans="1:7" ht="16.5" customHeight="1" x14ac:dyDescent="0.3">
      <c r="A41" s="15"/>
      <c r="B41" s="16"/>
      <c r="C41" s="12"/>
      <c r="D41" s="17"/>
      <c r="E41" s="12"/>
      <c r="F41" s="18"/>
    </row>
    <row r="42" spans="1:7" ht="16.5" customHeight="1" x14ac:dyDescent="0.3">
      <c r="A42" s="12"/>
      <c r="B42" s="19" t="s">
        <v>25</v>
      </c>
      <c r="C42" s="19"/>
      <c r="D42" s="20" t="s">
        <v>26</v>
      </c>
      <c r="E42" s="21"/>
      <c r="F42" s="20" t="s">
        <v>27</v>
      </c>
    </row>
    <row r="43" spans="1:7" ht="34.5" customHeight="1" x14ac:dyDescent="0.3">
      <c r="A43" s="22" t="s">
        <v>28</v>
      </c>
      <c r="B43" s="24" t="s">
        <v>136</v>
      </c>
      <c r="C43" s="23"/>
      <c r="D43" s="24" t="s">
        <v>137</v>
      </c>
      <c r="E43" s="23"/>
      <c r="F43" s="24"/>
    </row>
    <row r="44" spans="1:7" ht="34.5" customHeight="1" x14ac:dyDescent="0.3">
      <c r="A44" s="22" t="s">
        <v>29</v>
      </c>
      <c r="B44" s="25"/>
      <c r="C44" s="26"/>
      <c r="D44" s="25"/>
      <c r="E44" s="13"/>
      <c r="F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47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46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45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44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43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42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41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40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9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38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37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36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35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34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33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32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31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0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9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28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27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6" zoomScale="55" zoomScaleNormal="60" zoomScaleSheetLayoutView="55" zoomScalePageLayoutView="55" workbookViewId="0">
      <selection activeCell="D109" sqref="D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3" t="s">
        <v>44</v>
      </c>
      <c r="B1" s="643"/>
      <c r="C1" s="643"/>
      <c r="D1" s="643"/>
      <c r="E1" s="643"/>
      <c r="F1" s="643"/>
      <c r="G1" s="643"/>
      <c r="H1" s="643"/>
      <c r="I1" s="643"/>
    </row>
    <row r="2" spans="1:9" ht="18.7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</row>
    <row r="3" spans="1:9" ht="18.75" customHeight="1" x14ac:dyDescent="0.25">
      <c r="A3" s="643"/>
      <c r="B3" s="643"/>
      <c r="C3" s="643"/>
      <c r="D3" s="643"/>
      <c r="E3" s="643"/>
      <c r="F3" s="643"/>
      <c r="G3" s="643"/>
      <c r="H3" s="643"/>
      <c r="I3" s="643"/>
    </row>
    <row r="4" spans="1:9" ht="18.75" customHeight="1" x14ac:dyDescent="0.25">
      <c r="A4" s="643"/>
      <c r="B4" s="643"/>
      <c r="C4" s="643"/>
      <c r="D4" s="643"/>
      <c r="E4" s="643"/>
      <c r="F4" s="643"/>
      <c r="G4" s="643"/>
      <c r="H4" s="643"/>
      <c r="I4" s="643"/>
    </row>
    <row r="5" spans="1:9" ht="18.75" customHeight="1" x14ac:dyDescent="0.25">
      <c r="A5" s="643"/>
      <c r="B5" s="643"/>
      <c r="C5" s="643"/>
      <c r="D5" s="643"/>
      <c r="E5" s="643"/>
      <c r="F5" s="643"/>
      <c r="G5" s="643"/>
      <c r="H5" s="643"/>
      <c r="I5" s="643"/>
    </row>
    <row r="6" spans="1:9" ht="18.75" customHeight="1" x14ac:dyDescent="0.25">
      <c r="A6" s="643"/>
      <c r="B6" s="643"/>
      <c r="C6" s="643"/>
      <c r="D6" s="643"/>
      <c r="E6" s="643"/>
      <c r="F6" s="643"/>
      <c r="G6" s="643"/>
      <c r="H6" s="643"/>
      <c r="I6" s="643"/>
    </row>
    <row r="7" spans="1:9" ht="18.75" customHeight="1" x14ac:dyDescent="0.25">
      <c r="A7" s="643"/>
      <c r="B7" s="643"/>
      <c r="C7" s="643"/>
      <c r="D7" s="643"/>
      <c r="E7" s="643"/>
      <c r="F7" s="643"/>
      <c r="G7" s="643"/>
      <c r="H7" s="643"/>
      <c r="I7" s="643"/>
    </row>
    <row r="8" spans="1:9" x14ac:dyDescent="0.25">
      <c r="A8" s="644" t="s">
        <v>45</v>
      </c>
      <c r="B8" s="644"/>
      <c r="C8" s="644"/>
      <c r="D8" s="644"/>
      <c r="E8" s="644"/>
      <c r="F8" s="644"/>
      <c r="G8" s="644"/>
      <c r="H8" s="644"/>
      <c r="I8" s="644"/>
    </row>
    <row r="9" spans="1:9" x14ac:dyDescent="0.25">
      <c r="A9" s="644"/>
      <c r="B9" s="644"/>
      <c r="C9" s="644"/>
      <c r="D9" s="644"/>
      <c r="E9" s="644"/>
      <c r="F9" s="644"/>
      <c r="G9" s="644"/>
      <c r="H9" s="644"/>
      <c r="I9" s="644"/>
    </row>
    <row r="10" spans="1:9" x14ac:dyDescent="0.25">
      <c r="A10" s="644"/>
      <c r="B10" s="644"/>
      <c r="C10" s="644"/>
      <c r="D10" s="644"/>
      <c r="E10" s="644"/>
      <c r="F10" s="644"/>
      <c r="G10" s="644"/>
      <c r="H10" s="644"/>
      <c r="I10" s="644"/>
    </row>
    <row r="11" spans="1:9" x14ac:dyDescent="0.25">
      <c r="A11" s="644"/>
      <c r="B11" s="644"/>
      <c r="C11" s="644"/>
      <c r="D11" s="644"/>
      <c r="E11" s="644"/>
      <c r="F11" s="644"/>
      <c r="G11" s="644"/>
      <c r="H11" s="644"/>
      <c r="I11" s="644"/>
    </row>
    <row r="12" spans="1:9" x14ac:dyDescent="0.25">
      <c r="A12" s="644"/>
      <c r="B12" s="644"/>
      <c r="C12" s="644"/>
      <c r="D12" s="644"/>
      <c r="E12" s="644"/>
      <c r="F12" s="644"/>
      <c r="G12" s="644"/>
      <c r="H12" s="644"/>
      <c r="I12" s="644"/>
    </row>
    <row r="13" spans="1:9" x14ac:dyDescent="0.25">
      <c r="A13" s="644"/>
      <c r="B13" s="644"/>
      <c r="C13" s="644"/>
      <c r="D13" s="644"/>
      <c r="E13" s="644"/>
      <c r="F13" s="644"/>
      <c r="G13" s="644"/>
      <c r="H13" s="644"/>
      <c r="I13" s="644"/>
    </row>
    <row r="14" spans="1:9" x14ac:dyDescent="0.25">
      <c r="A14" s="644"/>
      <c r="B14" s="644"/>
      <c r="C14" s="644"/>
      <c r="D14" s="644"/>
      <c r="E14" s="644"/>
      <c r="F14" s="644"/>
      <c r="G14" s="644"/>
      <c r="H14" s="644"/>
      <c r="I14" s="644"/>
    </row>
    <row r="15" spans="1:9" ht="19.5" customHeight="1" x14ac:dyDescent="0.3">
      <c r="A15" s="49"/>
    </row>
    <row r="16" spans="1:9" ht="19.5" customHeight="1" x14ac:dyDescent="0.3">
      <c r="A16" s="677" t="s">
        <v>30</v>
      </c>
      <c r="B16" s="678"/>
      <c r="C16" s="678"/>
      <c r="D16" s="678"/>
      <c r="E16" s="678"/>
      <c r="F16" s="678"/>
      <c r="G16" s="678"/>
      <c r="H16" s="679"/>
    </row>
    <row r="17" spans="1:14" ht="20.25" customHeight="1" x14ac:dyDescent="0.25">
      <c r="A17" s="680" t="s">
        <v>46</v>
      </c>
      <c r="B17" s="680"/>
      <c r="C17" s="680"/>
      <c r="D17" s="680"/>
      <c r="E17" s="680"/>
      <c r="F17" s="680"/>
      <c r="G17" s="680"/>
      <c r="H17" s="680"/>
    </row>
    <row r="18" spans="1:14" ht="26.25" customHeight="1" x14ac:dyDescent="0.4">
      <c r="A18" s="51" t="s">
        <v>32</v>
      </c>
      <c r="B18" s="676" t="s">
        <v>5</v>
      </c>
      <c r="C18" s="676"/>
      <c r="D18" s="214"/>
      <c r="E18" s="52"/>
      <c r="F18" s="53"/>
      <c r="G18" s="53"/>
      <c r="H18" s="53"/>
    </row>
    <row r="19" spans="1:14" ht="26.25" customHeight="1" x14ac:dyDescent="0.4">
      <c r="A19" s="51" t="s">
        <v>33</v>
      </c>
      <c r="B19" s="54" t="s">
        <v>7</v>
      </c>
      <c r="C19" s="227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34</v>
      </c>
      <c r="B20" s="681" t="s">
        <v>9</v>
      </c>
      <c r="C20" s="681"/>
      <c r="D20" s="53"/>
      <c r="E20" s="53"/>
      <c r="F20" s="53"/>
      <c r="G20" s="53"/>
      <c r="H20" s="53"/>
    </row>
    <row r="21" spans="1:14" ht="26.25" customHeight="1" x14ac:dyDescent="0.4">
      <c r="A21" s="51" t="s">
        <v>35</v>
      </c>
      <c r="B21" s="681" t="s">
        <v>11</v>
      </c>
      <c r="C21" s="681"/>
      <c r="D21" s="681"/>
      <c r="E21" s="681"/>
      <c r="F21" s="681"/>
      <c r="G21" s="681"/>
      <c r="H21" s="681"/>
      <c r="I21" s="55"/>
    </row>
    <row r="22" spans="1:14" ht="26.25" customHeight="1" x14ac:dyDescent="0.4">
      <c r="A22" s="51" t="s">
        <v>36</v>
      </c>
      <c r="B22" s="56">
        <v>42412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37</v>
      </c>
      <c r="B23" s="56">
        <v>42425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76" t="s">
        <v>124</v>
      </c>
      <c r="C26" s="676"/>
    </row>
    <row r="27" spans="1:14" ht="26.25" customHeight="1" x14ac:dyDescent="0.4">
      <c r="A27" s="60" t="s">
        <v>47</v>
      </c>
      <c r="B27" s="674" t="s">
        <v>125</v>
      </c>
      <c r="C27" s="674"/>
    </row>
    <row r="28" spans="1:14" ht="27" customHeight="1" x14ac:dyDescent="0.4">
      <c r="A28" s="60" t="s">
        <v>6</v>
      </c>
      <c r="B28" s="518">
        <v>101.74</v>
      </c>
      <c r="C28" s="537"/>
    </row>
    <row r="29" spans="1:14" s="3" customFormat="1" ht="27" customHeight="1" x14ac:dyDescent="0.4">
      <c r="A29" s="60" t="s">
        <v>48</v>
      </c>
      <c r="B29" s="62">
        <v>0</v>
      </c>
      <c r="C29" s="651" t="s">
        <v>49</v>
      </c>
      <c r="D29" s="652"/>
      <c r="E29" s="652"/>
      <c r="F29" s="652"/>
      <c r="G29" s="653"/>
      <c r="I29" s="63"/>
      <c r="J29" s="63"/>
      <c r="K29" s="63"/>
      <c r="L29" s="63"/>
    </row>
    <row r="30" spans="1:14" s="3" customFormat="1" ht="19.5" customHeight="1" x14ac:dyDescent="0.3">
      <c r="A30" s="60" t="s">
        <v>50</v>
      </c>
      <c r="B30" s="64">
        <f>B28-B29</f>
        <v>101.74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51</v>
      </c>
      <c r="B31" s="67">
        <v>1</v>
      </c>
      <c r="C31" s="654" t="s">
        <v>52</v>
      </c>
      <c r="D31" s="655"/>
      <c r="E31" s="655"/>
      <c r="F31" s="655"/>
      <c r="G31" s="655"/>
      <c r="H31" s="656"/>
      <c r="I31" s="63"/>
      <c r="J31" s="63"/>
      <c r="K31" s="63"/>
      <c r="L31" s="63"/>
    </row>
    <row r="32" spans="1:14" s="3" customFormat="1" ht="27" customHeight="1" x14ac:dyDescent="0.4">
      <c r="A32" s="60" t="s">
        <v>53</v>
      </c>
      <c r="B32" s="67">
        <v>1</v>
      </c>
      <c r="C32" s="654" t="s">
        <v>54</v>
      </c>
      <c r="D32" s="655"/>
      <c r="E32" s="655"/>
      <c r="F32" s="655"/>
      <c r="G32" s="655"/>
      <c r="H32" s="656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55</v>
      </c>
      <c r="B34" s="72">
        <f>B31/B32</f>
        <v>1</v>
      </c>
      <c r="C34" s="50" t="s">
        <v>56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57</v>
      </c>
      <c r="B36" s="74">
        <v>50</v>
      </c>
      <c r="C36" s="50"/>
      <c r="D36" s="657" t="s">
        <v>58</v>
      </c>
      <c r="E36" s="675"/>
      <c r="F36" s="657" t="s">
        <v>59</v>
      </c>
      <c r="G36" s="658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60</v>
      </c>
      <c r="B37" s="76">
        <v>10</v>
      </c>
      <c r="C37" s="77" t="s">
        <v>61</v>
      </c>
      <c r="D37" s="78" t="s">
        <v>62</v>
      </c>
      <c r="E37" s="79" t="s">
        <v>63</v>
      </c>
      <c r="F37" s="78" t="s">
        <v>62</v>
      </c>
      <c r="G37" s="80" t="s">
        <v>63</v>
      </c>
      <c r="I37" s="81" t="s">
        <v>64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65</v>
      </c>
      <c r="B38" s="76">
        <v>25</v>
      </c>
      <c r="C38" s="82">
        <v>1</v>
      </c>
      <c r="D38" s="442">
        <v>114440544</v>
      </c>
      <c r="E38" s="83">
        <f>IF(ISBLANK(D38),"-",$D$48/$D$45*D38)</f>
        <v>92859108.961418584</v>
      </c>
      <c r="F38" s="442">
        <v>109152666</v>
      </c>
      <c r="G38" s="84">
        <f>IF(ISBLANK(F38),"-",$D$48/$F$45*F38)</f>
        <v>91749622.139202073</v>
      </c>
      <c r="I38" s="85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66</v>
      </c>
      <c r="B39" s="76">
        <v>1</v>
      </c>
      <c r="C39" s="86">
        <v>2</v>
      </c>
      <c r="D39" s="447">
        <v>113677511</v>
      </c>
      <c r="E39" s="88">
        <f>IF(ISBLANK(D39),"-",$D$48/$D$45*D39)</f>
        <v>92239970.306431442</v>
      </c>
      <c r="F39" s="447">
        <v>108923625</v>
      </c>
      <c r="G39" s="89">
        <f>IF(ISBLANK(F39),"-",$D$48/$F$45*F39)</f>
        <v>91557098.896532163</v>
      </c>
      <c r="I39" s="659">
        <f>ABS((F43/D43*D42)-F42)/D42</f>
        <v>7.1200441287231986E-3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67</v>
      </c>
      <c r="B40" s="76">
        <v>1</v>
      </c>
      <c r="C40" s="86">
        <v>3</v>
      </c>
      <c r="D40" s="447">
        <v>113145623</v>
      </c>
      <c r="E40" s="88">
        <f>IF(ISBLANK(D40),"-",$D$48/$D$45*D40)</f>
        <v>91808386.848148763</v>
      </c>
      <c r="F40" s="447">
        <v>108925097</v>
      </c>
      <c r="G40" s="89">
        <f>IF(ISBLANK(F40),"-",$D$48/$F$45*F40)</f>
        <v>91558336.204320773</v>
      </c>
      <c r="I40" s="659"/>
      <c r="L40" s="68"/>
      <c r="M40" s="68"/>
      <c r="N40" s="90"/>
    </row>
    <row r="41" spans="1:14" ht="27" customHeight="1" x14ac:dyDescent="0.4">
      <c r="A41" s="75" t="s">
        <v>68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90"/>
    </row>
    <row r="42" spans="1:14" ht="27" customHeight="1" x14ac:dyDescent="0.4">
      <c r="A42" s="75" t="s">
        <v>69</v>
      </c>
      <c r="B42" s="76">
        <v>1</v>
      </c>
      <c r="C42" s="96" t="s">
        <v>70</v>
      </c>
      <c r="D42" s="97">
        <f>AVERAGE(D38:D41)</f>
        <v>113754559.33333333</v>
      </c>
      <c r="E42" s="98">
        <f>AVERAGE(E38:E41)</f>
        <v>92302488.705332935</v>
      </c>
      <c r="F42" s="97">
        <f>AVERAGE(F38:F41)</f>
        <v>109000462.66666667</v>
      </c>
      <c r="G42" s="99">
        <f>AVERAGE(G38:G41)</f>
        <v>91621685.746685013</v>
      </c>
      <c r="H42" s="100"/>
    </row>
    <row r="43" spans="1:14" ht="26.25" customHeight="1" x14ac:dyDescent="0.4">
      <c r="A43" s="75" t="s">
        <v>71</v>
      </c>
      <c r="B43" s="76">
        <v>1</v>
      </c>
      <c r="C43" s="101" t="s">
        <v>72</v>
      </c>
      <c r="D43" s="462">
        <v>18.170000000000002</v>
      </c>
      <c r="E43" s="90"/>
      <c r="F43" s="462">
        <v>17.54</v>
      </c>
      <c r="H43" s="100"/>
    </row>
    <row r="44" spans="1:14" ht="26.25" customHeight="1" x14ac:dyDescent="0.4">
      <c r="A44" s="75" t="s">
        <v>73</v>
      </c>
      <c r="B44" s="76">
        <v>1</v>
      </c>
      <c r="C44" s="102" t="s">
        <v>74</v>
      </c>
      <c r="D44" s="103">
        <f>D43*$B$34</f>
        <v>18.170000000000002</v>
      </c>
      <c r="E44" s="104"/>
      <c r="F44" s="103">
        <f>F43*$B$34</f>
        <v>17.54</v>
      </c>
      <c r="H44" s="100"/>
    </row>
    <row r="45" spans="1:14" ht="19.5" customHeight="1" x14ac:dyDescent="0.3">
      <c r="A45" s="75" t="s">
        <v>75</v>
      </c>
      <c r="B45" s="105">
        <f>(B44/B43)*(B42/B41)*(B40/B39)*(B38/B37)*B36</f>
        <v>125</v>
      </c>
      <c r="C45" s="102" t="s">
        <v>76</v>
      </c>
      <c r="D45" s="106">
        <f>D44*$B$30/100</f>
        <v>18.486158</v>
      </c>
      <c r="E45" s="107"/>
      <c r="F45" s="106">
        <f>F44*$B$30/100</f>
        <v>17.845195999999998</v>
      </c>
      <c r="H45" s="100"/>
    </row>
    <row r="46" spans="1:14" ht="19.5" customHeight="1" x14ac:dyDescent="0.3">
      <c r="A46" s="645" t="s">
        <v>77</v>
      </c>
      <c r="B46" s="646"/>
      <c r="C46" s="102" t="s">
        <v>78</v>
      </c>
      <c r="D46" s="108">
        <f>D45/$B$45</f>
        <v>0.14788926399999999</v>
      </c>
      <c r="E46" s="109"/>
      <c r="F46" s="110">
        <f>F45/$B$45</f>
        <v>0.14276156799999998</v>
      </c>
      <c r="H46" s="100"/>
    </row>
    <row r="47" spans="1:14" ht="27" customHeight="1" x14ac:dyDescent="0.4">
      <c r="A47" s="647"/>
      <c r="B47" s="648"/>
      <c r="C47" s="111" t="s">
        <v>79</v>
      </c>
      <c r="D47" s="112">
        <v>0.12</v>
      </c>
      <c r="E47" s="113"/>
      <c r="F47" s="109"/>
      <c r="H47" s="100"/>
    </row>
    <row r="48" spans="1:14" ht="18.75" x14ac:dyDescent="0.3">
      <c r="C48" s="114" t="s">
        <v>80</v>
      </c>
      <c r="D48" s="106">
        <f>D47*$B$45</f>
        <v>15</v>
      </c>
      <c r="F48" s="115"/>
      <c r="H48" s="100"/>
    </row>
    <row r="49" spans="1:12" ht="19.5" customHeight="1" x14ac:dyDescent="0.3">
      <c r="C49" s="116" t="s">
        <v>81</v>
      </c>
      <c r="D49" s="117">
        <f>D48/B34</f>
        <v>15</v>
      </c>
      <c r="F49" s="115"/>
      <c r="H49" s="100"/>
    </row>
    <row r="50" spans="1:12" ht="18.75" x14ac:dyDescent="0.3">
      <c r="C50" s="73" t="s">
        <v>82</v>
      </c>
      <c r="D50" s="118">
        <f>AVERAGE(E38:E41,G38:G41)</f>
        <v>91962087.226008967</v>
      </c>
      <c r="F50" s="119"/>
      <c r="H50" s="100"/>
    </row>
    <row r="51" spans="1:12" ht="18.75" x14ac:dyDescent="0.3">
      <c r="C51" s="75" t="s">
        <v>83</v>
      </c>
      <c r="D51" s="120">
        <f>STDEV(E38:E41,G38:G41)/D50</f>
        <v>5.4968549673291879E-3</v>
      </c>
      <c r="F51" s="119"/>
      <c r="H51" s="100"/>
    </row>
    <row r="52" spans="1:12" ht="19.5" customHeight="1" x14ac:dyDescent="0.3">
      <c r="C52" s="121" t="s">
        <v>19</v>
      </c>
      <c r="D52" s="122">
        <f>COUNT(E38:E41,G38:G41)</f>
        <v>6</v>
      </c>
      <c r="F52" s="119"/>
    </row>
    <row r="54" spans="1:12" ht="18.75" x14ac:dyDescent="0.3">
      <c r="A54" s="123" t="s">
        <v>1</v>
      </c>
      <c r="B54" s="124" t="s">
        <v>84</v>
      </c>
    </row>
    <row r="55" spans="1:12" ht="18.75" x14ac:dyDescent="0.3">
      <c r="A55" s="50" t="s">
        <v>85</v>
      </c>
      <c r="B55" s="125" t="str">
        <f>B21</f>
        <v>Each tablet contains:Tenofovir Disoproxil Fumarate 300mg, Lamivudine 300mg &amp; Efavirenz 600mg tablets</v>
      </c>
    </row>
    <row r="56" spans="1:12" ht="26.25" customHeight="1" x14ac:dyDescent="0.4">
      <c r="A56" s="126" t="s">
        <v>86</v>
      </c>
      <c r="B56" s="127">
        <v>300</v>
      </c>
      <c r="C56" s="50" t="str">
        <f>B20</f>
        <v xml:space="preserve">Tenofovir Disoproxil Fumarate , Lamivudine  &amp; Efavirenz </v>
      </c>
      <c r="H56" s="128"/>
    </row>
    <row r="57" spans="1:12" ht="18.75" x14ac:dyDescent="0.3">
      <c r="A57" s="125" t="s">
        <v>87</v>
      </c>
      <c r="B57" s="215">
        <f>Uniformity!C36</f>
        <v>1909.461</v>
      </c>
      <c r="H57" s="128"/>
    </row>
    <row r="58" spans="1:12" ht="19.5" customHeight="1" x14ac:dyDescent="0.3">
      <c r="H58" s="128"/>
    </row>
    <row r="59" spans="1:12" s="3" customFormat="1" ht="27" customHeight="1" x14ac:dyDescent="0.4">
      <c r="A59" s="73" t="s">
        <v>88</v>
      </c>
      <c r="B59" s="74">
        <v>200</v>
      </c>
      <c r="C59" s="50"/>
      <c r="D59" s="129" t="s">
        <v>89</v>
      </c>
      <c r="E59" s="130" t="s">
        <v>61</v>
      </c>
      <c r="F59" s="130" t="s">
        <v>62</v>
      </c>
      <c r="G59" s="130" t="s">
        <v>90</v>
      </c>
      <c r="H59" s="77" t="s">
        <v>91</v>
      </c>
      <c r="L59" s="63"/>
    </row>
    <row r="60" spans="1:12" s="3" customFormat="1" ht="26.25" customHeight="1" x14ac:dyDescent="0.4">
      <c r="A60" s="75" t="s">
        <v>92</v>
      </c>
      <c r="B60" s="76">
        <v>2</v>
      </c>
      <c r="C60" s="662" t="s">
        <v>93</v>
      </c>
      <c r="D60" s="665">
        <v>1901.59</v>
      </c>
      <c r="E60" s="131">
        <v>1</v>
      </c>
      <c r="F60" s="132">
        <v>88326287</v>
      </c>
      <c r="G60" s="216">
        <f>IF(ISBLANK(F60),"-",(F60/$D$50*$D$47*$B$68)*($B$57/$D$60))</f>
        <v>289.33189859178265</v>
      </c>
      <c r="H60" s="133">
        <f t="shared" ref="H60:H71" si="0">IF(ISBLANK(F60),"-",G60/$B$56)</f>
        <v>0.96443966197260877</v>
      </c>
      <c r="L60" s="63"/>
    </row>
    <row r="61" spans="1:12" s="3" customFormat="1" ht="26.25" customHeight="1" x14ac:dyDescent="0.4">
      <c r="A61" s="75" t="s">
        <v>94</v>
      </c>
      <c r="B61" s="76">
        <v>25</v>
      </c>
      <c r="C61" s="663"/>
      <c r="D61" s="666"/>
      <c r="E61" s="134">
        <v>2</v>
      </c>
      <c r="F61" s="87">
        <v>88519790</v>
      </c>
      <c r="G61" s="217">
        <f>IF(ISBLANK(F61),"-",(F61/$D$50*$D$47*$B$68)*($B$57/$D$60))</f>
        <v>289.96575961181173</v>
      </c>
      <c r="H61" s="135">
        <f t="shared" si="0"/>
        <v>0.96655253203937241</v>
      </c>
      <c r="L61" s="63"/>
    </row>
    <row r="62" spans="1:12" s="3" customFormat="1" ht="26.25" customHeight="1" x14ac:dyDescent="0.4">
      <c r="A62" s="75" t="s">
        <v>95</v>
      </c>
      <c r="B62" s="76">
        <v>1</v>
      </c>
      <c r="C62" s="663"/>
      <c r="D62" s="666"/>
      <c r="E62" s="134">
        <v>3</v>
      </c>
      <c r="F62" s="136">
        <v>88776509</v>
      </c>
      <c r="G62" s="217">
        <f>IF(ISBLANK(F62),"-",(F62/$D$50*$D$47*$B$68)*($B$57/$D$60))</f>
        <v>290.80669834248187</v>
      </c>
      <c r="H62" s="135">
        <f t="shared" si="0"/>
        <v>0.96935566114160621</v>
      </c>
      <c r="L62" s="63"/>
    </row>
    <row r="63" spans="1:12" ht="27" customHeight="1" x14ac:dyDescent="0.4">
      <c r="A63" s="75" t="s">
        <v>96</v>
      </c>
      <c r="B63" s="76">
        <v>1</v>
      </c>
      <c r="C63" s="673"/>
      <c r="D63" s="667"/>
      <c r="E63" s="137">
        <v>4</v>
      </c>
      <c r="F63" s="138"/>
      <c r="G63" s="217" t="str">
        <f>IF(ISBLANK(F63),"-",(F63/$D$50*$D$47*$B$68)*($B$57/$D$60))</f>
        <v>-</v>
      </c>
      <c r="H63" s="135" t="str">
        <f t="shared" si="0"/>
        <v>-</v>
      </c>
    </row>
    <row r="64" spans="1:12" ht="26.25" customHeight="1" x14ac:dyDescent="0.4">
      <c r="A64" s="75" t="s">
        <v>97</v>
      </c>
      <c r="B64" s="76">
        <v>1</v>
      </c>
      <c r="C64" s="662" t="s">
        <v>98</v>
      </c>
      <c r="D64" s="665">
        <v>1910.12</v>
      </c>
      <c r="E64" s="131">
        <v>1</v>
      </c>
      <c r="F64" s="132">
        <v>88854173</v>
      </c>
      <c r="G64" s="218">
        <f>IF(ISBLANK(F64),"-",(F64/$D$50*$D$47*$B$68)*($B$57/$D$64))</f>
        <v>289.76131552549992</v>
      </c>
      <c r="H64" s="139">
        <f t="shared" si="0"/>
        <v>0.96587105175166643</v>
      </c>
    </row>
    <row r="65" spans="1:8" ht="26.25" customHeight="1" x14ac:dyDescent="0.4">
      <c r="A65" s="75" t="s">
        <v>99</v>
      </c>
      <c r="B65" s="76">
        <v>1</v>
      </c>
      <c r="C65" s="663"/>
      <c r="D65" s="666"/>
      <c r="E65" s="134">
        <v>2</v>
      </c>
      <c r="F65" s="87">
        <v>89139035</v>
      </c>
      <c r="G65" s="219">
        <f>IF(ISBLANK(F65),"-",(F65/$D$50*$D$47*$B$68)*($B$57/$D$64))</f>
        <v>290.69027569784009</v>
      </c>
      <c r="H65" s="140">
        <f t="shared" si="0"/>
        <v>0.96896758565946695</v>
      </c>
    </row>
    <row r="66" spans="1:8" ht="26.25" customHeight="1" x14ac:dyDescent="0.4">
      <c r="A66" s="75" t="s">
        <v>100</v>
      </c>
      <c r="B66" s="76">
        <v>1</v>
      </c>
      <c r="C66" s="663"/>
      <c r="D66" s="666"/>
      <c r="E66" s="134">
        <v>3</v>
      </c>
      <c r="F66" s="87">
        <v>88850935</v>
      </c>
      <c r="G66" s="219">
        <f>IF(ISBLANK(F66),"-",(F66/$D$50*$D$47*$B$68)*($B$57/$D$64))</f>
        <v>289.75075612116359</v>
      </c>
      <c r="H66" s="140">
        <f t="shared" si="0"/>
        <v>0.96583585373721192</v>
      </c>
    </row>
    <row r="67" spans="1:8" ht="27" customHeight="1" x14ac:dyDescent="0.4">
      <c r="A67" s="75" t="s">
        <v>101</v>
      </c>
      <c r="B67" s="76">
        <v>1</v>
      </c>
      <c r="C67" s="673"/>
      <c r="D67" s="667"/>
      <c r="E67" s="137">
        <v>4</v>
      </c>
      <c r="F67" s="138"/>
      <c r="G67" s="220" t="str">
        <f>IF(ISBLANK(F67),"-",(F67/$D$50*$D$47*$B$68)*($B$57/$D$64))</f>
        <v>-</v>
      </c>
      <c r="H67" s="141" t="str">
        <f t="shared" si="0"/>
        <v>-</v>
      </c>
    </row>
    <row r="68" spans="1:8" ht="26.25" customHeight="1" x14ac:dyDescent="0.4">
      <c r="A68" s="75" t="s">
        <v>102</v>
      </c>
      <c r="B68" s="142">
        <f>(B67/B66)*(B65/B64)*(B63/B62)*(B61/B60)*B59</f>
        <v>2500</v>
      </c>
      <c r="C68" s="662" t="s">
        <v>103</v>
      </c>
      <c r="D68" s="665">
        <v>1913.97</v>
      </c>
      <c r="E68" s="131">
        <v>1</v>
      </c>
      <c r="F68" s="132">
        <v>91684201</v>
      </c>
      <c r="G68" s="218">
        <f>IF(ISBLANK(F68),"-",(F68/$D$50*$D$47*$B$68)*($B$57/$D$68))</f>
        <v>298.3888604219091</v>
      </c>
      <c r="H68" s="135">
        <f t="shared" si="0"/>
        <v>0.99462953473969695</v>
      </c>
    </row>
    <row r="69" spans="1:8" ht="27" customHeight="1" x14ac:dyDescent="0.4">
      <c r="A69" s="121" t="s">
        <v>104</v>
      </c>
      <c r="B69" s="143">
        <f>(D47*B68)/B56*B57</f>
        <v>1909.461</v>
      </c>
      <c r="C69" s="663"/>
      <c r="D69" s="666"/>
      <c r="E69" s="134">
        <v>2</v>
      </c>
      <c r="F69" s="87">
        <v>91739492</v>
      </c>
      <c r="G69" s="219">
        <f>IF(ISBLANK(F69),"-",(F69/$D$50*$D$47*$B$68)*($B$57/$D$68))</f>
        <v>298.56880656640993</v>
      </c>
      <c r="H69" s="135">
        <f t="shared" si="0"/>
        <v>0.99522935522136646</v>
      </c>
    </row>
    <row r="70" spans="1:8" ht="26.25" customHeight="1" x14ac:dyDescent="0.4">
      <c r="A70" s="668" t="s">
        <v>77</v>
      </c>
      <c r="B70" s="669"/>
      <c r="C70" s="663"/>
      <c r="D70" s="666"/>
      <c r="E70" s="134">
        <v>3</v>
      </c>
      <c r="F70" s="87">
        <v>91572392</v>
      </c>
      <c r="G70" s="219">
        <f>IF(ISBLANK(F70),"-",(F70/$D$50*$D$47*$B$68)*($B$57/$D$68))</f>
        <v>298.02497482623363</v>
      </c>
      <c r="H70" s="135">
        <f t="shared" si="0"/>
        <v>0.99341658275411215</v>
      </c>
    </row>
    <row r="71" spans="1:8" ht="27" customHeight="1" x14ac:dyDescent="0.4">
      <c r="A71" s="670"/>
      <c r="B71" s="671"/>
      <c r="C71" s="664"/>
      <c r="D71" s="667"/>
      <c r="E71" s="137">
        <v>4</v>
      </c>
      <c r="F71" s="138"/>
      <c r="G71" s="220" t="str">
        <f>IF(ISBLANK(F71),"-",(F71/$D$50*$D$47*$B$68)*($B$57/$D$68))</f>
        <v>-</v>
      </c>
      <c r="H71" s="144" t="str">
        <f t="shared" si="0"/>
        <v>-</v>
      </c>
    </row>
    <row r="72" spans="1:8" ht="26.25" customHeight="1" x14ac:dyDescent="0.4">
      <c r="A72" s="145"/>
      <c r="B72" s="145"/>
      <c r="C72" s="145"/>
      <c r="D72" s="145"/>
      <c r="E72" s="145"/>
      <c r="F72" s="147" t="s">
        <v>70</v>
      </c>
      <c r="G72" s="225">
        <f>AVERAGE(G60:G71)</f>
        <v>292.80992730057028</v>
      </c>
      <c r="H72" s="148">
        <f>AVERAGE(H60:H71)</f>
        <v>0.97603309100190083</v>
      </c>
    </row>
    <row r="73" spans="1:8" ht="26.25" customHeight="1" x14ac:dyDescent="0.4">
      <c r="C73" s="145"/>
      <c r="D73" s="145"/>
      <c r="E73" s="145"/>
      <c r="F73" s="149" t="s">
        <v>83</v>
      </c>
      <c r="G73" s="221">
        <f>STDEV(G60:G71)/G72</f>
        <v>1.4226934307318593E-2</v>
      </c>
      <c r="H73" s="221">
        <f>STDEV(H60:H71)/H72</f>
        <v>1.422693430731861E-2</v>
      </c>
    </row>
    <row r="74" spans="1:8" ht="27" customHeight="1" x14ac:dyDescent="0.4">
      <c r="A74" s="145"/>
      <c r="B74" s="145"/>
      <c r="C74" s="146"/>
      <c r="D74" s="146"/>
      <c r="E74" s="150"/>
      <c r="F74" s="151" t="s">
        <v>19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59" t="s">
        <v>105</v>
      </c>
      <c r="B76" s="153" t="s">
        <v>106</v>
      </c>
      <c r="C76" s="649" t="str">
        <f>B20</f>
        <v xml:space="preserve">Tenofovir Disoproxil Fumarate , Lamivudine  &amp; Efavirenz </v>
      </c>
      <c r="D76" s="649"/>
      <c r="E76" s="154" t="s">
        <v>107</v>
      </c>
      <c r="F76" s="154"/>
      <c r="G76" s="155">
        <f>H72</f>
        <v>0.97603309100190083</v>
      </c>
      <c r="H76" s="156"/>
    </row>
    <row r="77" spans="1:8" ht="18.75" x14ac:dyDescent="0.3">
      <c r="A77" s="58" t="s">
        <v>108</v>
      </c>
      <c r="B77" s="58" t="s">
        <v>109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72" t="str">
        <f>B26</f>
        <v>Lamivudine</v>
      </c>
      <c r="C79" s="672"/>
    </row>
    <row r="80" spans="1:8" ht="26.25" customHeight="1" x14ac:dyDescent="0.4">
      <c r="A80" s="60" t="s">
        <v>47</v>
      </c>
      <c r="B80" s="672" t="s">
        <v>126</v>
      </c>
      <c r="C80" s="672"/>
    </row>
    <row r="81" spans="1:12" ht="27" customHeight="1" x14ac:dyDescent="0.4">
      <c r="A81" s="60" t="s">
        <v>6</v>
      </c>
      <c r="B81" s="518">
        <v>99.9</v>
      </c>
      <c r="C81" s="537"/>
    </row>
    <row r="82" spans="1:12" s="3" customFormat="1" ht="27" customHeight="1" x14ac:dyDescent="0.4">
      <c r="A82" s="60" t="s">
        <v>48</v>
      </c>
      <c r="B82" s="62">
        <v>0</v>
      </c>
      <c r="C82" s="651" t="s">
        <v>49</v>
      </c>
      <c r="D82" s="652"/>
      <c r="E82" s="652"/>
      <c r="F82" s="652"/>
      <c r="G82" s="653"/>
      <c r="I82" s="63"/>
      <c r="J82" s="63"/>
      <c r="K82" s="63"/>
      <c r="L82" s="63"/>
    </row>
    <row r="83" spans="1:12" s="3" customFormat="1" ht="19.5" customHeight="1" x14ac:dyDescent="0.3">
      <c r="A83" s="60" t="s">
        <v>50</v>
      </c>
      <c r="B83" s="64">
        <f>B81-B82</f>
        <v>99.9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51</v>
      </c>
      <c r="B84" s="67">
        <v>1</v>
      </c>
      <c r="C84" s="654" t="s">
        <v>110</v>
      </c>
      <c r="D84" s="655"/>
      <c r="E84" s="655"/>
      <c r="F84" s="655"/>
      <c r="G84" s="655"/>
      <c r="H84" s="656"/>
      <c r="I84" s="63"/>
      <c r="J84" s="63"/>
      <c r="K84" s="63"/>
      <c r="L84" s="63"/>
    </row>
    <row r="85" spans="1:12" s="3" customFormat="1" ht="27" customHeight="1" x14ac:dyDescent="0.4">
      <c r="A85" s="60" t="s">
        <v>53</v>
      </c>
      <c r="B85" s="67">
        <v>1</v>
      </c>
      <c r="C85" s="654" t="s">
        <v>111</v>
      </c>
      <c r="D85" s="655"/>
      <c r="E85" s="655"/>
      <c r="F85" s="655"/>
      <c r="G85" s="655"/>
      <c r="H85" s="656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55</v>
      </c>
      <c r="B87" s="72">
        <f>B84/B85</f>
        <v>1</v>
      </c>
      <c r="C87" s="50" t="s">
        <v>56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57</v>
      </c>
      <c r="B89" s="74">
        <v>50</v>
      </c>
      <c r="D89" s="157" t="s">
        <v>58</v>
      </c>
      <c r="E89" s="158"/>
      <c r="F89" s="657" t="s">
        <v>59</v>
      </c>
      <c r="G89" s="658"/>
    </row>
    <row r="90" spans="1:12" ht="27" customHeight="1" x14ac:dyDescent="0.4">
      <c r="A90" s="75" t="s">
        <v>60</v>
      </c>
      <c r="B90" s="76">
        <v>1</v>
      </c>
      <c r="C90" s="159" t="s">
        <v>61</v>
      </c>
      <c r="D90" s="78" t="s">
        <v>62</v>
      </c>
      <c r="E90" s="79" t="s">
        <v>63</v>
      </c>
      <c r="F90" s="78" t="s">
        <v>62</v>
      </c>
      <c r="G90" s="160" t="s">
        <v>63</v>
      </c>
      <c r="I90" s="81" t="s">
        <v>64</v>
      </c>
    </row>
    <row r="91" spans="1:12" ht="26.25" customHeight="1" x14ac:dyDescent="0.4">
      <c r="A91" s="75" t="s">
        <v>65</v>
      </c>
      <c r="B91" s="76">
        <v>1</v>
      </c>
      <c r="C91" s="161">
        <v>1</v>
      </c>
      <c r="D91" s="442">
        <v>53372754</v>
      </c>
      <c r="E91" s="83">
        <f>IF(ISBLANK(D91),"-",$D$101/$D$98*D91)</f>
        <v>47002504.557343267</v>
      </c>
      <c r="F91" s="442">
        <v>66082075</v>
      </c>
      <c r="G91" s="84">
        <f>IF(ISBLANK(F91),"-",$D$101/$F$98*F91)</f>
        <v>46322285.170324378</v>
      </c>
      <c r="I91" s="85"/>
    </row>
    <row r="92" spans="1:12" ht="26.25" customHeight="1" x14ac:dyDescent="0.4">
      <c r="A92" s="75" t="s">
        <v>66</v>
      </c>
      <c r="B92" s="76">
        <v>1</v>
      </c>
      <c r="C92" s="146">
        <v>2</v>
      </c>
      <c r="D92" s="447">
        <v>52596580</v>
      </c>
      <c r="E92" s="88">
        <f>IF(ISBLANK(D92),"-",$D$101/$D$98*D92)</f>
        <v>46318969.996389352</v>
      </c>
      <c r="F92" s="447">
        <v>65508348</v>
      </c>
      <c r="G92" s="89">
        <f>IF(ISBLANK(F92),"-",$D$101/$F$98*F92)</f>
        <v>45920113.390701614</v>
      </c>
      <c r="I92" s="659">
        <f>ABS((F96/D96*D95)-F95)/D95</f>
        <v>8.6331033904575062E-3</v>
      </c>
    </row>
    <row r="93" spans="1:12" ht="26.25" customHeight="1" x14ac:dyDescent="0.4">
      <c r="A93" s="75" t="s">
        <v>67</v>
      </c>
      <c r="B93" s="76">
        <v>1</v>
      </c>
      <c r="C93" s="146">
        <v>3</v>
      </c>
      <c r="D93" s="447">
        <v>52309796</v>
      </c>
      <c r="E93" s="88">
        <f>IF(ISBLANK(D93),"-",$D$101/$D$98*D93)</f>
        <v>46066414.801898673</v>
      </c>
      <c r="F93" s="447">
        <v>65889997</v>
      </c>
      <c r="G93" s="89">
        <f>IF(ISBLANK(F93),"-",$D$101/$F$98*F93)</f>
        <v>46187642.123916626</v>
      </c>
      <c r="I93" s="659"/>
    </row>
    <row r="94" spans="1:12" ht="27" customHeight="1" x14ac:dyDescent="0.4">
      <c r="A94" s="75" t="s">
        <v>68</v>
      </c>
      <c r="B94" s="76">
        <v>1</v>
      </c>
      <c r="C94" s="162">
        <v>4</v>
      </c>
      <c r="D94" s="92"/>
      <c r="E94" s="93" t="str">
        <f>IF(ISBLANK(D94),"-",$D$101/$D$98*D94)</f>
        <v>-</v>
      </c>
      <c r="F94" s="163"/>
      <c r="G94" s="94" t="str">
        <f>IF(ISBLANK(F94),"-",$D$101/$F$98*F94)</f>
        <v>-</v>
      </c>
      <c r="I94" s="95"/>
    </row>
    <row r="95" spans="1:12" ht="27" customHeight="1" x14ac:dyDescent="0.4">
      <c r="A95" s="75" t="s">
        <v>69</v>
      </c>
      <c r="B95" s="76">
        <v>1</v>
      </c>
      <c r="C95" s="164" t="s">
        <v>70</v>
      </c>
      <c r="D95" s="165">
        <f>AVERAGE(D91:D94)</f>
        <v>52759710</v>
      </c>
      <c r="E95" s="98">
        <f>AVERAGE(E91:E94)</f>
        <v>46462629.785210431</v>
      </c>
      <c r="F95" s="166">
        <f>AVERAGE(F91:F94)</f>
        <v>65826806.666666664</v>
      </c>
      <c r="G95" s="167">
        <f>AVERAGE(G91:G94)</f>
        <v>46143346.89498087</v>
      </c>
    </row>
    <row r="96" spans="1:12" ht="26.25" customHeight="1" x14ac:dyDescent="0.4">
      <c r="A96" s="75" t="s">
        <v>71</v>
      </c>
      <c r="B96" s="61">
        <v>1</v>
      </c>
      <c r="C96" s="168" t="s">
        <v>112</v>
      </c>
      <c r="D96" s="531">
        <v>17.05</v>
      </c>
      <c r="E96" s="90"/>
      <c r="F96" s="462">
        <v>21.42</v>
      </c>
    </row>
    <row r="97" spans="1:10" ht="26.25" customHeight="1" x14ac:dyDescent="0.4">
      <c r="A97" s="75" t="s">
        <v>73</v>
      </c>
      <c r="B97" s="61">
        <v>1</v>
      </c>
      <c r="C97" s="169" t="s">
        <v>113</v>
      </c>
      <c r="D97" s="170">
        <f>D96*$B$87</f>
        <v>17.05</v>
      </c>
      <c r="E97" s="104"/>
      <c r="F97" s="103">
        <f>F96*$B$87</f>
        <v>21.42</v>
      </c>
    </row>
    <row r="98" spans="1:10" ht="19.5" customHeight="1" x14ac:dyDescent="0.3">
      <c r="A98" s="75" t="s">
        <v>75</v>
      </c>
      <c r="B98" s="171">
        <f>(B97/B96)*(B95/B94)*(B93/B92)*(B91/B90)*B89</f>
        <v>50</v>
      </c>
      <c r="C98" s="169" t="s">
        <v>114</v>
      </c>
      <c r="D98" s="172">
        <f>D97*$B$83/100</f>
        <v>17.03295</v>
      </c>
      <c r="E98" s="107"/>
      <c r="F98" s="106">
        <f>F97*$B$83/100</f>
        <v>21.398580000000003</v>
      </c>
    </row>
    <row r="99" spans="1:10" ht="19.5" customHeight="1" x14ac:dyDescent="0.3">
      <c r="A99" s="645" t="s">
        <v>77</v>
      </c>
      <c r="B99" s="660"/>
      <c r="C99" s="169" t="s">
        <v>115</v>
      </c>
      <c r="D99" s="173">
        <f>D98/$B$98</f>
        <v>0.34065899999999999</v>
      </c>
      <c r="E99" s="107"/>
      <c r="F99" s="110">
        <f>F98/$B$98</f>
        <v>0.42797160000000006</v>
      </c>
      <c r="G99" s="174"/>
      <c r="H99" s="100"/>
    </row>
    <row r="100" spans="1:10" ht="19.5" customHeight="1" x14ac:dyDescent="0.3">
      <c r="A100" s="647"/>
      <c r="B100" s="661"/>
      <c r="C100" s="169" t="s">
        <v>79</v>
      </c>
      <c r="D100" s="175">
        <f>$B$56/$B$116</f>
        <v>0.3</v>
      </c>
      <c r="F100" s="115"/>
      <c r="G100" s="176"/>
      <c r="H100" s="100"/>
    </row>
    <row r="101" spans="1:10" ht="18.75" x14ac:dyDescent="0.3">
      <c r="C101" s="169" t="s">
        <v>80</v>
      </c>
      <c r="D101" s="170">
        <f>D100*$B$98</f>
        <v>15</v>
      </c>
      <c r="F101" s="115"/>
      <c r="G101" s="174"/>
      <c r="H101" s="100"/>
    </row>
    <row r="102" spans="1:10" ht="19.5" customHeight="1" x14ac:dyDescent="0.3">
      <c r="C102" s="177" t="s">
        <v>81</v>
      </c>
      <c r="D102" s="178">
        <f>D101/B34</f>
        <v>15</v>
      </c>
      <c r="F102" s="119"/>
      <c r="G102" s="174"/>
      <c r="H102" s="100"/>
      <c r="J102" s="179"/>
    </row>
    <row r="103" spans="1:10" ht="18.75" x14ac:dyDescent="0.3">
      <c r="C103" s="180" t="s">
        <v>116</v>
      </c>
      <c r="D103" s="181">
        <f>AVERAGE(E91:E94,G91:G94)</f>
        <v>46302988.340095662</v>
      </c>
      <c r="F103" s="119"/>
      <c r="G103" s="182"/>
      <c r="H103" s="100"/>
      <c r="J103" s="183"/>
    </row>
    <row r="104" spans="1:10" ht="18.75" x14ac:dyDescent="0.3">
      <c r="C104" s="149" t="s">
        <v>83</v>
      </c>
      <c r="D104" s="184">
        <f>STDEV(E91:E94,G91:G94)/D103</f>
        <v>8.1143109235006488E-3</v>
      </c>
      <c r="F104" s="119"/>
      <c r="G104" s="174"/>
      <c r="H104" s="100"/>
      <c r="J104" s="183"/>
    </row>
    <row r="105" spans="1:10" ht="19.5" customHeight="1" x14ac:dyDescent="0.3">
      <c r="C105" s="151" t="s">
        <v>19</v>
      </c>
      <c r="D105" s="185">
        <f>COUNT(E91:E94,G91:G94)</f>
        <v>6</v>
      </c>
      <c r="F105" s="119"/>
      <c r="G105" s="174"/>
      <c r="H105" s="100"/>
      <c r="J105" s="183"/>
    </row>
    <row r="106" spans="1:10" ht="19.5" customHeight="1" x14ac:dyDescent="0.3">
      <c r="A106" s="123"/>
      <c r="B106" s="123"/>
      <c r="C106" s="123"/>
      <c r="D106" s="123"/>
      <c r="E106" s="123"/>
    </row>
    <row r="107" spans="1:10" ht="26.25" customHeight="1" x14ac:dyDescent="0.4">
      <c r="A107" s="73" t="s">
        <v>117</v>
      </c>
      <c r="B107" s="74">
        <v>1000</v>
      </c>
      <c r="C107" s="186" t="s">
        <v>118</v>
      </c>
      <c r="D107" s="187" t="s">
        <v>62</v>
      </c>
      <c r="E107" s="188" t="s">
        <v>119</v>
      </c>
      <c r="F107" s="189" t="s">
        <v>120</v>
      </c>
    </row>
    <row r="108" spans="1:10" ht="26.25" customHeight="1" x14ac:dyDescent="0.4">
      <c r="A108" s="75" t="s">
        <v>121</v>
      </c>
      <c r="B108" s="76">
        <v>1</v>
      </c>
      <c r="C108" s="190">
        <v>1</v>
      </c>
      <c r="D108" s="191">
        <v>43453409</v>
      </c>
      <c r="E108" s="222">
        <f t="shared" ref="E108:E113" si="1">IF(ISBLANK(D108),"-",D108/$D$103*$D$100*$B$116)</f>
        <v>281.53739461156056</v>
      </c>
      <c r="F108" s="192">
        <f t="shared" ref="F108:F113" si="2">IF(ISBLANK(D108), "-", E108/$B$56)</f>
        <v>0.93845798203853514</v>
      </c>
    </row>
    <row r="109" spans="1:10" ht="26.25" customHeight="1" x14ac:dyDescent="0.4">
      <c r="A109" s="75" t="s">
        <v>94</v>
      </c>
      <c r="B109" s="76">
        <v>1</v>
      </c>
      <c r="C109" s="190">
        <v>2</v>
      </c>
      <c r="D109" s="191">
        <v>43365795</v>
      </c>
      <c r="E109" s="223">
        <f t="shared" si="1"/>
        <v>280.96973794527923</v>
      </c>
      <c r="F109" s="193">
        <f t="shared" si="2"/>
        <v>0.9365657931509308</v>
      </c>
    </row>
    <row r="110" spans="1:10" ht="26.25" customHeight="1" x14ac:dyDescent="0.4">
      <c r="A110" s="75" t="s">
        <v>95</v>
      </c>
      <c r="B110" s="76">
        <v>1</v>
      </c>
      <c r="C110" s="190">
        <v>3</v>
      </c>
      <c r="D110" s="191">
        <v>44000139</v>
      </c>
      <c r="E110" s="223">
        <f t="shared" si="1"/>
        <v>285.07969297889872</v>
      </c>
      <c r="F110" s="193">
        <f t="shared" si="2"/>
        <v>0.95026564326299579</v>
      </c>
    </row>
    <row r="111" spans="1:10" ht="26.25" customHeight="1" x14ac:dyDescent="0.4">
      <c r="A111" s="75" t="s">
        <v>96</v>
      </c>
      <c r="B111" s="76">
        <v>1</v>
      </c>
      <c r="C111" s="190">
        <v>4</v>
      </c>
      <c r="D111" s="191">
        <v>43315584</v>
      </c>
      <c r="E111" s="223">
        <f t="shared" si="1"/>
        <v>280.64441768971909</v>
      </c>
      <c r="F111" s="193">
        <f t="shared" si="2"/>
        <v>0.93548139229906369</v>
      </c>
    </row>
    <row r="112" spans="1:10" ht="26.25" customHeight="1" x14ac:dyDescent="0.4">
      <c r="A112" s="75" t="s">
        <v>97</v>
      </c>
      <c r="B112" s="76">
        <v>1</v>
      </c>
      <c r="C112" s="190">
        <v>5</v>
      </c>
      <c r="D112" s="191">
        <v>43873829</v>
      </c>
      <c r="E112" s="223">
        <f t="shared" si="1"/>
        <v>284.26132247283817</v>
      </c>
      <c r="F112" s="193">
        <f t="shared" si="2"/>
        <v>0.94753774157612725</v>
      </c>
    </row>
    <row r="113" spans="1:10" ht="26.25" customHeight="1" x14ac:dyDescent="0.4">
      <c r="A113" s="75" t="s">
        <v>99</v>
      </c>
      <c r="B113" s="76">
        <v>1</v>
      </c>
      <c r="C113" s="194">
        <v>6</v>
      </c>
      <c r="D113" s="195">
        <v>43210799</v>
      </c>
      <c r="E113" s="224">
        <f t="shared" si="1"/>
        <v>279.96550902470796</v>
      </c>
      <c r="F113" s="196">
        <f t="shared" si="2"/>
        <v>0.9332183634156932</v>
      </c>
    </row>
    <row r="114" spans="1:10" ht="26.25" customHeight="1" x14ac:dyDescent="0.4">
      <c r="A114" s="75" t="s">
        <v>100</v>
      </c>
      <c r="B114" s="76">
        <v>1</v>
      </c>
      <c r="C114" s="190"/>
      <c r="D114" s="146"/>
      <c r="E114" s="49"/>
      <c r="F114" s="197"/>
    </row>
    <row r="115" spans="1:10" ht="26.25" customHeight="1" x14ac:dyDescent="0.4">
      <c r="A115" s="75" t="s">
        <v>101</v>
      </c>
      <c r="B115" s="76">
        <v>1</v>
      </c>
      <c r="C115" s="190"/>
      <c r="D115" s="198" t="s">
        <v>70</v>
      </c>
      <c r="E115" s="226">
        <f>AVERAGE(E108:E113)</f>
        <v>282.07634578716727</v>
      </c>
      <c r="F115" s="199">
        <f>AVERAGE(F108:F113)</f>
        <v>0.94025448595722427</v>
      </c>
    </row>
    <row r="116" spans="1:10" ht="27" customHeight="1" x14ac:dyDescent="0.4">
      <c r="A116" s="75" t="s">
        <v>102</v>
      </c>
      <c r="B116" s="105">
        <f>(B115/B114)*(B113/B112)*(B111/B110)*(B109/B108)*B107</f>
        <v>1000</v>
      </c>
      <c r="C116" s="200"/>
      <c r="D116" s="164" t="s">
        <v>83</v>
      </c>
      <c r="E116" s="201">
        <f>STDEV(E108:E113)/E115</f>
        <v>7.4050686619258317E-3</v>
      </c>
      <c r="F116" s="201">
        <f>STDEV(F108:F113)/F115</f>
        <v>7.4050686619258378E-3</v>
      </c>
      <c r="I116" s="49"/>
    </row>
    <row r="117" spans="1:10" ht="27" customHeight="1" x14ac:dyDescent="0.4">
      <c r="A117" s="645" t="s">
        <v>77</v>
      </c>
      <c r="B117" s="646"/>
      <c r="C117" s="202"/>
      <c r="D117" s="203" t="s">
        <v>19</v>
      </c>
      <c r="E117" s="204">
        <f>COUNT(E108:E113)</f>
        <v>6</v>
      </c>
      <c r="F117" s="204">
        <f>COUNT(F108:F113)</f>
        <v>6</v>
      </c>
      <c r="I117" s="49"/>
      <c r="J117" s="183"/>
    </row>
    <row r="118" spans="1:10" ht="19.5" customHeight="1" x14ac:dyDescent="0.3">
      <c r="A118" s="647"/>
      <c r="B118" s="648"/>
      <c r="C118" s="49"/>
      <c r="D118" s="49"/>
      <c r="E118" s="49"/>
      <c r="F118" s="146"/>
      <c r="G118" s="49"/>
      <c r="H118" s="49"/>
      <c r="I118" s="49"/>
    </row>
    <row r="119" spans="1:10" ht="18.75" x14ac:dyDescent="0.3">
      <c r="A119" s="213"/>
      <c r="B119" s="71"/>
      <c r="C119" s="49"/>
      <c r="D119" s="49"/>
      <c r="E119" s="49"/>
      <c r="F119" s="146"/>
      <c r="G119" s="49"/>
      <c r="H119" s="49"/>
      <c r="I119" s="49"/>
    </row>
    <row r="120" spans="1:10" ht="26.25" customHeight="1" x14ac:dyDescent="0.4">
      <c r="A120" s="59" t="s">
        <v>105</v>
      </c>
      <c r="B120" s="153" t="s">
        <v>122</v>
      </c>
      <c r="C120" s="649" t="str">
        <f>B20</f>
        <v xml:space="preserve">Tenofovir Disoproxil Fumarate , Lamivudine  &amp; Efavirenz </v>
      </c>
      <c r="D120" s="649"/>
      <c r="E120" s="154" t="s">
        <v>123</v>
      </c>
      <c r="F120" s="154"/>
      <c r="G120" s="155">
        <f>F115</f>
        <v>0.94025448595722427</v>
      </c>
      <c r="H120" s="49"/>
      <c r="I120" s="49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650" t="s">
        <v>25</v>
      </c>
      <c r="C122" s="650"/>
      <c r="E122" s="159" t="s">
        <v>26</v>
      </c>
      <c r="F122" s="207"/>
      <c r="G122" s="650" t="s">
        <v>27</v>
      </c>
      <c r="H122" s="650"/>
    </row>
    <row r="123" spans="1:10" ht="69.95" customHeight="1" x14ac:dyDescent="0.3">
      <c r="A123" s="208" t="s">
        <v>28</v>
      </c>
      <c r="B123" s="209"/>
      <c r="C123" s="209"/>
      <c r="E123" s="209"/>
      <c r="F123" s="49"/>
      <c r="G123" s="210"/>
      <c r="H123" s="210"/>
    </row>
    <row r="124" spans="1:10" ht="69.95" customHeight="1" x14ac:dyDescent="0.3">
      <c r="A124" s="208" t="s">
        <v>29</v>
      </c>
      <c r="B124" s="211"/>
      <c r="C124" s="211"/>
      <c r="E124" s="211"/>
      <c r="F124" s="49"/>
      <c r="G124" s="212"/>
      <c r="H124" s="212"/>
    </row>
    <row r="125" spans="1:10" ht="18.75" x14ac:dyDescent="0.3">
      <c r="A125" s="145"/>
      <c r="B125" s="145"/>
      <c r="C125" s="146"/>
      <c r="D125" s="146"/>
      <c r="E125" s="146"/>
      <c r="F125" s="150"/>
      <c r="G125" s="146"/>
      <c r="H125" s="146"/>
      <c r="I125" s="49"/>
    </row>
    <row r="126" spans="1:10" ht="18.75" x14ac:dyDescent="0.3">
      <c r="A126" s="145"/>
      <c r="B126" s="145"/>
      <c r="C126" s="146"/>
      <c r="D126" s="146"/>
      <c r="E126" s="146"/>
      <c r="F126" s="150"/>
      <c r="G126" s="146"/>
      <c r="H126" s="146"/>
      <c r="I126" s="49"/>
    </row>
    <row r="127" spans="1:10" ht="18.75" x14ac:dyDescent="0.3">
      <c r="A127" s="145"/>
      <c r="B127" s="145"/>
      <c r="C127" s="146"/>
      <c r="D127" s="146"/>
      <c r="E127" s="146"/>
      <c r="F127" s="150"/>
      <c r="G127" s="146"/>
      <c r="H127" s="146"/>
      <c r="I127" s="49"/>
    </row>
    <row r="128" spans="1:10" ht="18.75" x14ac:dyDescent="0.3">
      <c r="A128" s="145"/>
      <c r="B128" s="145"/>
      <c r="C128" s="146"/>
      <c r="D128" s="146"/>
      <c r="E128" s="146"/>
      <c r="F128" s="150"/>
      <c r="G128" s="146"/>
      <c r="H128" s="146"/>
      <c r="I128" s="49"/>
    </row>
    <row r="129" spans="1:9" ht="18.75" x14ac:dyDescent="0.3">
      <c r="A129" s="145"/>
      <c r="B129" s="145"/>
      <c r="C129" s="146"/>
      <c r="D129" s="146"/>
      <c r="E129" s="146"/>
      <c r="F129" s="150"/>
      <c r="G129" s="146"/>
      <c r="H129" s="146"/>
      <c r="I129" s="49"/>
    </row>
    <row r="130" spans="1:9" ht="18.75" x14ac:dyDescent="0.3">
      <c r="A130" s="145"/>
      <c r="B130" s="145"/>
      <c r="C130" s="146"/>
      <c r="D130" s="146"/>
      <c r="E130" s="146"/>
      <c r="F130" s="150"/>
      <c r="G130" s="146"/>
      <c r="H130" s="146"/>
      <c r="I130" s="49"/>
    </row>
    <row r="131" spans="1:9" ht="18.75" x14ac:dyDescent="0.3">
      <c r="A131" s="145"/>
      <c r="B131" s="145"/>
      <c r="C131" s="146"/>
      <c r="D131" s="146"/>
      <c r="E131" s="146"/>
      <c r="F131" s="150"/>
      <c r="G131" s="146"/>
      <c r="H131" s="146"/>
      <c r="I131" s="49"/>
    </row>
    <row r="132" spans="1:9" ht="18.75" x14ac:dyDescent="0.3">
      <c r="A132" s="145"/>
      <c r="B132" s="145"/>
      <c r="C132" s="146"/>
      <c r="D132" s="146"/>
      <c r="E132" s="146"/>
      <c r="F132" s="150"/>
      <c r="G132" s="146"/>
      <c r="H132" s="146"/>
      <c r="I132" s="49"/>
    </row>
    <row r="133" spans="1:9" ht="18.75" x14ac:dyDescent="0.3">
      <c r="A133" s="145"/>
      <c r="B133" s="145"/>
      <c r="C133" s="146"/>
      <c r="D133" s="146"/>
      <c r="E133" s="146"/>
      <c r="F133" s="150"/>
      <c r="G133" s="146"/>
      <c r="H133" s="146"/>
      <c r="I133" s="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6" zoomScale="55" zoomScaleNormal="60" zoomScaleSheetLayoutView="55" zoomScalePageLayoutView="55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3" t="s">
        <v>44</v>
      </c>
      <c r="B1" s="643"/>
      <c r="C1" s="643"/>
      <c r="D1" s="643"/>
      <c r="E1" s="643"/>
      <c r="F1" s="643"/>
      <c r="G1" s="643"/>
      <c r="H1" s="643"/>
      <c r="I1" s="643"/>
    </row>
    <row r="2" spans="1:9" ht="18.7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</row>
    <row r="3" spans="1:9" ht="18.75" customHeight="1" x14ac:dyDescent="0.25">
      <c r="A3" s="643"/>
      <c r="B3" s="643"/>
      <c r="C3" s="643"/>
      <c r="D3" s="643"/>
      <c r="E3" s="643"/>
      <c r="F3" s="643"/>
      <c r="G3" s="643"/>
      <c r="H3" s="643"/>
      <c r="I3" s="643"/>
    </row>
    <row r="4" spans="1:9" ht="18.75" customHeight="1" x14ac:dyDescent="0.25">
      <c r="A4" s="643"/>
      <c r="B4" s="643"/>
      <c r="C4" s="643"/>
      <c r="D4" s="643"/>
      <c r="E4" s="643"/>
      <c r="F4" s="643"/>
      <c r="G4" s="643"/>
      <c r="H4" s="643"/>
      <c r="I4" s="643"/>
    </row>
    <row r="5" spans="1:9" ht="18.75" customHeight="1" x14ac:dyDescent="0.25">
      <c r="A5" s="643"/>
      <c r="B5" s="643"/>
      <c r="C5" s="643"/>
      <c r="D5" s="643"/>
      <c r="E5" s="643"/>
      <c r="F5" s="643"/>
      <c r="G5" s="643"/>
      <c r="H5" s="643"/>
      <c r="I5" s="643"/>
    </row>
    <row r="6" spans="1:9" ht="18.75" customHeight="1" x14ac:dyDescent="0.25">
      <c r="A6" s="643"/>
      <c r="B6" s="643"/>
      <c r="C6" s="643"/>
      <c r="D6" s="643"/>
      <c r="E6" s="643"/>
      <c r="F6" s="643"/>
      <c r="G6" s="643"/>
      <c r="H6" s="643"/>
      <c r="I6" s="643"/>
    </row>
    <row r="7" spans="1:9" ht="18.75" customHeight="1" x14ac:dyDescent="0.25">
      <c r="A7" s="643"/>
      <c r="B7" s="643"/>
      <c r="C7" s="643"/>
      <c r="D7" s="643"/>
      <c r="E7" s="643"/>
      <c r="F7" s="643"/>
      <c r="G7" s="643"/>
      <c r="H7" s="643"/>
      <c r="I7" s="643"/>
    </row>
    <row r="8" spans="1:9" x14ac:dyDescent="0.25">
      <c r="A8" s="644" t="s">
        <v>45</v>
      </c>
      <c r="B8" s="644"/>
      <c r="C8" s="644"/>
      <c r="D8" s="644"/>
      <c r="E8" s="644"/>
      <c r="F8" s="644"/>
      <c r="G8" s="644"/>
      <c r="H8" s="644"/>
      <c r="I8" s="644"/>
    </row>
    <row r="9" spans="1:9" x14ac:dyDescent="0.25">
      <c r="A9" s="644"/>
      <c r="B9" s="644"/>
      <c r="C9" s="644"/>
      <c r="D9" s="644"/>
      <c r="E9" s="644"/>
      <c r="F9" s="644"/>
      <c r="G9" s="644"/>
      <c r="H9" s="644"/>
      <c r="I9" s="644"/>
    </row>
    <row r="10" spans="1:9" x14ac:dyDescent="0.25">
      <c r="A10" s="644"/>
      <c r="B10" s="644"/>
      <c r="C10" s="644"/>
      <c r="D10" s="644"/>
      <c r="E10" s="644"/>
      <c r="F10" s="644"/>
      <c r="G10" s="644"/>
      <c r="H10" s="644"/>
      <c r="I10" s="644"/>
    </row>
    <row r="11" spans="1:9" x14ac:dyDescent="0.25">
      <c r="A11" s="644"/>
      <c r="B11" s="644"/>
      <c r="C11" s="644"/>
      <c r="D11" s="644"/>
      <c r="E11" s="644"/>
      <c r="F11" s="644"/>
      <c r="G11" s="644"/>
      <c r="H11" s="644"/>
      <c r="I11" s="644"/>
    </row>
    <row r="12" spans="1:9" x14ac:dyDescent="0.25">
      <c r="A12" s="644"/>
      <c r="B12" s="644"/>
      <c r="C12" s="644"/>
      <c r="D12" s="644"/>
      <c r="E12" s="644"/>
      <c r="F12" s="644"/>
      <c r="G12" s="644"/>
      <c r="H12" s="644"/>
      <c r="I12" s="644"/>
    </row>
    <row r="13" spans="1:9" x14ac:dyDescent="0.25">
      <c r="A13" s="644"/>
      <c r="B13" s="644"/>
      <c r="C13" s="644"/>
      <c r="D13" s="644"/>
      <c r="E13" s="644"/>
      <c r="F13" s="644"/>
      <c r="G13" s="644"/>
      <c r="H13" s="644"/>
      <c r="I13" s="644"/>
    </row>
    <row r="14" spans="1:9" x14ac:dyDescent="0.25">
      <c r="A14" s="644"/>
      <c r="B14" s="644"/>
      <c r="C14" s="644"/>
      <c r="D14" s="644"/>
      <c r="E14" s="644"/>
      <c r="F14" s="644"/>
      <c r="G14" s="644"/>
      <c r="H14" s="644"/>
      <c r="I14" s="644"/>
    </row>
    <row r="15" spans="1:9" ht="19.5" customHeight="1" x14ac:dyDescent="0.3">
      <c r="A15" s="228"/>
    </row>
    <row r="16" spans="1:9" ht="19.5" customHeight="1" x14ac:dyDescent="0.3">
      <c r="A16" s="677" t="s">
        <v>30</v>
      </c>
      <c r="B16" s="678"/>
      <c r="C16" s="678"/>
      <c r="D16" s="678"/>
      <c r="E16" s="678"/>
      <c r="F16" s="678"/>
      <c r="G16" s="678"/>
      <c r="H16" s="679"/>
    </row>
    <row r="17" spans="1:14" ht="20.25" customHeight="1" x14ac:dyDescent="0.25">
      <c r="A17" s="680" t="s">
        <v>46</v>
      </c>
      <c r="B17" s="680"/>
      <c r="C17" s="680"/>
      <c r="D17" s="680"/>
      <c r="E17" s="680"/>
      <c r="F17" s="680"/>
      <c r="G17" s="680"/>
      <c r="H17" s="680"/>
    </row>
    <row r="18" spans="1:14" ht="26.25" customHeight="1" x14ac:dyDescent="0.4">
      <c r="A18" s="230" t="s">
        <v>32</v>
      </c>
      <c r="B18" s="676" t="s">
        <v>5</v>
      </c>
      <c r="C18" s="676"/>
      <c r="D18" s="394"/>
      <c r="E18" s="231"/>
      <c r="F18" s="232"/>
      <c r="G18" s="232"/>
      <c r="H18" s="232"/>
    </row>
    <row r="19" spans="1:14" ht="26.25" customHeight="1" x14ac:dyDescent="0.4">
      <c r="A19" s="230" t="s">
        <v>33</v>
      </c>
      <c r="B19" s="233" t="s">
        <v>7</v>
      </c>
      <c r="C19" s="407">
        <v>29</v>
      </c>
      <c r="D19" s="232"/>
      <c r="E19" s="232"/>
      <c r="F19" s="232"/>
      <c r="G19" s="232"/>
      <c r="H19" s="232"/>
    </row>
    <row r="20" spans="1:14" ht="26.25" customHeight="1" x14ac:dyDescent="0.4">
      <c r="A20" s="230" t="s">
        <v>34</v>
      </c>
      <c r="B20" s="681" t="s">
        <v>9</v>
      </c>
      <c r="C20" s="681"/>
      <c r="D20" s="232"/>
      <c r="E20" s="232"/>
      <c r="F20" s="232"/>
      <c r="G20" s="232"/>
      <c r="H20" s="232"/>
    </row>
    <row r="21" spans="1:14" ht="26.25" customHeight="1" x14ac:dyDescent="0.4">
      <c r="A21" s="230" t="s">
        <v>35</v>
      </c>
      <c r="B21" s="681" t="s">
        <v>11</v>
      </c>
      <c r="C21" s="681"/>
      <c r="D21" s="681"/>
      <c r="E21" s="681"/>
      <c r="F21" s="681"/>
      <c r="G21" s="681"/>
      <c r="H21" s="681"/>
      <c r="I21" s="234"/>
    </row>
    <row r="22" spans="1:14" ht="26.25" customHeight="1" x14ac:dyDescent="0.4">
      <c r="A22" s="230" t="s">
        <v>36</v>
      </c>
      <c r="B22" s="235">
        <v>42412</v>
      </c>
      <c r="C22" s="232"/>
      <c r="D22" s="232"/>
      <c r="E22" s="232"/>
      <c r="F22" s="232"/>
      <c r="G22" s="232"/>
      <c r="H22" s="232"/>
    </row>
    <row r="23" spans="1:14" ht="26.25" customHeight="1" x14ac:dyDescent="0.4">
      <c r="A23" s="230" t="s">
        <v>37</v>
      </c>
      <c r="B23" s="235">
        <v>42425</v>
      </c>
      <c r="C23" s="232"/>
      <c r="D23" s="232"/>
      <c r="E23" s="232"/>
      <c r="F23" s="232"/>
      <c r="G23" s="232"/>
      <c r="H23" s="232"/>
    </row>
    <row r="24" spans="1:14" ht="18.75" x14ac:dyDescent="0.3">
      <c r="A24" s="230"/>
      <c r="B24" s="236"/>
    </row>
    <row r="25" spans="1:14" ht="18.75" x14ac:dyDescent="0.3">
      <c r="A25" s="237" t="s">
        <v>1</v>
      </c>
      <c r="B25" s="236"/>
    </row>
    <row r="26" spans="1:14" ht="26.25" customHeight="1" x14ac:dyDescent="0.4">
      <c r="A26" s="238" t="s">
        <v>4</v>
      </c>
      <c r="B26" s="676" t="s">
        <v>127</v>
      </c>
      <c r="C26" s="676"/>
    </row>
    <row r="27" spans="1:14" ht="26.25" customHeight="1" x14ac:dyDescent="0.4">
      <c r="A27" s="239" t="s">
        <v>47</v>
      </c>
      <c r="B27" s="674" t="s">
        <v>128</v>
      </c>
      <c r="C27" s="674"/>
    </row>
    <row r="28" spans="1:14" ht="27" customHeight="1" x14ac:dyDescent="0.4">
      <c r="A28" s="239" t="s">
        <v>6</v>
      </c>
      <c r="B28" s="518">
        <v>98.8</v>
      </c>
      <c r="C28" s="537"/>
    </row>
    <row r="29" spans="1:14" s="3" customFormat="1" ht="27" customHeight="1" x14ac:dyDescent="0.4">
      <c r="A29" s="239" t="s">
        <v>48</v>
      </c>
      <c r="B29" s="241">
        <v>0</v>
      </c>
      <c r="C29" s="651" t="s">
        <v>49</v>
      </c>
      <c r="D29" s="652"/>
      <c r="E29" s="652"/>
      <c r="F29" s="652"/>
      <c r="G29" s="653"/>
      <c r="I29" s="242"/>
      <c r="J29" s="242"/>
      <c r="K29" s="242"/>
      <c r="L29" s="242"/>
    </row>
    <row r="30" spans="1:14" s="3" customFormat="1" ht="19.5" customHeight="1" x14ac:dyDescent="0.3">
      <c r="A30" s="239" t="s">
        <v>50</v>
      </c>
      <c r="B30" s="243">
        <f>B28-B29</f>
        <v>98.8</v>
      </c>
      <c r="C30" s="244"/>
      <c r="D30" s="244"/>
      <c r="E30" s="244"/>
      <c r="F30" s="244"/>
      <c r="G30" s="245"/>
      <c r="I30" s="242"/>
      <c r="J30" s="242"/>
      <c r="K30" s="242"/>
      <c r="L30" s="242"/>
    </row>
    <row r="31" spans="1:14" s="3" customFormat="1" ht="27" customHeight="1" x14ac:dyDescent="0.4">
      <c r="A31" s="239" t="s">
        <v>51</v>
      </c>
      <c r="B31" s="246">
        <v>1</v>
      </c>
      <c r="C31" s="654" t="s">
        <v>52</v>
      </c>
      <c r="D31" s="655"/>
      <c r="E31" s="655"/>
      <c r="F31" s="655"/>
      <c r="G31" s="655"/>
      <c r="H31" s="656"/>
      <c r="I31" s="242"/>
      <c r="J31" s="242"/>
      <c r="K31" s="242"/>
      <c r="L31" s="242"/>
    </row>
    <row r="32" spans="1:14" s="3" customFormat="1" ht="27" customHeight="1" x14ac:dyDescent="0.4">
      <c r="A32" s="239" t="s">
        <v>53</v>
      </c>
      <c r="B32" s="246">
        <v>1</v>
      </c>
      <c r="C32" s="654" t="s">
        <v>54</v>
      </c>
      <c r="D32" s="655"/>
      <c r="E32" s="655"/>
      <c r="F32" s="655"/>
      <c r="G32" s="655"/>
      <c r="H32" s="656"/>
      <c r="I32" s="242"/>
      <c r="J32" s="242"/>
      <c r="K32" s="242"/>
      <c r="L32" s="247"/>
      <c r="M32" s="247"/>
      <c r="N32" s="248"/>
    </row>
    <row r="33" spans="1:14" s="3" customFormat="1" ht="17.25" customHeight="1" x14ac:dyDescent="0.3">
      <c r="A33" s="239"/>
      <c r="B33" s="249"/>
      <c r="C33" s="250"/>
      <c r="D33" s="250"/>
      <c r="E33" s="250"/>
      <c r="F33" s="250"/>
      <c r="G33" s="250"/>
      <c r="H33" s="250"/>
      <c r="I33" s="242"/>
      <c r="J33" s="242"/>
      <c r="K33" s="242"/>
      <c r="L33" s="247"/>
      <c r="M33" s="247"/>
      <c r="N33" s="248"/>
    </row>
    <row r="34" spans="1:14" s="3" customFormat="1" ht="18.75" x14ac:dyDescent="0.3">
      <c r="A34" s="239" t="s">
        <v>55</v>
      </c>
      <c r="B34" s="251">
        <f>B31/B32</f>
        <v>1</v>
      </c>
      <c r="C34" s="229" t="s">
        <v>56</v>
      </c>
      <c r="D34" s="229"/>
      <c r="E34" s="229"/>
      <c r="F34" s="229"/>
      <c r="G34" s="229"/>
      <c r="I34" s="242"/>
      <c r="J34" s="242"/>
      <c r="K34" s="242"/>
      <c r="L34" s="247"/>
      <c r="M34" s="247"/>
      <c r="N34" s="248"/>
    </row>
    <row r="35" spans="1:14" s="3" customFormat="1" ht="19.5" customHeight="1" x14ac:dyDescent="0.3">
      <c r="A35" s="239"/>
      <c r="B35" s="243"/>
      <c r="G35" s="229"/>
      <c r="I35" s="242"/>
      <c r="J35" s="242"/>
      <c r="K35" s="242"/>
      <c r="L35" s="247"/>
      <c r="M35" s="247"/>
      <c r="N35" s="248"/>
    </row>
    <row r="36" spans="1:14" s="3" customFormat="1" ht="27" customHeight="1" x14ac:dyDescent="0.4">
      <c r="A36" s="252" t="s">
        <v>57</v>
      </c>
      <c r="B36" s="253">
        <v>50</v>
      </c>
      <c r="C36" s="229"/>
      <c r="D36" s="657" t="s">
        <v>58</v>
      </c>
      <c r="E36" s="675"/>
      <c r="F36" s="657" t="s">
        <v>59</v>
      </c>
      <c r="G36" s="658"/>
      <c r="J36" s="242"/>
      <c r="K36" s="242"/>
      <c r="L36" s="247"/>
      <c r="M36" s="247"/>
      <c r="N36" s="248"/>
    </row>
    <row r="37" spans="1:14" s="3" customFormat="1" ht="27" customHeight="1" x14ac:dyDescent="0.4">
      <c r="A37" s="254" t="s">
        <v>60</v>
      </c>
      <c r="B37" s="255">
        <v>10</v>
      </c>
      <c r="C37" s="256" t="s">
        <v>61</v>
      </c>
      <c r="D37" s="257" t="s">
        <v>62</v>
      </c>
      <c r="E37" s="258" t="s">
        <v>63</v>
      </c>
      <c r="F37" s="257" t="s">
        <v>62</v>
      </c>
      <c r="G37" s="259" t="s">
        <v>63</v>
      </c>
      <c r="I37" s="260" t="s">
        <v>64</v>
      </c>
      <c r="J37" s="242"/>
      <c r="K37" s="242"/>
      <c r="L37" s="247"/>
      <c r="M37" s="247"/>
      <c r="N37" s="248"/>
    </row>
    <row r="38" spans="1:14" s="3" customFormat="1" ht="26.25" customHeight="1" x14ac:dyDescent="0.4">
      <c r="A38" s="254" t="s">
        <v>65</v>
      </c>
      <c r="B38" s="255">
        <v>25</v>
      </c>
      <c r="C38" s="261">
        <v>1</v>
      </c>
      <c r="D38" s="442">
        <v>74382791</v>
      </c>
      <c r="E38" s="262">
        <f>IF(ISBLANK(D38),"-",$D$48/$D$45*D38)</f>
        <v>49185251.98726178</v>
      </c>
      <c r="F38" s="442">
        <v>78675977</v>
      </c>
      <c r="G38" s="263">
        <f>IF(ISBLANK(F38),"-",$D$48/$F$45*F38)</f>
        <v>48615113.350437239</v>
      </c>
      <c r="I38" s="264"/>
      <c r="J38" s="242"/>
      <c r="K38" s="242"/>
      <c r="L38" s="247"/>
      <c r="M38" s="247"/>
      <c r="N38" s="248"/>
    </row>
    <row r="39" spans="1:14" s="3" customFormat="1" ht="26.25" customHeight="1" x14ac:dyDescent="0.4">
      <c r="A39" s="254" t="s">
        <v>66</v>
      </c>
      <c r="B39" s="255">
        <v>1</v>
      </c>
      <c r="C39" s="265">
        <v>2</v>
      </c>
      <c r="D39" s="447">
        <v>74383864</v>
      </c>
      <c r="E39" s="267">
        <f>IF(ISBLANK(D39),"-",$D$48/$D$45*D39)</f>
        <v>49185961.503195144</v>
      </c>
      <c r="F39" s="447">
        <v>78734178</v>
      </c>
      <c r="G39" s="268">
        <f>IF(ISBLANK(F39),"-",$D$48/$F$45*F39)</f>
        <v>48651076.656137384</v>
      </c>
      <c r="I39" s="659">
        <f>ABS((F43/D43*D42)-F42)/D42</f>
        <v>1.0706282691983919E-2</v>
      </c>
      <c r="J39" s="242"/>
      <c r="K39" s="242"/>
      <c r="L39" s="247"/>
      <c r="M39" s="247"/>
      <c r="N39" s="248"/>
    </row>
    <row r="40" spans="1:14" ht="26.25" customHeight="1" x14ac:dyDescent="0.4">
      <c r="A40" s="254" t="s">
        <v>67</v>
      </c>
      <c r="B40" s="255">
        <v>1</v>
      </c>
      <c r="C40" s="265">
        <v>3</v>
      </c>
      <c r="D40" s="447">
        <v>74204597</v>
      </c>
      <c r="E40" s="267">
        <f>IF(ISBLANK(D40),"-",$D$48/$D$45*D40)</f>
        <v>49067422.087700494</v>
      </c>
      <c r="F40" s="447">
        <v>78809083</v>
      </c>
      <c r="G40" s="268">
        <f>IF(ISBLANK(F40),"-",$D$48/$F$45*F40)</f>
        <v>48697361.623981059</v>
      </c>
      <c r="I40" s="659"/>
      <c r="L40" s="247"/>
      <c r="M40" s="247"/>
      <c r="N40" s="269"/>
    </row>
    <row r="41" spans="1:14" ht="27" customHeight="1" x14ac:dyDescent="0.4">
      <c r="A41" s="254" t="s">
        <v>68</v>
      </c>
      <c r="B41" s="255">
        <v>1</v>
      </c>
      <c r="C41" s="270">
        <v>4</v>
      </c>
      <c r="D41" s="271"/>
      <c r="E41" s="272" t="str">
        <f>IF(ISBLANK(D41),"-",$D$48/$D$45*D41)</f>
        <v>-</v>
      </c>
      <c r="F41" s="271"/>
      <c r="G41" s="273" t="str">
        <f>IF(ISBLANK(F41),"-",$D$48/$F$45*F41)</f>
        <v>-</v>
      </c>
      <c r="I41" s="274"/>
      <c r="L41" s="247"/>
      <c r="M41" s="247"/>
      <c r="N41" s="269"/>
    </row>
    <row r="42" spans="1:14" ht="27" customHeight="1" x14ac:dyDescent="0.4">
      <c r="A42" s="254" t="s">
        <v>69</v>
      </c>
      <c r="B42" s="255">
        <v>1</v>
      </c>
      <c r="C42" s="275" t="s">
        <v>70</v>
      </c>
      <c r="D42" s="276">
        <f>AVERAGE(D38:D41)</f>
        <v>74323750.666666672</v>
      </c>
      <c r="E42" s="277">
        <f>AVERAGE(E38:E41)</f>
        <v>49146211.859385811</v>
      </c>
      <c r="F42" s="276">
        <f>AVERAGE(F38:F41)</f>
        <v>78739746</v>
      </c>
      <c r="G42" s="278">
        <f>AVERAGE(G38:G41)</f>
        <v>48654517.21018523</v>
      </c>
      <c r="H42" s="279"/>
    </row>
    <row r="43" spans="1:14" ht="26.25" customHeight="1" x14ac:dyDescent="0.4">
      <c r="A43" s="254" t="s">
        <v>71</v>
      </c>
      <c r="B43" s="255">
        <v>1</v>
      </c>
      <c r="C43" s="280" t="s">
        <v>72</v>
      </c>
      <c r="D43" s="281">
        <v>22.96</v>
      </c>
      <c r="E43" s="269"/>
      <c r="F43" s="281">
        <v>24.57</v>
      </c>
      <c r="H43" s="279"/>
    </row>
    <row r="44" spans="1:14" ht="26.25" customHeight="1" x14ac:dyDescent="0.4">
      <c r="A44" s="254" t="s">
        <v>73</v>
      </c>
      <c r="B44" s="255">
        <v>1</v>
      </c>
      <c r="C44" s="282" t="s">
        <v>74</v>
      </c>
      <c r="D44" s="283">
        <f>D43*$B$34</f>
        <v>22.96</v>
      </c>
      <c r="E44" s="284"/>
      <c r="F44" s="283">
        <f>F43*$B$34</f>
        <v>24.57</v>
      </c>
      <c r="H44" s="279"/>
    </row>
    <row r="45" spans="1:14" ht="19.5" customHeight="1" x14ac:dyDescent="0.3">
      <c r="A45" s="254" t="s">
        <v>75</v>
      </c>
      <c r="B45" s="285">
        <f>(B44/B43)*(B42/B41)*(B40/B39)*(B38/B37)*B36</f>
        <v>125</v>
      </c>
      <c r="C45" s="282" t="s">
        <v>76</v>
      </c>
      <c r="D45" s="286">
        <f>D44*$B$30/100</f>
        <v>22.684479999999997</v>
      </c>
      <c r="E45" s="287"/>
      <c r="F45" s="286">
        <f>F44*$B$30/100</f>
        <v>24.27516</v>
      </c>
      <c r="H45" s="279"/>
    </row>
    <row r="46" spans="1:14" ht="19.5" customHeight="1" x14ac:dyDescent="0.3">
      <c r="A46" s="645" t="s">
        <v>77</v>
      </c>
      <c r="B46" s="646"/>
      <c r="C46" s="282" t="s">
        <v>78</v>
      </c>
      <c r="D46" s="288">
        <f>D45/$B$45</f>
        <v>0.18147583999999997</v>
      </c>
      <c r="E46" s="289"/>
      <c r="F46" s="290">
        <f>F45/$B$45</f>
        <v>0.19420128</v>
      </c>
      <c r="H46" s="279"/>
    </row>
    <row r="47" spans="1:14" ht="27" customHeight="1" x14ac:dyDescent="0.4">
      <c r="A47" s="647"/>
      <c r="B47" s="648"/>
      <c r="C47" s="291" t="s">
        <v>79</v>
      </c>
      <c r="D47" s="292">
        <v>0.12</v>
      </c>
      <c r="E47" s="293"/>
      <c r="F47" s="289"/>
      <c r="H47" s="279"/>
    </row>
    <row r="48" spans="1:14" ht="18.75" x14ac:dyDescent="0.3">
      <c r="C48" s="294" t="s">
        <v>80</v>
      </c>
      <c r="D48" s="286">
        <f>D47*$B$45</f>
        <v>15</v>
      </c>
      <c r="F48" s="295"/>
      <c r="H48" s="279"/>
    </row>
    <row r="49" spans="1:12" ht="19.5" customHeight="1" x14ac:dyDescent="0.3">
      <c r="C49" s="296" t="s">
        <v>81</v>
      </c>
      <c r="D49" s="297">
        <f>D48/B34</f>
        <v>15</v>
      </c>
      <c r="F49" s="295"/>
      <c r="H49" s="279"/>
    </row>
    <row r="50" spans="1:12" ht="18.75" x14ac:dyDescent="0.3">
      <c r="C50" s="252" t="s">
        <v>82</v>
      </c>
      <c r="D50" s="298">
        <f>AVERAGE(E38:E41,G38:G41)</f>
        <v>48900364.534785509</v>
      </c>
      <c r="F50" s="299"/>
      <c r="H50" s="279"/>
    </row>
    <row r="51" spans="1:12" ht="18.75" x14ac:dyDescent="0.3">
      <c r="C51" s="254" t="s">
        <v>83</v>
      </c>
      <c r="D51" s="300">
        <f>STDEV(E38:E41,G38:G41)/D50</f>
        <v>5.6030628910588558E-3</v>
      </c>
      <c r="F51" s="299"/>
      <c r="H51" s="279"/>
    </row>
    <row r="52" spans="1:12" ht="19.5" customHeight="1" x14ac:dyDescent="0.3">
      <c r="C52" s="301" t="s">
        <v>19</v>
      </c>
      <c r="D52" s="302">
        <f>COUNT(E38:E41,G38:G41)</f>
        <v>6</v>
      </c>
      <c r="F52" s="299"/>
    </row>
    <row r="54" spans="1:12" ht="18.75" x14ac:dyDescent="0.3">
      <c r="A54" s="303" t="s">
        <v>1</v>
      </c>
      <c r="B54" s="304" t="s">
        <v>84</v>
      </c>
    </row>
    <row r="55" spans="1:12" ht="18.75" x14ac:dyDescent="0.3">
      <c r="A55" s="229" t="s">
        <v>85</v>
      </c>
      <c r="B55" s="305" t="str">
        <f>B21</f>
        <v>Each tablet contains:Tenofovir Disoproxil Fumarate 300mg, Lamivudine 300mg &amp; Efavirenz 600mg tablets</v>
      </c>
    </row>
    <row r="56" spans="1:12" ht="26.25" customHeight="1" x14ac:dyDescent="0.4">
      <c r="A56" s="306" t="s">
        <v>86</v>
      </c>
      <c r="B56" s="307">
        <v>300</v>
      </c>
      <c r="C56" s="229" t="str">
        <f>B20</f>
        <v xml:space="preserve">Tenofovir Disoproxil Fumarate , Lamivudine  &amp; Efavirenz </v>
      </c>
      <c r="H56" s="308"/>
    </row>
    <row r="57" spans="1:12" ht="18.75" x14ac:dyDescent="0.3">
      <c r="A57" s="305" t="s">
        <v>87</v>
      </c>
      <c r="B57" s="395">
        <f>Uniformity!C36</f>
        <v>1909.461</v>
      </c>
      <c r="H57" s="308"/>
    </row>
    <row r="58" spans="1:12" ht="19.5" customHeight="1" x14ac:dyDescent="0.3">
      <c r="H58" s="308"/>
    </row>
    <row r="59" spans="1:12" s="3" customFormat="1" ht="27" customHeight="1" x14ac:dyDescent="0.4">
      <c r="A59" s="252" t="s">
        <v>88</v>
      </c>
      <c r="B59" s="253">
        <v>200</v>
      </c>
      <c r="C59" s="229"/>
      <c r="D59" s="309" t="s">
        <v>89</v>
      </c>
      <c r="E59" s="310" t="s">
        <v>61</v>
      </c>
      <c r="F59" s="310" t="s">
        <v>62</v>
      </c>
      <c r="G59" s="310" t="s">
        <v>90</v>
      </c>
      <c r="H59" s="256" t="s">
        <v>91</v>
      </c>
      <c r="L59" s="242"/>
    </row>
    <row r="60" spans="1:12" s="3" customFormat="1" ht="26.25" customHeight="1" x14ac:dyDescent="0.4">
      <c r="A60" s="254" t="s">
        <v>92</v>
      </c>
      <c r="B60" s="255">
        <v>2</v>
      </c>
      <c r="C60" s="662" t="s">
        <v>93</v>
      </c>
      <c r="D60" s="665">
        <v>1901.59</v>
      </c>
      <c r="E60" s="311">
        <v>1</v>
      </c>
      <c r="F60" s="312">
        <v>44963379</v>
      </c>
      <c r="G60" s="396">
        <f>IF(ISBLANK(F60),"-",(F60/$D$50*$D$47*$B$68)*($B$57/$D$60))</f>
        <v>276.98867113432129</v>
      </c>
      <c r="H60" s="313">
        <f t="shared" ref="H60:H71" si="0">IF(ISBLANK(F60),"-",G60/$B$56)</f>
        <v>0.92329557044773769</v>
      </c>
      <c r="L60" s="242"/>
    </row>
    <row r="61" spans="1:12" s="3" customFormat="1" ht="26.25" customHeight="1" x14ac:dyDescent="0.4">
      <c r="A61" s="254" t="s">
        <v>94</v>
      </c>
      <c r="B61" s="255">
        <v>25</v>
      </c>
      <c r="C61" s="663"/>
      <c r="D61" s="666"/>
      <c r="E61" s="314">
        <v>2</v>
      </c>
      <c r="F61" s="266">
        <v>44990519</v>
      </c>
      <c r="G61" s="397">
        <f>IF(ISBLANK(F61),"-",(F61/$D$50*$D$47*$B$68)*($B$57/$D$60))</f>
        <v>277.15586213957437</v>
      </c>
      <c r="H61" s="315">
        <f t="shared" si="0"/>
        <v>0.92385287379858128</v>
      </c>
      <c r="L61" s="242"/>
    </row>
    <row r="62" spans="1:12" s="3" customFormat="1" ht="26.25" customHeight="1" x14ac:dyDescent="0.4">
      <c r="A62" s="254" t="s">
        <v>95</v>
      </c>
      <c r="B62" s="255">
        <v>1</v>
      </c>
      <c r="C62" s="663"/>
      <c r="D62" s="666"/>
      <c r="E62" s="314">
        <v>3</v>
      </c>
      <c r="F62" s="316">
        <v>45051584</v>
      </c>
      <c r="G62" s="397">
        <f>IF(ISBLANK(F62),"-",(F62/$D$50*$D$47*$B$68)*($B$57/$D$60))</f>
        <v>277.53204190139382</v>
      </c>
      <c r="H62" s="315">
        <f t="shared" si="0"/>
        <v>0.92510680633797937</v>
      </c>
      <c r="L62" s="242"/>
    </row>
    <row r="63" spans="1:12" ht="27" customHeight="1" x14ac:dyDescent="0.4">
      <c r="A63" s="254" t="s">
        <v>96</v>
      </c>
      <c r="B63" s="255">
        <v>1</v>
      </c>
      <c r="C63" s="673"/>
      <c r="D63" s="667"/>
      <c r="E63" s="317">
        <v>4</v>
      </c>
      <c r="F63" s="318"/>
      <c r="G63" s="397" t="str">
        <f>IF(ISBLANK(F63),"-",(F63/$D$50*$D$47*$B$68)*($B$57/$D$60))</f>
        <v>-</v>
      </c>
      <c r="H63" s="315" t="str">
        <f t="shared" si="0"/>
        <v>-</v>
      </c>
    </row>
    <row r="64" spans="1:12" ht="26.25" customHeight="1" x14ac:dyDescent="0.4">
      <c r="A64" s="254" t="s">
        <v>97</v>
      </c>
      <c r="B64" s="255">
        <v>1</v>
      </c>
      <c r="C64" s="662" t="s">
        <v>98</v>
      </c>
      <c r="D64" s="665">
        <v>1910.12</v>
      </c>
      <c r="E64" s="311">
        <v>1</v>
      </c>
      <c r="F64" s="312">
        <v>44486529</v>
      </c>
      <c r="G64" s="398">
        <f>IF(ISBLANK(F64),"-",(F64/$D$50*$D$47*$B$68)*($B$57/$D$64))</f>
        <v>272.82729711902431</v>
      </c>
      <c r="H64" s="319">
        <f t="shared" si="0"/>
        <v>0.90942432373008097</v>
      </c>
    </row>
    <row r="65" spans="1:8" ht="26.25" customHeight="1" x14ac:dyDescent="0.4">
      <c r="A65" s="254" t="s">
        <v>99</v>
      </c>
      <c r="B65" s="255">
        <v>1</v>
      </c>
      <c r="C65" s="663"/>
      <c r="D65" s="666"/>
      <c r="E65" s="314">
        <v>2</v>
      </c>
      <c r="F65" s="266">
        <v>44439154</v>
      </c>
      <c r="G65" s="399">
        <f>IF(ISBLANK(F65),"-",(F65/$D$50*$D$47*$B$68)*($B$57/$D$64))</f>
        <v>272.53675538669421</v>
      </c>
      <c r="H65" s="320">
        <f t="shared" si="0"/>
        <v>0.90845585128898065</v>
      </c>
    </row>
    <row r="66" spans="1:8" ht="26.25" customHeight="1" x14ac:dyDescent="0.4">
      <c r="A66" s="254" t="s">
        <v>100</v>
      </c>
      <c r="B66" s="255">
        <v>1</v>
      </c>
      <c r="C66" s="663"/>
      <c r="D66" s="666"/>
      <c r="E66" s="314">
        <v>3</v>
      </c>
      <c r="F66" s="266">
        <v>44522901</v>
      </c>
      <c r="G66" s="399">
        <f>IF(ISBLANK(F66),"-",(F66/$D$50*$D$47*$B$68)*($B$57/$D$64))</f>
        <v>273.05035957576968</v>
      </c>
      <c r="H66" s="320">
        <f t="shared" si="0"/>
        <v>0.91016786525256554</v>
      </c>
    </row>
    <row r="67" spans="1:8" ht="27" customHeight="1" x14ac:dyDescent="0.4">
      <c r="A67" s="254" t="s">
        <v>101</v>
      </c>
      <c r="B67" s="255">
        <v>1</v>
      </c>
      <c r="C67" s="673"/>
      <c r="D67" s="667"/>
      <c r="E67" s="317">
        <v>4</v>
      </c>
      <c r="F67" s="318"/>
      <c r="G67" s="400" t="str">
        <f>IF(ISBLANK(F67),"-",(F67/$D$50*$D$47*$B$68)*($B$57/$D$64))</f>
        <v>-</v>
      </c>
      <c r="H67" s="321" t="str">
        <f t="shared" si="0"/>
        <v>-</v>
      </c>
    </row>
    <row r="68" spans="1:8" ht="26.25" customHeight="1" x14ac:dyDescent="0.4">
      <c r="A68" s="254" t="s">
        <v>102</v>
      </c>
      <c r="B68" s="322">
        <f>(B67/B66)*(B65/B64)*(B63/B62)*(B61/B60)*B59</f>
        <v>2500</v>
      </c>
      <c r="C68" s="662" t="s">
        <v>103</v>
      </c>
      <c r="D68" s="665">
        <v>1913.97</v>
      </c>
      <c r="E68" s="311">
        <v>1</v>
      </c>
      <c r="F68" s="312">
        <v>46583493</v>
      </c>
      <c r="G68" s="398">
        <f>IF(ISBLANK(F68),"-",(F68/$D$50*$D$47*$B$68)*($B$57/$D$68))</f>
        <v>285.11290473034933</v>
      </c>
      <c r="H68" s="315">
        <f t="shared" si="0"/>
        <v>0.95037634910116442</v>
      </c>
    </row>
    <row r="69" spans="1:8" ht="27" customHeight="1" x14ac:dyDescent="0.4">
      <c r="A69" s="301" t="s">
        <v>104</v>
      </c>
      <c r="B69" s="323">
        <f>(D47*B68)/B56*B57</f>
        <v>1909.461</v>
      </c>
      <c r="C69" s="663"/>
      <c r="D69" s="666"/>
      <c r="E69" s="314">
        <v>2</v>
      </c>
      <c r="F69" s="266">
        <v>46654840</v>
      </c>
      <c r="G69" s="399">
        <f>IF(ISBLANK(F69),"-",(F69/$D$50*$D$47*$B$68)*($B$57/$D$68))</f>
        <v>285.54958195448535</v>
      </c>
      <c r="H69" s="315">
        <f t="shared" si="0"/>
        <v>0.95183193984828451</v>
      </c>
    </row>
    <row r="70" spans="1:8" ht="26.25" customHeight="1" x14ac:dyDescent="0.4">
      <c r="A70" s="668" t="s">
        <v>77</v>
      </c>
      <c r="B70" s="669"/>
      <c r="C70" s="663"/>
      <c r="D70" s="666"/>
      <c r="E70" s="314">
        <v>3</v>
      </c>
      <c r="F70" s="266">
        <v>46555173</v>
      </c>
      <c r="G70" s="399">
        <f>IF(ISBLANK(F70),"-",(F70/$D$50*$D$47*$B$68)*($B$57/$D$68))</f>
        <v>284.93957299968758</v>
      </c>
      <c r="H70" s="315">
        <f t="shared" si="0"/>
        <v>0.94979857666562528</v>
      </c>
    </row>
    <row r="71" spans="1:8" ht="27" customHeight="1" x14ac:dyDescent="0.4">
      <c r="A71" s="670"/>
      <c r="B71" s="671"/>
      <c r="C71" s="664"/>
      <c r="D71" s="667"/>
      <c r="E71" s="317">
        <v>4</v>
      </c>
      <c r="F71" s="318"/>
      <c r="G71" s="400" t="str">
        <f>IF(ISBLANK(F71),"-",(F71/$D$50*$D$47*$B$68)*($B$57/$D$68))</f>
        <v>-</v>
      </c>
      <c r="H71" s="324" t="str">
        <f t="shared" si="0"/>
        <v>-</v>
      </c>
    </row>
    <row r="72" spans="1:8" ht="26.25" customHeight="1" x14ac:dyDescent="0.4">
      <c r="A72" s="325"/>
      <c r="B72" s="325"/>
      <c r="C72" s="325"/>
      <c r="D72" s="325"/>
      <c r="E72" s="325"/>
      <c r="F72" s="327" t="s">
        <v>70</v>
      </c>
      <c r="G72" s="405">
        <f>AVERAGE(G60:G71)</f>
        <v>278.41033854903333</v>
      </c>
      <c r="H72" s="328">
        <f>AVERAGE(H60:H71)</f>
        <v>0.92803446183011118</v>
      </c>
    </row>
    <row r="73" spans="1:8" ht="26.25" customHeight="1" x14ac:dyDescent="0.4">
      <c r="C73" s="325"/>
      <c r="D73" s="325"/>
      <c r="E73" s="325"/>
      <c r="F73" s="329" t="s">
        <v>83</v>
      </c>
      <c r="G73" s="401">
        <f>STDEV(G60:G71)/G72</f>
        <v>1.9561785782565778E-2</v>
      </c>
      <c r="H73" s="401">
        <f>STDEV(H60:H71)/H72</f>
        <v>1.9561785782565799E-2</v>
      </c>
    </row>
    <row r="74" spans="1:8" ht="27" customHeight="1" x14ac:dyDescent="0.4">
      <c r="A74" s="325"/>
      <c r="B74" s="325"/>
      <c r="C74" s="326"/>
      <c r="D74" s="326"/>
      <c r="E74" s="330"/>
      <c r="F74" s="331" t="s">
        <v>19</v>
      </c>
      <c r="G74" s="332">
        <f>COUNT(G60:G71)</f>
        <v>9</v>
      </c>
      <c r="H74" s="332">
        <f>COUNT(H60:H71)</f>
        <v>9</v>
      </c>
    </row>
    <row r="76" spans="1:8" ht="26.25" customHeight="1" x14ac:dyDescent="0.4">
      <c r="A76" s="238" t="s">
        <v>105</v>
      </c>
      <c r="B76" s="333" t="s">
        <v>106</v>
      </c>
      <c r="C76" s="649" t="str">
        <f>B20</f>
        <v xml:space="preserve">Tenofovir Disoproxil Fumarate , Lamivudine  &amp; Efavirenz </v>
      </c>
      <c r="D76" s="649"/>
      <c r="E76" s="334" t="s">
        <v>107</v>
      </c>
      <c r="F76" s="334"/>
      <c r="G76" s="335">
        <f>H72</f>
        <v>0.92803446183011118</v>
      </c>
      <c r="H76" s="336"/>
    </row>
    <row r="77" spans="1:8" ht="18.75" x14ac:dyDescent="0.3">
      <c r="A77" s="237" t="s">
        <v>108</v>
      </c>
      <c r="B77" s="237" t="s">
        <v>109</v>
      </c>
    </row>
    <row r="78" spans="1:8" ht="18.75" x14ac:dyDescent="0.3">
      <c r="A78" s="237"/>
      <c r="B78" s="237"/>
    </row>
    <row r="79" spans="1:8" ht="26.25" customHeight="1" x14ac:dyDescent="0.4">
      <c r="A79" s="238" t="s">
        <v>4</v>
      </c>
      <c r="B79" s="672" t="str">
        <f>B26</f>
        <v>Tenofovir DF</v>
      </c>
      <c r="C79" s="672"/>
    </row>
    <row r="80" spans="1:8" ht="26.25" customHeight="1" x14ac:dyDescent="0.4">
      <c r="A80" s="239" t="s">
        <v>47</v>
      </c>
      <c r="B80" s="672" t="s">
        <v>132</v>
      </c>
      <c r="C80" s="672"/>
    </row>
    <row r="81" spans="1:12" ht="27" customHeight="1" x14ac:dyDescent="0.4">
      <c r="A81" s="239" t="s">
        <v>6</v>
      </c>
      <c r="B81" s="518">
        <v>99.8</v>
      </c>
      <c r="C81" s="537"/>
    </row>
    <row r="82" spans="1:12" s="3" customFormat="1" ht="27" customHeight="1" x14ac:dyDescent="0.4">
      <c r="A82" s="239" t="s">
        <v>48</v>
      </c>
      <c r="B82" s="241">
        <v>0</v>
      </c>
      <c r="C82" s="651" t="s">
        <v>49</v>
      </c>
      <c r="D82" s="652"/>
      <c r="E82" s="652"/>
      <c r="F82" s="652"/>
      <c r="G82" s="653"/>
      <c r="I82" s="242"/>
      <c r="J82" s="242"/>
      <c r="K82" s="242"/>
      <c r="L82" s="242"/>
    </row>
    <row r="83" spans="1:12" s="3" customFormat="1" ht="19.5" customHeight="1" x14ac:dyDescent="0.3">
      <c r="A83" s="239" t="s">
        <v>50</v>
      </c>
      <c r="B83" s="243">
        <f>B81-B82</f>
        <v>99.8</v>
      </c>
      <c r="C83" s="244"/>
      <c r="D83" s="244"/>
      <c r="E83" s="244"/>
      <c r="F83" s="244"/>
      <c r="G83" s="245"/>
      <c r="I83" s="242"/>
      <c r="J83" s="242"/>
      <c r="K83" s="242"/>
      <c r="L83" s="242"/>
    </row>
    <row r="84" spans="1:12" s="3" customFormat="1" ht="27" customHeight="1" x14ac:dyDescent="0.4">
      <c r="A84" s="239" t="s">
        <v>51</v>
      </c>
      <c r="B84" s="246">
        <v>1</v>
      </c>
      <c r="C84" s="654" t="s">
        <v>110</v>
      </c>
      <c r="D84" s="655"/>
      <c r="E84" s="655"/>
      <c r="F84" s="655"/>
      <c r="G84" s="655"/>
      <c r="H84" s="656"/>
      <c r="I84" s="242"/>
      <c r="J84" s="242"/>
      <c r="K84" s="242"/>
      <c r="L84" s="242"/>
    </row>
    <row r="85" spans="1:12" s="3" customFormat="1" ht="27" customHeight="1" x14ac:dyDescent="0.4">
      <c r="A85" s="239" t="s">
        <v>53</v>
      </c>
      <c r="B85" s="246">
        <v>1</v>
      </c>
      <c r="C85" s="654" t="s">
        <v>111</v>
      </c>
      <c r="D85" s="655"/>
      <c r="E85" s="655"/>
      <c r="F85" s="655"/>
      <c r="G85" s="655"/>
      <c r="H85" s="656"/>
      <c r="I85" s="242"/>
      <c r="J85" s="242"/>
      <c r="K85" s="242"/>
      <c r="L85" s="242"/>
    </row>
    <row r="86" spans="1:12" s="3" customFormat="1" ht="18.75" x14ac:dyDescent="0.3">
      <c r="A86" s="239"/>
      <c r="B86" s="249"/>
      <c r="C86" s="250"/>
      <c r="D86" s="250"/>
      <c r="E86" s="250"/>
      <c r="F86" s="250"/>
      <c r="G86" s="250"/>
      <c r="H86" s="250"/>
      <c r="I86" s="242"/>
      <c r="J86" s="242"/>
      <c r="K86" s="242"/>
      <c r="L86" s="242"/>
    </row>
    <row r="87" spans="1:12" s="3" customFormat="1" ht="18.75" x14ac:dyDescent="0.3">
      <c r="A87" s="239" t="s">
        <v>55</v>
      </c>
      <c r="B87" s="251">
        <f>B84/B85</f>
        <v>1</v>
      </c>
      <c r="C87" s="229" t="s">
        <v>56</v>
      </c>
      <c r="D87" s="229"/>
      <c r="E87" s="229"/>
      <c r="F87" s="229"/>
      <c r="G87" s="229"/>
      <c r="I87" s="242"/>
      <c r="J87" s="242"/>
      <c r="K87" s="242"/>
      <c r="L87" s="242"/>
    </row>
    <row r="88" spans="1:12" ht="19.5" customHeight="1" x14ac:dyDescent="0.3">
      <c r="A88" s="237"/>
      <c r="B88" s="237"/>
    </row>
    <row r="89" spans="1:12" ht="27" customHeight="1" x14ac:dyDescent="0.4">
      <c r="A89" s="252" t="s">
        <v>57</v>
      </c>
      <c r="B89" s="253">
        <v>50</v>
      </c>
      <c r="D89" s="337" t="s">
        <v>58</v>
      </c>
      <c r="E89" s="338"/>
      <c r="F89" s="657" t="s">
        <v>59</v>
      </c>
      <c r="G89" s="658"/>
    </row>
    <row r="90" spans="1:12" ht="27" customHeight="1" x14ac:dyDescent="0.4">
      <c r="A90" s="254" t="s">
        <v>60</v>
      </c>
      <c r="B90" s="255">
        <v>1</v>
      </c>
      <c r="C90" s="339" t="s">
        <v>61</v>
      </c>
      <c r="D90" s="257" t="s">
        <v>62</v>
      </c>
      <c r="E90" s="258" t="s">
        <v>63</v>
      </c>
      <c r="F90" s="257" t="s">
        <v>62</v>
      </c>
      <c r="G90" s="340" t="s">
        <v>63</v>
      </c>
      <c r="I90" s="260" t="s">
        <v>64</v>
      </c>
    </row>
    <row r="91" spans="1:12" ht="26.25" customHeight="1" x14ac:dyDescent="0.4">
      <c r="A91" s="254" t="s">
        <v>65</v>
      </c>
      <c r="B91" s="255">
        <v>1</v>
      </c>
      <c r="C91" s="341">
        <v>1</v>
      </c>
      <c r="D91" s="442">
        <v>29879516</v>
      </c>
      <c r="E91" s="262">
        <f>IF(ISBLANK(D91),"-",$D$101/$D$98*D91)</f>
        <v>33514247.898782644</v>
      </c>
      <c r="F91" s="442">
        <v>34730372</v>
      </c>
      <c r="G91" s="263">
        <f>IF(ISBLANK(F91),"-",$D$101/$F$98*F91)</f>
        <v>33227217.005621683</v>
      </c>
      <c r="I91" s="264"/>
    </row>
    <row r="92" spans="1:12" ht="26.25" customHeight="1" x14ac:dyDescent="0.4">
      <c r="A92" s="254" t="s">
        <v>66</v>
      </c>
      <c r="B92" s="255">
        <v>1</v>
      </c>
      <c r="C92" s="326">
        <v>2</v>
      </c>
      <c r="D92" s="447">
        <v>29520269</v>
      </c>
      <c r="E92" s="267">
        <f>IF(ISBLANK(D92),"-",$D$101/$D$98*D92)</f>
        <v>33111299.838482939</v>
      </c>
      <c r="F92" s="447">
        <v>34535657</v>
      </c>
      <c r="G92" s="268">
        <f>IF(ISBLANK(F92),"-",$D$101/$F$98*F92)</f>
        <v>33040929.408147931</v>
      </c>
      <c r="I92" s="659">
        <f>ABS((F96/D96*D95)-F95)/D95</f>
        <v>1.0607054739283611E-3</v>
      </c>
    </row>
    <row r="93" spans="1:12" ht="26.25" customHeight="1" x14ac:dyDescent="0.4">
      <c r="A93" s="254" t="s">
        <v>67</v>
      </c>
      <c r="B93" s="255">
        <v>1</v>
      </c>
      <c r="C93" s="326">
        <v>3</v>
      </c>
      <c r="D93" s="447">
        <v>29389189</v>
      </c>
      <c r="E93" s="267">
        <f>IF(ISBLANK(D93),"-",$D$101/$D$98*D93)</f>
        <v>32964274.444411214</v>
      </c>
      <c r="F93" s="447">
        <v>34734925</v>
      </c>
      <c r="G93" s="268">
        <f>IF(ISBLANK(F93),"-",$D$101/$F$98*F93)</f>
        <v>33231572.948570598</v>
      </c>
      <c r="I93" s="659"/>
    </row>
    <row r="94" spans="1:12" ht="27" customHeight="1" x14ac:dyDescent="0.4">
      <c r="A94" s="254" t="s">
        <v>68</v>
      </c>
      <c r="B94" s="255">
        <v>1</v>
      </c>
      <c r="C94" s="342">
        <v>4</v>
      </c>
      <c r="D94" s="271"/>
      <c r="E94" s="272" t="str">
        <f>IF(ISBLANK(D94),"-",$D$101/$D$98*D94)</f>
        <v>-</v>
      </c>
      <c r="F94" s="343"/>
      <c r="G94" s="273" t="str">
        <f>IF(ISBLANK(F94),"-",$D$101/$F$98*F94)</f>
        <v>-</v>
      </c>
      <c r="I94" s="274"/>
    </row>
    <row r="95" spans="1:12" ht="27" customHeight="1" x14ac:dyDescent="0.4">
      <c r="A95" s="254" t="s">
        <v>69</v>
      </c>
      <c r="B95" s="255">
        <v>1</v>
      </c>
      <c r="C95" s="344" t="s">
        <v>70</v>
      </c>
      <c r="D95" s="345">
        <f>AVERAGE(D91:D94)</f>
        <v>29596324.666666668</v>
      </c>
      <c r="E95" s="277">
        <f>AVERAGE(E91:E94)</f>
        <v>33196607.39389227</v>
      </c>
      <c r="F95" s="346">
        <f>AVERAGE(F91:F94)</f>
        <v>34666984.666666664</v>
      </c>
      <c r="G95" s="347">
        <f>AVERAGE(G91:G94)</f>
        <v>33166573.120780069</v>
      </c>
    </row>
    <row r="96" spans="1:12" ht="26.25" customHeight="1" x14ac:dyDescent="0.4">
      <c r="A96" s="254" t="s">
        <v>71</v>
      </c>
      <c r="B96" s="240">
        <v>1</v>
      </c>
      <c r="C96" s="348" t="s">
        <v>112</v>
      </c>
      <c r="D96" s="531">
        <v>13.4</v>
      </c>
      <c r="E96" s="269"/>
      <c r="F96" s="462">
        <v>15.71</v>
      </c>
    </row>
    <row r="97" spans="1:10" ht="26.25" customHeight="1" x14ac:dyDescent="0.4">
      <c r="A97" s="254" t="s">
        <v>73</v>
      </c>
      <c r="B97" s="240">
        <v>1</v>
      </c>
      <c r="C97" s="349" t="s">
        <v>113</v>
      </c>
      <c r="D97" s="350">
        <f>D96*$B$87</f>
        <v>13.4</v>
      </c>
      <c r="E97" s="284"/>
      <c r="F97" s="283">
        <f>F96*$B$87</f>
        <v>15.71</v>
      </c>
    </row>
    <row r="98" spans="1:10" ht="19.5" customHeight="1" x14ac:dyDescent="0.3">
      <c r="A98" s="254" t="s">
        <v>75</v>
      </c>
      <c r="B98" s="351">
        <f>(B97/B96)*(B95/B94)*(B93/B92)*(B91/B90)*B89</f>
        <v>50</v>
      </c>
      <c r="C98" s="349" t="s">
        <v>114</v>
      </c>
      <c r="D98" s="352">
        <f>D97*$B$83/100</f>
        <v>13.373199999999999</v>
      </c>
      <c r="E98" s="287"/>
      <c r="F98" s="286">
        <f>F97*$B$83/100</f>
        <v>15.67858</v>
      </c>
    </row>
    <row r="99" spans="1:10" ht="19.5" customHeight="1" x14ac:dyDescent="0.3">
      <c r="A99" s="645" t="s">
        <v>77</v>
      </c>
      <c r="B99" s="660"/>
      <c r="C99" s="349" t="s">
        <v>115</v>
      </c>
      <c r="D99" s="353">
        <f>D98/$B$98</f>
        <v>0.26746399999999998</v>
      </c>
      <c r="E99" s="287"/>
      <c r="F99" s="290">
        <f>F98/$B$98</f>
        <v>0.31357160000000001</v>
      </c>
      <c r="G99" s="354"/>
      <c r="H99" s="279"/>
    </row>
    <row r="100" spans="1:10" ht="19.5" customHeight="1" x14ac:dyDescent="0.3">
      <c r="A100" s="647"/>
      <c r="B100" s="661"/>
      <c r="C100" s="349" t="s">
        <v>79</v>
      </c>
      <c r="D100" s="355">
        <f>$B$56/$B$116</f>
        <v>0.3</v>
      </c>
      <c r="F100" s="295"/>
      <c r="G100" s="356"/>
      <c r="H100" s="279"/>
    </row>
    <row r="101" spans="1:10" ht="18.75" x14ac:dyDescent="0.3">
      <c r="C101" s="349" t="s">
        <v>80</v>
      </c>
      <c r="D101" s="350">
        <f>D100*$B$98</f>
        <v>15</v>
      </c>
      <c r="F101" s="295"/>
      <c r="G101" s="354"/>
      <c r="H101" s="279"/>
    </row>
    <row r="102" spans="1:10" ht="19.5" customHeight="1" x14ac:dyDescent="0.3">
      <c r="C102" s="357" t="s">
        <v>81</v>
      </c>
      <c r="D102" s="358">
        <f>D101/B34</f>
        <v>15</v>
      </c>
      <c r="F102" s="299"/>
      <c r="G102" s="354"/>
      <c r="H102" s="279"/>
      <c r="J102" s="359"/>
    </row>
    <row r="103" spans="1:10" ht="18.75" x14ac:dyDescent="0.3">
      <c r="C103" s="360" t="s">
        <v>116</v>
      </c>
      <c r="D103" s="361">
        <f>AVERAGE(E91:E94,G91:G94)</f>
        <v>33181590.257336169</v>
      </c>
      <c r="F103" s="299"/>
      <c r="G103" s="362"/>
      <c r="H103" s="279"/>
      <c r="J103" s="363"/>
    </row>
    <row r="104" spans="1:10" ht="18.75" x14ac:dyDescent="0.3">
      <c r="C104" s="329" t="s">
        <v>83</v>
      </c>
      <c r="D104" s="364">
        <f>STDEV(E91:E94,G91:G94)/D103</f>
        <v>5.8312713196419794E-3</v>
      </c>
      <c r="F104" s="299"/>
      <c r="G104" s="354"/>
      <c r="H104" s="279"/>
      <c r="J104" s="363"/>
    </row>
    <row r="105" spans="1:10" ht="19.5" customHeight="1" x14ac:dyDescent="0.3">
      <c r="C105" s="331" t="s">
        <v>19</v>
      </c>
      <c r="D105" s="365">
        <f>COUNT(E91:E94,G91:G94)</f>
        <v>6</v>
      </c>
      <c r="F105" s="299"/>
      <c r="G105" s="354"/>
      <c r="H105" s="279"/>
      <c r="J105" s="363"/>
    </row>
    <row r="106" spans="1:10" ht="19.5" customHeight="1" x14ac:dyDescent="0.3">
      <c r="A106" s="303"/>
      <c r="B106" s="303"/>
      <c r="C106" s="303"/>
      <c r="D106" s="303"/>
      <c r="E106" s="303"/>
    </row>
    <row r="107" spans="1:10" ht="26.25" customHeight="1" x14ac:dyDescent="0.4">
      <c r="A107" s="252" t="s">
        <v>117</v>
      </c>
      <c r="B107" s="253">
        <v>1000</v>
      </c>
      <c r="C107" s="366" t="s">
        <v>118</v>
      </c>
      <c r="D107" s="367" t="s">
        <v>62</v>
      </c>
      <c r="E107" s="368" t="s">
        <v>119</v>
      </c>
      <c r="F107" s="369" t="s">
        <v>120</v>
      </c>
    </row>
    <row r="108" spans="1:10" ht="26.25" customHeight="1" x14ac:dyDescent="0.4">
      <c r="A108" s="254" t="s">
        <v>121</v>
      </c>
      <c r="B108" s="255">
        <v>1</v>
      </c>
      <c r="C108" s="370">
        <v>1</v>
      </c>
      <c r="D108" s="371">
        <v>27458826</v>
      </c>
      <c r="E108" s="402">
        <f t="shared" ref="E108:E113" si="1">IF(ISBLANK(D108),"-",D108/$D$103*$D$100*$B$116)</f>
        <v>248.25958418851624</v>
      </c>
      <c r="F108" s="372">
        <f t="shared" ref="F108:F113" si="2">IF(ISBLANK(D108), "-", E108/$B$56)</f>
        <v>0.82753194729505419</v>
      </c>
    </row>
    <row r="109" spans="1:10" ht="26.25" customHeight="1" x14ac:dyDescent="0.4">
      <c r="A109" s="254" t="s">
        <v>94</v>
      </c>
      <c r="B109" s="255">
        <v>1</v>
      </c>
      <c r="C109" s="370">
        <v>2</v>
      </c>
      <c r="D109" s="371">
        <v>30071386</v>
      </c>
      <c r="E109" s="403">
        <f t="shared" si="1"/>
        <v>271.8801519166322</v>
      </c>
      <c r="F109" s="373">
        <f t="shared" si="2"/>
        <v>0.90626717305544069</v>
      </c>
    </row>
    <row r="110" spans="1:10" ht="26.25" customHeight="1" x14ac:dyDescent="0.4">
      <c r="A110" s="254" t="s">
        <v>95</v>
      </c>
      <c r="B110" s="255">
        <v>1</v>
      </c>
      <c r="C110" s="370">
        <v>3</v>
      </c>
      <c r="D110" s="371">
        <v>30987696</v>
      </c>
      <c r="E110" s="403">
        <f t="shared" si="1"/>
        <v>280.16465539787271</v>
      </c>
      <c r="F110" s="373">
        <f t="shared" si="2"/>
        <v>0.93388218465957573</v>
      </c>
    </row>
    <row r="111" spans="1:10" ht="26.25" customHeight="1" x14ac:dyDescent="0.4">
      <c r="A111" s="254" t="s">
        <v>96</v>
      </c>
      <c r="B111" s="255">
        <v>1</v>
      </c>
      <c r="C111" s="370">
        <v>4</v>
      </c>
      <c r="D111" s="371">
        <v>30995665</v>
      </c>
      <c r="E111" s="403">
        <f t="shared" si="1"/>
        <v>280.23670438592484</v>
      </c>
      <c r="F111" s="373">
        <f t="shared" si="2"/>
        <v>0.9341223479530828</v>
      </c>
    </row>
    <row r="112" spans="1:10" ht="26.25" customHeight="1" x14ac:dyDescent="0.4">
      <c r="A112" s="254" t="s">
        <v>97</v>
      </c>
      <c r="B112" s="255">
        <v>1</v>
      </c>
      <c r="C112" s="370">
        <v>5</v>
      </c>
      <c r="D112" s="371">
        <v>28426674</v>
      </c>
      <c r="E112" s="403">
        <f t="shared" si="1"/>
        <v>257.01005087043802</v>
      </c>
      <c r="F112" s="373">
        <f t="shared" si="2"/>
        <v>0.85670016956812678</v>
      </c>
    </row>
    <row r="113" spans="1:10" ht="26.25" customHeight="1" x14ac:dyDescent="0.4">
      <c r="A113" s="254" t="s">
        <v>99</v>
      </c>
      <c r="B113" s="255">
        <v>1</v>
      </c>
      <c r="C113" s="374">
        <v>6</v>
      </c>
      <c r="D113" s="375">
        <v>29952987</v>
      </c>
      <c r="E113" s="404">
        <f t="shared" si="1"/>
        <v>270.80968785133177</v>
      </c>
      <c r="F113" s="376">
        <f t="shared" si="2"/>
        <v>0.90269895950443924</v>
      </c>
    </row>
    <row r="114" spans="1:10" ht="26.25" customHeight="1" x14ac:dyDescent="0.4">
      <c r="A114" s="254" t="s">
        <v>100</v>
      </c>
      <c r="B114" s="255">
        <v>1</v>
      </c>
      <c r="C114" s="370"/>
      <c r="D114" s="326"/>
      <c r="E114" s="228"/>
      <c r="F114" s="377"/>
    </row>
    <row r="115" spans="1:10" ht="26.25" customHeight="1" x14ac:dyDescent="0.4">
      <c r="A115" s="254" t="s">
        <v>101</v>
      </c>
      <c r="B115" s="255">
        <v>1</v>
      </c>
      <c r="C115" s="370"/>
      <c r="D115" s="378" t="s">
        <v>70</v>
      </c>
      <c r="E115" s="406">
        <f>AVERAGE(E108:E113)</f>
        <v>268.06013910178598</v>
      </c>
      <c r="F115" s="379">
        <f>AVERAGE(F108:F113)</f>
        <v>0.89353379700595326</v>
      </c>
    </row>
    <row r="116" spans="1:10" ht="27" customHeight="1" x14ac:dyDescent="0.4">
      <c r="A116" s="254" t="s">
        <v>102</v>
      </c>
      <c r="B116" s="285">
        <f>(B115/B114)*(B113/B112)*(B111/B110)*(B109/B108)*B107</f>
        <v>1000</v>
      </c>
      <c r="C116" s="380"/>
      <c r="D116" s="344" t="s">
        <v>83</v>
      </c>
      <c r="E116" s="381">
        <f>STDEV(E108:E113)/E115</f>
        <v>4.8096251375011889E-2</v>
      </c>
      <c r="F116" s="381">
        <f>STDEV(F108:F113)/F115</f>
        <v>4.8096251375011868E-2</v>
      </c>
      <c r="I116" s="228"/>
    </row>
    <row r="117" spans="1:10" ht="27" customHeight="1" x14ac:dyDescent="0.4">
      <c r="A117" s="645" t="s">
        <v>77</v>
      </c>
      <c r="B117" s="646"/>
      <c r="C117" s="382"/>
      <c r="D117" s="383" t="s">
        <v>19</v>
      </c>
      <c r="E117" s="384">
        <f>COUNT(E108:E113)</f>
        <v>6</v>
      </c>
      <c r="F117" s="384">
        <f>COUNT(F108:F113)</f>
        <v>6</v>
      </c>
      <c r="I117" s="228"/>
      <c r="J117" s="363"/>
    </row>
    <row r="118" spans="1:10" ht="19.5" customHeight="1" x14ac:dyDescent="0.3">
      <c r="A118" s="647"/>
      <c r="B118" s="648"/>
      <c r="C118" s="228"/>
      <c r="D118" s="228"/>
      <c r="E118" s="228"/>
      <c r="F118" s="326"/>
      <c r="G118" s="228"/>
      <c r="H118" s="228"/>
      <c r="I118" s="228"/>
    </row>
    <row r="119" spans="1:10" ht="18.75" x14ac:dyDescent="0.3">
      <c r="A119" s="393"/>
      <c r="B119" s="250"/>
      <c r="C119" s="228"/>
      <c r="D119" s="228"/>
      <c r="E119" s="228"/>
      <c r="F119" s="326"/>
      <c r="G119" s="228"/>
      <c r="H119" s="228"/>
      <c r="I119" s="228"/>
    </row>
    <row r="120" spans="1:10" ht="26.25" customHeight="1" x14ac:dyDescent="0.4">
      <c r="A120" s="238" t="s">
        <v>105</v>
      </c>
      <c r="B120" s="333" t="s">
        <v>122</v>
      </c>
      <c r="C120" s="649" t="str">
        <f>B20</f>
        <v xml:space="preserve">Tenofovir Disoproxil Fumarate , Lamivudine  &amp; Efavirenz </v>
      </c>
      <c r="D120" s="649"/>
      <c r="E120" s="334" t="s">
        <v>123</v>
      </c>
      <c r="F120" s="334"/>
      <c r="G120" s="335">
        <f>F115</f>
        <v>0.89353379700595326</v>
      </c>
      <c r="H120" s="228"/>
      <c r="I120" s="228"/>
    </row>
    <row r="121" spans="1:10" ht="19.5" customHeight="1" x14ac:dyDescent="0.3">
      <c r="A121" s="385"/>
      <c r="B121" s="385"/>
      <c r="C121" s="386"/>
      <c r="D121" s="386"/>
      <c r="E121" s="386"/>
      <c r="F121" s="386"/>
      <c r="G121" s="386"/>
      <c r="H121" s="386"/>
    </row>
    <row r="122" spans="1:10" ht="18.75" x14ac:dyDescent="0.3">
      <c r="B122" s="650" t="s">
        <v>25</v>
      </c>
      <c r="C122" s="650"/>
      <c r="E122" s="339" t="s">
        <v>26</v>
      </c>
      <c r="F122" s="387"/>
      <c r="G122" s="650" t="s">
        <v>27</v>
      </c>
      <c r="H122" s="650"/>
    </row>
    <row r="123" spans="1:10" ht="69.95" customHeight="1" x14ac:dyDescent="0.3">
      <c r="A123" s="388" t="s">
        <v>28</v>
      </c>
      <c r="B123" s="389"/>
      <c r="C123" s="389"/>
      <c r="E123" s="389"/>
      <c r="F123" s="228"/>
      <c r="G123" s="390"/>
      <c r="H123" s="390"/>
    </row>
    <row r="124" spans="1:10" ht="69.95" customHeight="1" x14ac:dyDescent="0.3">
      <c r="A124" s="388" t="s">
        <v>29</v>
      </c>
      <c r="B124" s="391"/>
      <c r="C124" s="391"/>
      <c r="E124" s="391"/>
      <c r="F124" s="228"/>
      <c r="G124" s="392"/>
      <c r="H124" s="392"/>
    </row>
    <row r="125" spans="1:10" ht="18.75" x14ac:dyDescent="0.3">
      <c r="A125" s="325"/>
      <c r="B125" s="325"/>
      <c r="C125" s="326"/>
      <c r="D125" s="326"/>
      <c r="E125" s="326"/>
      <c r="F125" s="330"/>
      <c r="G125" s="326"/>
      <c r="H125" s="326"/>
      <c r="I125" s="228"/>
    </row>
    <row r="126" spans="1:10" ht="18.75" x14ac:dyDescent="0.3">
      <c r="A126" s="325"/>
      <c r="B126" s="325"/>
      <c r="C126" s="326"/>
      <c r="D126" s="326"/>
      <c r="E126" s="326"/>
      <c r="F126" s="330"/>
      <c r="G126" s="326"/>
      <c r="H126" s="326"/>
      <c r="I126" s="228"/>
    </row>
    <row r="127" spans="1:10" ht="18.75" x14ac:dyDescent="0.3">
      <c r="A127" s="325"/>
      <c r="B127" s="325"/>
      <c r="C127" s="326"/>
      <c r="D127" s="326"/>
      <c r="E127" s="326"/>
      <c r="F127" s="330"/>
      <c r="G127" s="326"/>
      <c r="H127" s="326"/>
      <c r="I127" s="228"/>
    </row>
    <row r="128" spans="1:10" ht="18.75" x14ac:dyDescent="0.3">
      <c r="A128" s="325"/>
      <c r="B128" s="325"/>
      <c r="C128" s="326"/>
      <c r="D128" s="326"/>
      <c r="E128" s="326"/>
      <c r="F128" s="330"/>
      <c r="G128" s="326"/>
      <c r="H128" s="326"/>
      <c r="I128" s="228"/>
    </row>
    <row r="129" spans="1:9" ht="18.75" x14ac:dyDescent="0.3">
      <c r="A129" s="325"/>
      <c r="B129" s="325"/>
      <c r="C129" s="326"/>
      <c r="D129" s="326"/>
      <c r="E129" s="326"/>
      <c r="F129" s="330"/>
      <c r="G129" s="326"/>
      <c r="H129" s="326"/>
      <c r="I129" s="228"/>
    </row>
    <row r="130" spans="1:9" ht="18.75" x14ac:dyDescent="0.3">
      <c r="A130" s="325"/>
      <c r="B130" s="325"/>
      <c r="C130" s="326"/>
      <c r="D130" s="326"/>
      <c r="E130" s="326"/>
      <c r="F130" s="330"/>
      <c r="G130" s="326"/>
      <c r="H130" s="326"/>
      <c r="I130" s="228"/>
    </row>
    <row r="131" spans="1:9" ht="18.75" x14ac:dyDescent="0.3">
      <c r="A131" s="325"/>
      <c r="B131" s="325"/>
      <c r="C131" s="326"/>
      <c r="D131" s="326"/>
      <c r="E131" s="326"/>
      <c r="F131" s="330"/>
      <c r="G131" s="326"/>
      <c r="H131" s="326"/>
      <c r="I131" s="228"/>
    </row>
    <row r="132" spans="1:9" ht="18.75" x14ac:dyDescent="0.3">
      <c r="A132" s="325"/>
      <c r="B132" s="325"/>
      <c r="C132" s="326"/>
      <c r="D132" s="326"/>
      <c r="E132" s="326"/>
      <c r="F132" s="330"/>
      <c r="G132" s="326"/>
      <c r="H132" s="326"/>
      <c r="I132" s="228"/>
    </row>
    <row r="133" spans="1:9" ht="18.75" x14ac:dyDescent="0.3">
      <c r="A133" s="325"/>
      <c r="B133" s="325"/>
      <c r="C133" s="326"/>
      <c r="D133" s="326"/>
      <c r="E133" s="326"/>
      <c r="F133" s="330"/>
      <c r="G133" s="326"/>
      <c r="H133" s="326"/>
      <c r="I133" s="22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6" zoomScale="55" zoomScaleNormal="60" zoomScaleSheetLayoutView="55" zoomScalePageLayoutView="55" workbookViewId="0">
      <selection activeCell="E80" sqref="E8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3" t="s">
        <v>44</v>
      </c>
      <c r="B1" s="643"/>
      <c r="C1" s="643"/>
      <c r="D1" s="643"/>
      <c r="E1" s="643"/>
      <c r="F1" s="643"/>
      <c r="G1" s="643"/>
      <c r="H1" s="643"/>
      <c r="I1" s="643"/>
    </row>
    <row r="2" spans="1:9" ht="18.7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</row>
    <row r="3" spans="1:9" ht="18.75" customHeight="1" x14ac:dyDescent="0.25">
      <c r="A3" s="643"/>
      <c r="B3" s="643"/>
      <c r="C3" s="643"/>
      <c r="D3" s="643"/>
      <c r="E3" s="643"/>
      <c r="F3" s="643"/>
      <c r="G3" s="643"/>
      <c r="H3" s="643"/>
      <c r="I3" s="643"/>
    </row>
    <row r="4" spans="1:9" ht="18.75" customHeight="1" x14ac:dyDescent="0.25">
      <c r="A4" s="643"/>
      <c r="B4" s="643"/>
      <c r="C4" s="643"/>
      <c r="D4" s="643"/>
      <c r="E4" s="643"/>
      <c r="F4" s="643"/>
      <c r="G4" s="643"/>
      <c r="H4" s="643"/>
      <c r="I4" s="643"/>
    </row>
    <row r="5" spans="1:9" ht="18.75" customHeight="1" x14ac:dyDescent="0.25">
      <c r="A5" s="643"/>
      <c r="B5" s="643"/>
      <c r="C5" s="643"/>
      <c r="D5" s="643"/>
      <c r="E5" s="643"/>
      <c r="F5" s="643"/>
      <c r="G5" s="643"/>
      <c r="H5" s="643"/>
      <c r="I5" s="643"/>
    </row>
    <row r="6" spans="1:9" ht="18.75" customHeight="1" x14ac:dyDescent="0.25">
      <c r="A6" s="643"/>
      <c r="B6" s="643"/>
      <c r="C6" s="643"/>
      <c r="D6" s="643"/>
      <c r="E6" s="643"/>
      <c r="F6" s="643"/>
      <c r="G6" s="643"/>
      <c r="H6" s="643"/>
      <c r="I6" s="643"/>
    </row>
    <row r="7" spans="1:9" ht="18.75" customHeight="1" x14ac:dyDescent="0.25">
      <c r="A7" s="643"/>
      <c r="B7" s="643"/>
      <c r="C7" s="643"/>
      <c r="D7" s="643"/>
      <c r="E7" s="643"/>
      <c r="F7" s="643"/>
      <c r="G7" s="643"/>
      <c r="H7" s="643"/>
      <c r="I7" s="643"/>
    </row>
    <row r="8" spans="1:9" x14ac:dyDescent="0.25">
      <c r="A8" s="644" t="s">
        <v>45</v>
      </c>
      <c r="B8" s="644"/>
      <c r="C8" s="644"/>
      <c r="D8" s="644"/>
      <c r="E8" s="644"/>
      <c r="F8" s="644"/>
      <c r="G8" s="644"/>
      <c r="H8" s="644"/>
      <c r="I8" s="644"/>
    </row>
    <row r="9" spans="1:9" x14ac:dyDescent="0.25">
      <c r="A9" s="644"/>
      <c r="B9" s="644"/>
      <c r="C9" s="644"/>
      <c r="D9" s="644"/>
      <c r="E9" s="644"/>
      <c r="F9" s="644"/>
      <c r="G9" s="644"/>
      <c r="H9" s="644"/>
      <c r="I9" s="644"/>
    </row>
    <row r="10" spans="1:9" x14ac:dyDescent="0.25">
      <c r="A10" s="644"/>
      <c r="B10" s="644"/>
      <c r="C10" s="644"/>
      <c r="D10" s="644"/>
      <c r="E10" s="644"/>
      <c r="F10" s="644"/>
      <c r="G10" s="644"/>
      <c r="H10" s="644"/>
      <c r="I10" s="644"/>
    </row>
    <row r="11" spans="1:9" x14ac:dyDescent="0.25">
      <c r="A11" s="644"/>
      <c r="B11" s="644"/>
      <c r="C11" s="644"/>
      <c r="D11" s="644"/>
      <c r="E11" s="644"/>
      <c r="F11" s="644"/>
      <c r="G11" s="644"/>
      <c r="H11" s="644"/>
      <c r="I11" s="644"/>
    </row>
    <row r="12" spans="1:9" x14ac:dyDescent="0.25">
      <c r="A12" s="644"/>
      <c r="B12" s="644"/>
      <c r="C12" s="644"/>
      <c r="D12" s="644"/>
      <c r="E12" s="644"/>
      <c r="F12" s="644"/>
      <c r="G12" s="644"/>
      <c r="H12" s="644"/>
      <c r="I12" s="644"/>
    </row>
    <row r="13" spans="1:9" x14ac:dyDescent="0.25">
      <c r="A13" s="644"/>
      <c r="B13" s="644"/>
      <c r="C13" s="644"/>
      <c r="D13" s="644"/>
      <c r="E13" s="644"/>
      <c r="F13" s="644"/>
      <c r="G13" s="644"/>
      <c r="H13" s="644"/>
      <c r="I13" s="644"/>
    </row>
    <row r="14" spans="1:9" x14ac:dyDescent="0.25">
      <c r="A14" s="644"/>
      <c r="B14" s="644"/>
      <c r="C14" s="644"/>
      <c r="D14" s="644"/>
      <c r="E14" s="644"/>
      <c r="F14" s="644"/>
      <c r="G14" s="644"/>
      <c r="H14" s="644"/>
      <c r="I14" s="644"/>
    </row>
    <row r="15" spans="1:9" ht="19.5" customHeight="1" x14ac:dyDescent="0.3">
      <c r="A15" s="408"/>
    </row>
    <row r="16" spans="1:9" ht="19.5" customHeight="1" x14ac:dyDescent="0.3">
      <c r="A16" s="677" t="s">
        <v>30</v>
      </c>
      <c r="B16" s="678"/>
      <c r="C16" s="678"/>
      <c r="D16" s="678"/>
      <c r="E16" s="678"/>
      <c r="F16" s="678"/>
      <c r="G16" s="678"/>
      <c r="H16" s="679"/>
    </row>
    <row r="17" spans="1:14" ht="20.25" customHeight="1" x14ac:dyDescent="0.25">
      <c r="A17" s="680" t="s">
        <v>46</v>
      </c>
      <c r="B17" s="680"/>
      <c r="C17" s="680"/>
      <c r="D17" s="680"/>
      <c r="E17" s="680"/>
      <c r="F17" s="680"/>
      <c r="G17" s="680"/>
      <c r="H17" s="680"/>
    </row>
    <row r="18" spans="1:14" ht="26.25" customHeight="1" x14ac:dyDescent="0.4">
      <c r="A18" s="410" t="s">
        <v>32</v>
      </c>
      <c r="B18" s="676" t="s">
        <v>5</v>
      </c>
      <c r="C18" s="676"/>
      <c r="D18" s="577"/>
      <c r="E18" s="411"/>
      <c r="F18" s="412"/>
      <c r="G18" s="412"/>
      <c r="H18" s="412"/>
    </row>
    <row r="19" spans="1:14" ht="26.25" customHeight="1" x14ac:dyDescent="0.4">
      <c r="A19" s="410" t="s">
        <v>33</v>
      </c>
      <c r="B19" s="413" t="s">
        <v>7</v>
      </c>
      <c r="C19" s="590">
        <v>29</v>
      </c>
      <c r="D19" s="412"/>
      <c r="E19" s="412"/>
      <c r="F19" s="412"/>
      <c r="G19" s="412"/>
      <c r="H19" s="412"/>
    </row>
    <row r="20" spans="1:14" ht="26.25" customHeight="1" x14ac:dyDescent="0.4">
      <c r="A20" s="410" t="s">
        <v>34</v>
      </c>
      <c r="B20" s="681" t="s">
        <v>9</v>
      </c>
      <c r="C20" s="681"/>
      <c r="D20" s="412"/>
      <c r="E20" s="412"/>
      <c r="F20" s="412"/>
      <c r="G20" s="412"/>
      <c r="H20" s="412"/>
    </row>
    <row r="21" spans="1:14" ht="26.25" customHeight="1" x14ac:dyDescent="0.4">
      <c r="A21" s="410" t="s">
        <v>35</v>
      </c>
      <c r="B21" s="681" t="s">
        <v>11</v>
      </c>
      <c r="C21" s="681"/>
      <c r="D21" s="681"/>
      <c r="E21" s="681"/>
      <c r="F21" s="681"/>
      <c r="G21" s="681"/>
      <c r="H21" s="681"/>
      <c r="I21" s="414"/>
    </row>
    <row r="22" spans="1:14" ht="26.25" customHeight="1" x14ac:dyDescent="0.4">
      <c r="A22" s="410" t="s">
        <v>36</v>
      </c>
      <c r="B22" s="415">
        <v>42412</v>
      </c>
      <c r="C22" s="412"/>
      <c r="D22" s="412"/>
      <c r="E22" s="412"/>
      <c r="F22" s="412"/>
      <c r="G22" s="412"/>
      <c r="H22" s="412"/>
    </row>
    <row r="23" spans="1:14" ht="26.25" customHeight="1" x14ac:dyDescent="0.4">
      <c r="A23" s="410" t="s">
        <v>37</v>
      </c>
      <c r="B23" s="415">
        <v>42425</v>
      </c>
      <c r="C23" s="412"/>
      <c r="D23" s="412"/>
      <c r="E23" s="412"/>
      <c r="F23" s="412"/>
      <c r="G23" s="412"/>
      <c r="H23" s="412"/>
    </row>
    <row r="24" spans="1:14" ht="18.75" x14ac:dyDescent="0.3">
      <c r="A24" s="410"/>
      <c r="B24" s="416"/>
    </row>
    <row r="25" spans="1:14" ht="18.75" x14ac:dyDescent="0.3">
      <c r="A25" s="417" t="s">
        <v>1</v>
      </c>
      <c r="B25" s="416"/>
    </row>
    <row r="26" spans="1:14" ht="26.25" customHeight="1" x14ac:dyDescent="0.4">
      <c r="A26" s="418" t="s">
        <v>4</v>
      </c>
      <c r="B26" s="676" t="s">
        <v>129</v>
      </c>
      <c r="C26" s="676"/>
    </row>
    <row r="27" spans="1:14" ht="26.25" customHeight="1" x14ac:dyDescent="0.4">
      <c r="A27" s="419" t="s">
        <v>47</v>
      </c>
      <c r="B27" s="674" t="s">
        <v>130</v>
      </c>
      <c r="C27" s="674"/>
    </row>
    <row r="28" spans="1:14" ht="27" customHeight="1" x14ac:dyDescent="0.4">
      <c r="A28" s="419" t="s">
        <v>6</v>
      </c>
      <c r="B28" s="518">
        <v>99.8</v>
      </c>
      <c r="C28" s="537"/>
    </row>
    <row r="29" spans="1:14" s="3" customFormat="1" ht="27" customHeight="1" x14ac:dyDescent="0.4">
      <c r="A29" s="419" t="s">
        <v>48</v>
      </c>
      <c r="B29" s="421"/>
      <c r="C29" s="651" t="s">
        <v>49</v>
      </c>
      <c r="D29" s="652"/>
      <c r="E29" s="652"/>
      <c r="F29" s="652"/>
      <c r="G29" s="653"/>
      <c r="I29" s="422"/>
      <c r="J29" s="422"/>
      <c r="K29" s="422"/>
      <c r="L29" s="422"/>
    </row>
    <row r="30" spans="1:14" s="3" customFormat="1" ht="19.5" customHeight="1" x14ac:dyDescent="0.3">
      <c r="A30" s="419" t="s">
        <v>50</v>
      </c>
      <c r="B30" s="423">
        <f>B28-B29</f>
        <v>99.8</v>
      </c>
      <c r="C30" s="424"/>
      <c r="D30" s="424"/>
      <c r="E30" s="424"/>
      <c r="F30" s="424"/>
      <c r="G30" s="425"/>
      <c r="I30" s="422"/>
      <c r="J30" s="422"/>
      <c r="K30" s="422"/>
      <c r="L30" s="422"/>
    </row>
    <row r="31" spans="1:14" s="3" customFormat="1" ht="27" customHeight="1" x14ac:dyDescent="0.4">
      <c r="A31" s="419" t="s">
        <v>51</v>
      </c>
      <c r="B31" s="426">
        <v>1</v>
      </c>
      <c r="C31" s="654" t="s">
        <v>52</v>
      </c>
      <c r="D31" s="655"/>
      <c r="E31" s="655"/>
      <c r="F31" s="655"/>
      <c r="G31" s="655"/>
      <c r="H31" s="656"/>
      <c r="I31" s="422"/>
      <c r="J31" s="422"/>
      <c r="K31" s="422"/>
      <c r="L31" s="422"/>
    </row>
    <row r="32" spans="1:14" s="3" customFormat="1" ht="27" customHeight="1" x14ac:dyDescent="0.4">
      <c r="A32" s="419" t="s">
        <v>53</v>
      </c>
      <c r="B32" s="426">
        <v>1</v>
      </c>
      <c r="C32" s="654" t="s">
        <v>54</v>
      </c>
      <c r="D32" s="655"/>
      <c r="E32" s="655"/>
      <c r="F32" s="655"/>
      <c r="G32" s="655"/>
      <c r="H32" s="656"/>
      <c r="I32" s="422"/>
      <c r="J32" s="422"/>
      <c r="K32" s="422"/>
      <c r="L32" s="427"/>
      <c r="M32" s="427"/>
      <c r="N32" s="428"/>
    </row>
    <row r="33" spans="1:14" s="3" customFormat="1" ht="17.25" customHeight="1" x14ac:dyDescent="0.3">
      <c r="A33" s="419"/>
      <c r="B33" s="429"/>
      <c r="C33" s="430"/>
      <c r="D33" s="430"/>
      <c r="E33" s="430"/>
      <c r="F33" s="430"/>
      <c r="G33" s="430"/>
      <c r="H33" s="430"/>
      <c r="I33" s="422"/>
      <c r="J33" s="422"/>
      <c r="K33" s="422"/>
      <c r="L33" s="427"/>
      <c r="M33" s="427"/>
      <c r="N33" s="428"/>
    </row>
    <row r="34" spans="1:14" s="3" customFormat="1" ht="18.75" x14ac:dyDescent="0.3">
      <c r="A34" s="419" t="s">
        <v>55</v>
      </c>
      <c r="B34" s="431">
        <f>B31/B32</f>
        <v>1</v>
      </c>
      <c r="C34" s="409" t="s">
        <v>56</v>
      </c>
      <c r="D34" s="409"/>
      <c r="E34" s="409"/>
      <c r="F34" s="409"/>
      <c r="G34" s="409"/>
      <c r="I34" s="422"/>
      <c r="J34" s="422"/>
      <c r="K34" s="422"/>
      <c r="L34" s="427"/>
      <c r="M34" s="427"/>
      <c r="N34" s="428"/>
    </row>
    <row r="35" spans="1:14" s="3" customFormat="1" ht="19.5" customHeight="1" x14ac:dyDescent="0.3">
      <c r="A35" s="419"/>
      <c r="B35" s="423"/>
      <c r="G35" s="409"/>
      <c r="I35" s="422"/>
      <c r="J35" s="422"/>
      <c r="K35" s="422"/>
      <c r="L35" s="427"/>
      <c r="M35" s="427"/>
      <c r="N35" s="428"/>
    </row>
    <row r="36" spans="1:14" s="3" customFormat="1" ht="27" customHeight="1" x14ac:dyDescent="0.4">
      <c r="A36" s="432" t="s">
        <v>57</v>
      </c>
      <c r="B36" s="433">
        <v>50</v>
      </c>
      <c r="C36" s="409"/>
      <c r="D36" s="657" t="s">
        <v>58</v>
      </c>
      <c r="E36" s="675"/>
      <c r="F36" s="657" t="s">
        <v>59</v>
      </c>
      <c r="G36" s="658"/>
      <c r="J36" s="422"/>
      <c r="K36" s="422"/>
      <c r="L36" s="427"/>
      <c r="M36" s="427"/>
      <c r="N36" s="428"/>
    </row>
    <row r="37" spans="1:14" s="3" customFormat="1" ht="27" customHeight="1" x14ac:dyDescent="0.4">
      <c r="A37" s="434" t="s">
        <v>60</v>
      </c>
      <c r="B37" s="435">
        <v>10</v>
      </c>
      <c r="C37" s="436" t="s">
        <v>61</v>
      </c>
      <c r="D37" s="437" t="s">
        <v>62</v>
      </c>
      <c r="E37" s="438" t="s">
        <v>63</v>
      </c>
      <c r="F37" s="437" t="s">
        <v>62</v>
      </c>
      <c r="G37" s="439" t="s">
        <v>63</v>
      </c>
      <c r="I37" s="440" t="s">
        <v>64</v>
      </c>
      <c r="J37" s="422"/>
      <c r="K37" s="422"/>
      <c r="L37" s="427"/>
      <c r="M37" s="427"/>
      <c r="N37" s="428"/>
    </row>
    <row r="38" spans="1:14" s="3" customFormat="1" ht="26.25" customHeight="1" x14ac:dyDescent="0.4">
      <c r="A38" s="434" t="s">
        <v>65</v>
      </c>
      <c r="B38" s="435">
        <v>25</v>
      </c>
      <c r="C38" s="441">
        <v>1</v>
      </c>
      <c r="D38" s="442">
        <v>21455840</v>
      </c>
      <c r="E38" s="443">
        <f>IF(ISBLANK(D38),"-",$D$48/$D$45*D38)</f>
        <v>19269947.124604754</v>
      </c>
      <c r="F38" s="442">
        <v>20294469</v>
      </c>
      <c r="G38" s="444">
        <f>IF(ISBLANK(F38),"-",$D$48/$F$45*F38)</f>
        <v>19088053.140072383</v>
      </c>
      <c r="I38" s="445"/>
      <c r="J38" s="422"/>
      <c r="K38" s="422"/>
      <c r="L38" s="427"/>
      <c r="M38" s="427"/>
      <c r="N38" s="428"/>
    </row>
    <row r="39" spans="1:14" s="3" customFormat="1" ht="26.25" customHeight="1" x14ac:dyDescent="0.4">
      <c r="A39" s="434" t="s">
        <v>66</v>
      </c>
      <c r="B39" s="435">
        <v>1</v>
      </c>
      <c r="C39" s="446">
        <v>2</v>
      </c>
      <c r="D39" s="447">
        <v>21466988</v>
      </c>
      <c r="E39" s="448">
        <f>IF(ISBLANK(D39),"-",$D$48/$D$45*D39)</f>
        <v>19279959.380966894</v>
      </c>
      <c r="F39" s="447">
        <v>20319442</v>
      </c>
      <c r="G39" s="449">
        <f>IF(ISBLANK(F39),"-",$D$48/$F$45*F39)</f>
        <v>19111541.606366675</v>
      </c>
      <c r="I39" s="659">
        <f>ABS((F43/D43*D42)-F42)/D42</f>
        <v>7.6089499845102574E-3</v>
      </c>
      <c r="J39" s="422"/>
      <c r="K39" s="422"/>
      <c r="L39" s="427"/>
      <c r="M39" s="427"/>
      <c r="N39" s="428"/>
    </row>
    <row r="40" spans="1:14" ht="26.25" customHeight="1" x14ac:dyDescent="0.4">
      <c r="A40" s="434" t="s">
        <v>67</v>
      </c>
      <c r="B40" s="435">
        <v>1</v>
      </c>
      <c r="C40" s="446">
        <v>3</v>
      </c>
      <c r="D40" s="447">
        <v>21419111</v>
      </c>
      <c r="E40" s="448">
        <f>IF(ISBLANK(D40),"-",$D$48/$D$45*D40)</f>
        <v>19236960.027015489</v>
      </c>
      <c r="F40" s="447">
        <v>20335665</v>
      </c>
      <c r="G40" s="449">
        <f>IF(ISBLANK(F40),"-",$D$48/$F$45*F40)</f>
        <v>19126800.221218407</v>
      </c>
      <c r="I40" s="659"/>
      <c r="L40" s="427"/>
      <c r="M40" s="427"/>
      <c r="N40" s="450"/>
    </row>
    <row r="41" spans="1:14" ht="27" customHeight="1" x14ac:dyDescent="0.4">
      <c r="A41" s="434" t="s">
        <v>68</v>
      </c>
      <c r="B41" s="435">
        <v>1</v>
      </c>
      <c r="C41" s="451">
        <v>4</v>
      </c>
      <c r="D41" s="452"/>
      <c r="E41" s="453" t="str">
        <f>IF(ISBLANK(D41),"-",$D$48/$D$45*D41)</f>
        <v>-</v>
      </c>
      <c r="F41" s="452"/>
      <c r="G41" s="454" t="str">
        <f>IF(ISBLANK(F41),"-",$D$48/$F$45*F41)</f>
        <v>-</v>
      </c>
      <c r="I41" s="455"/>
      <c r="L41" s="427"/>
      <c r="M41" s="427"/>
      <c r="N41" s="450"/>
    </row>
    <row r="42" spans="1:14" ht="27" customHeight="1" x14ac:dyDescent="0.4">
      <c r="A42" s="434" t="s">
        <v>69</v>
      </c>
      <c r="B42" s="435">
        <v>1</v>
      </c>
      <c r="C42" s="456" t="s">
        <v>70</v>
      </c>
      <c r="D42" s="457">
        <f>AVERAGE(D38:D41)</f>
        <v>21447313</v>
      </c>
      <c r="E42" s="458">
        <f>AVERAGE(E38:E41)</f>
        <v>19262288.844195712</v>
      </c>
      <c r="F42" s="457">
        <f>AVERAGE(F38:F41)</f>
        <v>20316525.333333332</v>
      </c>
      <c r="G42" s="459">
        <f>AVERAGE(G38:G41)</f>
        <v>19108798.322552487</v>
      </c>
      <c r="H42" s="460"/>
    </row>
    <row r="43" spans="1:14" ht="26.25" customHeight="1" x14ac:dyDescent="0.4">
      <c r="A43" s="434" t="s">
        <v>71</v>
      </c>
      <c r="B43" s="435">
        <v>1</v>
      </c>
      <c r="C43" s="461" t="s">
        <v>72</v>
      </c>
      <c r="D43" s="462">
        <v>33.47</v>
      </c>
      <c r="E43" s="450"/>
      <c r="F43" s="462">
        <v>31.96</v>
      </c>
      <c r="H43" s="460"/>
    </row>
    <row r="44" spans="1:14" ht="26.25" customHeight="1" x14ac:dyDescent="0.4">
      <c r="A44" s="434" t="s">
        <v>73</v>
      </c>
      <c r="B44" s="435">
        <v>1</v>
      </c>
      <c r="C44" s="463" t="s">
        <v>74</v>
      </c>
      <c r="D44" s="464">
        <f>D43*$B$34</f>
        <v>33.47</v>
      </c>
      <c r="E44" s="465"/>
      <c r="F44" s="464">
        <f>F43*$B$34</f>
        <v>31.96</v>
      </c>
      <c r="H44" s="460"/>
    </row>
    <row r="45" spans="1:14" ht="19.5" customHeight="1" x14ac:dyDescent="0.3">
      <c r="A45" s="434" t="s">
        <v>75</v>
      </c>
      <c r="B45" s="466">
        <f>(B44/B43)*(B42/B41)*(B40/B39)*(B38/B37)*B36</f>
        <v>125</v>
      </c>
      <c r="C45" s="463" t="s">
        <v>76</v>
      </c>
      <c r="D45" s="467">
        <f>D44*$B$30/100</f>
        <v>33.403059999999996</v>
      </c>
      <c r="E45" s="468"/>
      <c r="F45" s="467">
        <f>F44*$B$30/100</f>
        <v>31.896080000000001</v>
      </c>
      <c r="H45" s="460"/>
    </row>
    <row r="46" spans="1:14" ht="19.5" customHeight="1" x14ac:dyDescent="0.3">
      <c r="A46" s="645" t="s">
        <v>77</v>
      </c>
      <c r="B46" s="646"/>
      <c r="C46" s="463" t="s">
        <v>78</v>
      </c>
      <c r="D46" s="469">
        <f>D45/$B$45</f>
        <v>0.26722447999999999</v>
      </c>
      <c r="E46" s="470"/>
      <c r="F46" s="471">
        <f>F45/$B$45</f>
        <v>0.25516864</v>
      </c>
      <c r="H46" s="460"/>
    </row>
    <row r="47" spans="1:14" ht="27" customHeight="1" x14ac:dyDescent="0.4">
      <c r="A47" s="647"/>
      <c r="B47" s="648"/>
      <c r="C47" s="472" t="s">
        <v>79</v>
      </c>
      <c r="D47" s="473">
        <v>0.24</v>
      </c>
      <c r="E47" s="474"/>
      <c r="F47" s="470"/>
      <c r="H47" s="460"/>
    </row>
    <row r="48" spans="1:14" ht="18.75" x14ac:dyDescent="0.3">
      <c r="C48" s="475" t="s">
        <v>80</v>
      </c>
      <c r="D48" s="467">
        <f>D47*$B$45</f>
        <v>30</v>
      </c>
      <c r="F48" s="476"/>
      <c r="H48" s="460"/>
    </row>
    <row r="49" spans="1:12" ht="19.5" customHeight="1" x14ac:dyDescent="0.3">
      <c r="C49" s="477" t="s">
        <v>81</v>
      </c>
      <c r="D49" s="478">
        <f>D48/B34</f>
        <v>30</v>
      </c>
      <c r="F49" s="476"/>
      <c r="H49" s="460"/>
    </row>
    <row r="50" spans="1:12" ht="18.75" x14ac:dyDescent="0.3">
      <c r="C50" s="432" t="s">
        <v>82</v>
      </c>
      <c r="D50" s="479">
        <f>AVERAGE(E38:E41,G38:G41)</f>
        <v>19185543.583374102</v>
      </c>
      <c r="F50" s="480"/>
      <c r="H50" s="460"/>
    </row>
    <row r="51" spans="1:12" ht="18.75" x14ac:dyDescent="0.3">
      <c r="C51" s="434" t="s">
        <v>83</v>
      </c>
      <c r="D51" s="481">
        <f>STDEV(E38:E41,G38:G41)/D50</f>
        <v>4.490620313991318E-3</v>
      </c>
      <c r="F51" s="480"/>
      <c r="H51" s="460"/>
    </row>
    <row r="52" spans="1:12" ht="19.5" customHeight="1" x14ac:dyDescent="0.3">
      <c r="C52" s="482" t="s">
        <v>19</v>
      </c>
      <c r="D52" s="483">
        <f>COUNT(E38:E41,G38:G41)</f>
        <v>6</v>
      </c>
      <c r="F52" s="480"/>
    </row>
    <row r="54" spans="1:12" ht="18.75" x14ac:dyDescent="0.3">
      <c r="A54" s="484" t="s">
        <v>1</v>
      </c>
      <c r="B54" s="485" t="s">
        <v>84</v>
      </c>
    </row>
    <row r="55" spans="1:12" ht="18.75" x14ac:dyDescent="0.3">
      <c r="A55" s="409" t="s">
        <v>85</v>
      </c>
      <c r="B55" s="486" t="str">
        <f>B21</f>
        <v>Each tablet contains:Tenofovir Disoproxil Fumarate 300mg, Lamivudine 300mg &amp; Efavirenz 600mg tablets</v>
      </c>
    </row>
    <row r="56" spans="1:12" ht="26.25" customHeight="1" x14ac:dyDescent="0.4">
      <c r="A56" s="487" t="s">
        <v>86</v>
      </c>
      <c r="B56" s="488">
        <v>600</v>
      </c>
      <c r="C56" s="409" t="str">
        <f>B20</f>
        <v xml:space="preserve">Tenofovir Disoproxil Fumarate , Lamivudine  &amp; Efavirenz </v>
      </c>
      <c r="H56" s="489"/>
    </row>
    <row r="57" spans="1:12" ht="18.75" x14ac:dyDescent="0.3">
      <c r="A57" s="486" t="s">
        <v>87</v>
      </c>
      <c r="B57" s="578">
        <f>Uniformity!C36</f>
        <v>1909.461</v>
      </c>
      <c r="H57" s="489"/>
    </row>
    <row r="58" spans="1:12" ht="19.5" customHeight="1" x14ac:dyDescent="0.3">
      <c r="H58" s="489"/>
    </row>
    <row r="59" spans="1:12" s="3" customFormat="1" ht="27" customHeight="1" x14ac:dyDescent="0.4">
      <c r="A59" s="432" t="s">
        <v>88</v>
      </c>
      <c r="B59" s="433">
        <v>200</v>
      </c>
      <c r="C59" s="409"/>
      <c r="D59" s="490" t="s">
        <v>89</v>
      </c>
      <c r="E59" s="491" t="s">
        <v>61</v>
      </c>
      <c r="F59" s="491" t="s">
        <v>62</v>
      </c>
      <c r="G59" s="491" t="s">
        <v>90</v>
      </c>
      <c r="H59" s="436" t="s">
        <v>91</v>
      </c>
      <c r="L59" s="422"/>
    </row>
    <row r="60" spans="1:12" s="3" customFormat="1" ht="26.25" customHeight="1" x14ac:dyDescent="0.4">
      <c r="A60" s="434" t="s">
        <v>92</v>
      </c>
      <c r="B60" s="435">
        <v>2</v>
      </c>
      <c r="C60" s="662" t="s">
        <v>93</v>
      </c>
      <c r="D60" s="665">
        <v>1901.59</v>
      </c>
      <c r="E60" s="492">
        <v>1</v>
      </c>
      <c r="F60" s="493">
        <v>19188910</v>
      </c>
      <c r="G60" s="579">
        <f>IF(ISBLANK(F60),"-",(F60/$D$50*$D$47*$B$68)*($B$57/$D$60))</f>
        <v>602.58921620891408</v>
      </c>
      <c r="H60" s="494">
        <f t="shared" ref="H60:H71" si="0">IF(ISBLANK(F60),"-",G60/$B$56)</f>
        <v>1.0043153603481902</v>
      </c>
      <c r="L60" s="422"/>
    </row>
    <row r="61" spans="1:12" s="3" customFormat="1" ht="26.25" customHeight="1" x14ac:dyDescent="0.4">
      <c r="A61" s="434" t="s">
        <v>94</v>
      </c>
      <c r="B61" s="435">
        <v>25</v>
      </c>
      <c r="C61" s="663"/>
      <c r="D61" s="666"/>
      <c r="E61" s="495">
        <v>2</v>
      </c>
      <c r="F61" s="447">
        <v>19178124</v>
      </c>
      <c r="G61" s="580">
        <f>IF(ISBLANK(F61),"-",(F61/$D$50*$D$47*$B$68)*($B$57/$D$60))</f>
        <v>602.25050352090705</v>
      </c>
      <c r="H61" s="496">
        <f t="shared" si="0"/>
        <v>1.0037508392015118</v>
      </c>
      <c r="L61" s="422"/>
    </row>
    <row r="62" spans="1:12" s="3" customFormat="1" ht="26.25" customHeight="1" x14ac:dyDescent="0.4">
      <c r="A62" s="434" t="s">
        <v>95</v>
      </c>
      <c r="B62" s="435">
        <v>1</v>
      </c>
      <c r="C62" s="663"/>
      <c r="D62" s="666"/>
      <c r="E62" s="495">
        <v>3</v>
      </c>
      <c r="F62" s="497">
        <v>19206150</v>
      </c>
      <c r="G62" s="580">
        <f>IF(ISBLANK(F62),"-",(F62/$D$50*$D$47*$B$68)*($B$57/$D$60))</f>
        <v>603.13060381704008</v>
      </c>
      <c r="H62" s="496">
        <f t="shared" si="0"/>
        <v>1.0052176730284001</v>
      </c>
      <c r="L62" s="422"/>
    </row>
    <row r="63" spans="1:12" ht="27" customHeight="1" x14ac:dyDescent="0.4">
      <c r="A63" s="434" t="s">
        <v>96</v>
      </c>
      <c r="B63" s="435">
        <v>1</v>
      </c>
      <c r="C63" s="673"/>
      <c r="D63" s="667"/>
      <c r="E63" s="498">
        <v>4</v>
      </c>
      <c r="F63" s="499"/>
      <c r="G63" s="580" t="str">
        <f>IF(ISBLANK(F63),"-",(F63/$D$50*$D$47*$B$68)*($B$57/$D$60))</f>
        <v>-</v>
      </c>
      <c r="H63" s="496" t="str">
        <f t="shared" si="0"/>
        <v>-</v>
      </c>
    </row>
    <row r="64" spans="1:12" ht="26.25" customHeight="1" x14ac:dyDescent="0.4">
      <c r="A64" s="434" t="s">
        <v>97</v>
      </c>
      <c r="B64" s="435">
        <v>1</v>
      </c>
      <c r="C64" s="662" t="s">
        <v>98</v>
      </c>
      <c r="D64" s="665">
        <v>1910.12</v>
      </c>
      <c r="E64" s="492">
        <v>1</v>
      </c>
      <c r="F64" s="493">
        <v>19025678</v>
      </c>
      <c r="G64" s="581">
        <f>IF(ISBLANK(F64),"-",(F64/$D$50*$D$47*$B$68)*($B$57/$D$64))</f>
        <v>594.79515832676327</v>
      </c>
      <c r="H64" s="500">
        <f t="shared" si="0"/>
        <v>0.99132526387793873</v>
      </c>
    </row>
    <row r="65" spans="1:8" ht="26.25" customHeight="1" x14ac:dyDescent="0.4">
      <c r="A65" s="434" t="s">
        <v>99</v>
      </c>
      <c r="B65" s="435">
        <v>1</v>
      </c>
      <c r="C65" s="663"/>
      <c r="D65" s="666"/>
      <c r="E65" s="495">
        <v>2</v>
      </c>
      <c r="F65" s="447">
        <v>18997769</v>
      </c>
      <c r="G65" s="582">
        <f>IF(ISBLANK(F65),"-",(F65/$D$50*$D$47*$B$68)*($B$57/$D$64))</f>
        <v>593.92264602661078</v>
      </c>
      <c r="H65" s="501">
        <f t="shared" si="0"/>
        <v>0.98987107671101793</v>
      </c>
    </row>
    <row r="66" spans="1:8" ht="26.25" customHeight="1" x14ac:dyDescent="0.4">
      <c r="A66" s="434" t="s">
        <v>100</v>
      </c>
      <c r="B66" s="435">
        <v>1</v>
      </c>
      <c r="C66" s="663"/>
      <c r="D66" s="666"/>
      <c r="E66" s="495">
        <v>3</v>
      </c>
      <c r="F66" s="447">
        <v>19021025</v>
      </c>
      <c r="G66" s="582">
        <f>IF(ISBLANK(F66),"-",(F66/$D$50*$D$47*$B$68)*($B$57/$D$64))</f>
        <v>594.64969271593475</v>
      </c>
      <c r="H66" s="501">
        <f t="shared" si="0"/>
        <v>0.99108282119322455</v>
      </c>
    </row>
    <row r="67" spans="1:8" ht="27" customHeight="1" x14ac:dyDescent="0.4">
      <c r="A67" s="434" t="s">
        <v>101</v>
      </c>
      <c r="B67" s="435">
        <v>1</v>
      </c>
      <c r="C67" s="673"/>
      <c r="D67" s="667"/>
      <c r="E67" s="498">
        <v>4</v>
      </c>
      <c r="F67" s="499"/>
      <c r="G67" s="583" t="str">
        <f>IF(ISBLANK(F67),"-",(F67/$D$50*$D$47*$B$68)*($B$57/$D$64))</f>
        <v>-</v>
      </c>
      <c r="H67" s="502" t="str">
        <f t="shared" si="0"/>
        <v>-</v>
      </c>
    </row>
    <row r="68" spans="1:8" ht="26.25" customHeight="1" x14ac:dyDescent="0.4">
      <c r="A68" s="434" t="s">
        <v>102</v>
      </c>
      <c r="B68" s="503">
        <f>(B67/B66)*(B65/B64)*(B63/B62)*(B61/B60)*B59</f>
        <v>2500</v>
      </c>
      <c r="C68" s="662" t="s">
        <v>103</v>
      </c>
      <c r="D68" s="665">
        <v>1913.97</v>
      </c>
      <c r="E68" s="492">
        <v>1</v>
      </c>
      <c r="F68" s="493">
        <v>19228725</v>
      </c>
      <c r="G68" s="581">
        <f>IF(ISBLANK(F68),"-",(F68/$D$50*$D$47*$B$68)*($B$57/$D$68))</f>
        <v>599.93375287935862</v>
      </c>
      <c r="H68" s="496">
        <f t="shared" si="0"/>
        <v>0.99988958813226436</v>
      </c>
    </row>
    <row r="69" spans="1:8" ht="27" customHeight="1" x14ac:dyDescent="0.4">
      <c r="A69" s="482" t="s">
        <v>104</v>
      </c>
      <c r="B69" s="504">
        <f>(D47*B68)/B56*B57</f>
        <v>1909.461</v>
      </c>
      <c r="C69" s="663"/>
      <c r="D69" s="666"/>
      <c r="E69" s="495">
        <v>2</v>
      </c>
      <c r="F69" s="447">
        <v>19246851</v>
      </c>
      <c r="G69" s="582">
        <f>IF(ISBLANK(F69),"-",(F69/$D$50*$D$47*$B$68)*($B$57/$D$68))</f>
        <v>600.4992817537219</v>
      </c>
      <c r="H69" s="496">
        <f t="shared" si="0"/>
        <v>1.0008321362562032</v>
      </c>
    </row>
    <row r="70" spans="1:8" ht="26.25" customHeight="1" x14ac:dyDescent="0.4">
      <c r="A70" s="668" t="s">
        <v>77</v>
      </c>
      <c r="B70" s="669"/>
      <c r="C70" s="663"/>
      <c r="D70" s="666"/>
      <c r="E70" s="495">
        <v>3</v>
      </c>
      <c r="F70" s="447">
        <v>19210490</v>
      </c>
      <c r="G70" s="582">
        <f>IF(ISBLANK(F70),"-",(F70/$D$50*$D$47*$B$68)*($B$57/$D$68))</f>
        <v>599.3648232189804</v>
      </c>
      <c r="H70" s="496">
        <f t="shared" si="0"/>
        <v>0.99894137203163402</v>
      </c>
    </row>
    <row r="71" spans="1:8" ht="27" customHeight="1" x14ac:dyDescent="0.4">
      <c r="A71" s="670"/>
      <c r="B71" s="671"/>
      <c r="C71" s="664"/>
      <c r="D71" s="667"/>
      <c r="E71" s="498">
        <v>4</v>
      </c>
      <c r="F71" s="499"/>
      <c r="G71" s="583" t="str">
        <f>IF(ISBLANK(F71),"-",(F71/$D$50*$D$47*$B$68)*($B$57/$D$68))</f>
        <v>-</v>
      </c>
      <c r="H71" s="505" t="str">
        <f t="shared" si="0"/>
        <v>-</v>
      </c>
    </row>
    <row r="72" spans="1:8" ht="26.25" customHeight="1" x14ac:dyDescent="0.4">
      <c r="A72" s="506"/>
      <c r="B72" s="506"/>
      <c r="C72" s="506"/>
      <c r="D72" s="506"/>
      <c r="E72" s="506"/>
      <c r="F72" s="508" t="s">
        <v>70</v>
      </c>
      <c r="G72" s="588">
        <f>AVERAGE(G60:G71)</f>
        <v>599.01507538535907</v>
      </c>
      <c r="H72" s="509">
        <f>AVERAGE(H60:H71)</f>
        <v>0.99835845897559827</v>
      </c>
    </row>
    <row r="73" spans="1:8" ht="26.25" customHeight="1" x14ac:dyDescent="0.4">
      <c r="C73" s="506"/>
      <c r="D73" s="506"/>
      <c r="E73" s="506"/>
      <c r="F73" s="510" t="s">
        <v>83</v>
      </c>
      <c r="G73" s="584">
        <f>STDEV(G60:G71)/G72</f>
        <v>6.0809259557707976E-3</v>
      </c>
      <c r="H73" s="584">
        <f>STDEV(H60:H71)/H72</f>
        <v>6.0809259557708323E-3</v>
      </c>
    </row>
    <row r="74" spans="1:8" ht="27" customHeight="1" x14ac:dyDescent="0.4">
      <c r="A74" s="506"/>
      <c r="B74" s="506"/>
      <c r="C74" s="507"/>
      <c r="D74" s="507"/>
      <c r="E74" s="511"/>
      <c r="F74" s="512" t="s">
        <v>19</v>
      </c>
      <c r="G74" s="513">
        <f>COUNT(G60:G71)</f>
        <v>9</v>
      </c>
      <c r="H74" s="513">
        <f>COUNT(H60:H71)</f>
        <v>9</v>
      </c>
    </row>
    <row r="76" spans="1:8" ht="26.25" customHeight="1" x14ac:dyDescent="0.4">
      <c r="A76" s="418" t="s">
        <v>105</v>
      </c>
      <c r="B76" s="514" t="s">
        <v>106</v>
      </c>
      <c r="C76" s="649" t="str">
        <f>B20</f>
        <v xml:space="preserve">Tenofovir Disoproxil Fumarate , Lamivudine  &amp; Efavirenz </v>
      </c>
      <c r="D76" s="649"/>
      <c r="E76" s="515" t="s">
        <v>138</v>
      </c>
      <c r="F76" s="515"/>
      <c r="G76" s="516">
        <f>H72</f>
        <v>0.99835845897559827</v>
      </c>
      <c r="H76" s="517"/>
    </row>
    <row r="77" spans="1:8" ht="18.75" x14ac:dyDescent="0.3">
      <c r="A77" s="417" t="s">
        <v>108</v>
      </c>
      <c r="B77" s="417" t="s">
        <v>109</v>
      </c>
    </row>
    <row r="78" spans="1:8" ht="18.75" x14ac:dyDescent="0.3">
      <c r="A78" s="417"/>
      <c r="B78" s="417"/>
    </row>
    <row r="79" spans="1:8" ht="26.25" customHeight="1" x14ac:dyDescent="0.4">
      <c r="A79" s="418" t="s">
        <v>4</v>
      </c>
      <c r="B79" s="672" t="str">
        <f>B26</f>
        <v>Efavirenz</v>
      </c>
      <c r="C79" s="672"/>
    </row>
    <row r="80" spans="1:8" ht="26.25" customHeight="1" x14ac:dyDescent="0.4">
      <c r="A80" s="419" t="s">
        <v>47</v>
      </c>
      <c r="B80" s="672" t="s">
        <v>131</v>
      </c>
      <c r="C80" s="672"/>
    </row>
    <row r="81" spans="1:12" ht="27" customHeight="1" x14ac:dyDescent="0.4">
      <c r="A81" s="419" t="s">
        <v>6</v>
      </c>
      <c r="B81" s="518">
        <v>99.3</v>
      </c>
      <c r="C81" s="537"/>
    </row>
    <row r="82" spans="1:12" s="3" customFormat="1" ht="27" customHeight="1" x14ac:dyDescent="0.4">
      <c r="A82" s="419" t="s">
        <v>48</v>
      </c>
      <c r="B82" s="421">
        <v>0</v>
      </c>
      <c r="C82" s="651" t="s">
        <v>49</v>
      </c>
      <c r="D82" s="652"/>
      <c r="E82" s="652"/>
      <c r="F82" s="652"/>
      <c r="G82" s="653"/>
      <c r="I82" s="422"/>
      <c r="J82" s="422"/>
      <c r="K82" s="422"/>
      <c r="L82" s="422"/>
    </row>
    <row r="83" spans="1:12" s="3" customFormat="1" ht="19.5" customHeight="1" x14ac:dyDescent="0.3">
      <c r="A83" s="419" t="s">
        <v>50</v>
      </c>
      <c r="B83" s="423">
        <f>B81-B82</f>
        <v>99.3</v>
      </c>
      <c r="C83" s="424"/>
      <c r="D83" s="424"/>
      <c r="E83" s="424"/>
      <c r="F83" s="424"/>
      <c r="G83" s="425"/>
      <c r="I83" s="422"/>
      <c r="J83" s="422"/>
      <c r="K83" s="422"/>
      <c r="L83" s="422"/>
    </row>
    <row r="84" spans="1:12" s="3" customFormat="1" ht="27" customHeight="1" x14ac:dyDescent="0.4">
      <c r="A84" s="419" t="s">
        <v>51</v>
      </c>
      <c r="B84" s="426">
        <v>1</v>
      </c>
      <c r="C84" s="654" t="s">
        <v>110</v>
      </c>
      <c r="D84" s="655"/>
      <c r="E84" s="655"/>
      <c r="F84" s="655"/>
      <c r="G84" s="655"/>
      <c r="H84" s="656"/>
      <c r="I84" s="422"/>
      <c r="J84" s="422"/>
      <c r="K84" s="422"/>
      <c r="L84" s="422"/>
    </row>
    <row r="85" spans="1:12" s="3" customFormat="1" ht="27" customHeight="1" x14ac:dyDescent="0.4">
      <c r="A85" s="419" t="s">
        <v>53</v>
      </c>
      <c r="B85" s="426">
        <v>1</v>
      </c>
      <c r="C85" s="654" t="s">
        <v>111</v>
      </c>
      <c r="D85" s="655"/>
      <c r="E85" s="655"/>
      <c r="F85" s="655"/>
      <c r="G85" s="655"/>
      <c r="H85" s="656"/>
      <c r="I85" s="422"/>
      <c r="J85" s="422"/>
      <c r="K85" s="422"/>
      <c r="L85" s="422"/>
    </row>
    <row r="86" spans="1:12" s="3" customFormat="1" ht="18.75" x14ac:dyDescent="0.3">
      <c r="A86" s="419"/>
      <c r="B86" s="429"/>
      <c r="C86" s="430"/>
      <c r="D86" s="430"/>
      <c r="E86" s="430"/>
      <c r="F86" s="430"/>
      <c r="G86" s="430"/>
      <c r="H86" s="430"/>
      <c r="I86" s="422"/>
      <c r="J86" s="422"/>
      <c r="K86" s="422"/>
      <c r="L86" s="422"/>
    </row>
    <row r="87" spans="1:12" s="3" customFormat="1" ht="18.75" x14ac:dyDescent="0.3">
      <c r="A87" s="419" t="s">
        <v>55</v>
      </c>
      <c r="B87" s="431">
        <f>B84/B85</f>
        <v>1</v>
      </c>
      <c r="C87" s="409" t="s">
        <v>56</v>
      </c>
      <c r="D87" s="409"/>
      <c r="E87" s="409"/>
      <c r="F87" s="409"/>
      <c r="G87" s="409"/>
      <c r="I87" s="422"/>
      <c r="J87" s="422"/>
      <c r="K87" s="422"/>
      <c r="L87" s="422"/>
    </row>
    <row r="88" spans="1:12" ht="19.5" customHeight="1" x14ac:dyDescent="0.3">
      <c r="A88" s="417"/>
      <c r="B88" s="417"/>
    </row>
    <row r="89" spans="1:12" ht="27" customHeight="1" x14ac:dyDescent="0.4">
      <c r="A89" s="432" t="s">
        <v>57</v>
      </c>
      <c r="B89" s="433">
        <v>50</v>
      </c>
      <c r="D89" s="519" t="s">
        <v>58</v>
      </c>
      <c r="E89" s="520"/>
      <c r="F89" s="657" t="s">
        <v>59</v>
      </c>
      <c r="G89" s="658"/>
    </row>
    <row r="90" spans="1:12" ht="27" customHeight="1" x14ac:dyDescent="0.4">
      <c r="A90" s="434" t="s">
        <v>60</v>
      </c>
      <c r="B90" s="435">
        <v>1</v>
      </c>
      <c r="C90" s="521" t="s">
        <v>61</v>
      </c>
      <c r="D90" s="437" t="s">
        <v>62</v>
      </c>
      <c r="E90" s="438" t="s">
        <v>63</v>
      </c>
      <c r="F90" s="437" t="s">
        <v>62</v>
      </c>
      <c r="G90" s="522" t="s">
        <v>63</v>
      </c>
      <c r="I90" s="440" t="s">
        <v>64</v>
      </c>
    </row>
    <row r="91" spans="1:12" ht="26.25" customHeight="1" x14ac:dyDescent="0.4">
      <c r="A91" s="434" t="s">
        <v>65</v>
      </c>
      <c r="B91" s="435">
        <v>1</v>
      </c>
      <c r="C91" s="523">
        <v>1</v>
      </c>
      <c r="D91" s="442">
        <v>122579643</v>
      </c>
      <c r="E91" s="443">
        <f>IF(ISBLANK(D91),"-",$D$101/$D$98*D91)</f>
        <v>127130534.75253657</v>
      </c>
      <c r="F91" s="442">
        <v>126644547</v>
      </c>
      <c r="G91" s="444">
        <f>IF(ISBLANK(F91),"-",$D$101/$F$98*F91)</f>
        <v>121889749.75192708</v>
      </c>
      <c r="I91" s="445"/>
    </row>
    <row r="92" spans="1:12" ht="26.25" customHeight="1" x14ac:dyDescent="0.4">
      <c r="A92" s="434" t="s">
        <v>66</v>
      </c>
      <c r="B92" s="435">
        <v>1</v>
      </c>
      <c r="C92" s="507">
        <v>2</v>
      </c>
      <c r="D92" s="447">
        <v>121293362</v>
      </c>
      <c r="E92" s="448">
        <f>IF(ISBLANK(D92),"-",$D$101/$D$98*D92)</f>
        <v>125796499.28490163</v>
      </c>
      <c r="F92" s="447">
        <v>126081791</v>
      </c>
      <c r="G92" s="449">
        <f>IF(ISBLANK(F92),"-",$D$101/$F$98*F92)</f>
        <v>121348122.10481334</v>
      </c>
      <c r="I92" s="659">
        <f>ABS((F96/D96*D95)-F95)/D95</f>
        <v>3.6786772496577406E-2</v>
      </c>
    </row>
    <row r="93" spans="1:12" ht="26.25" customHeight="1" x14ac:dyDescent="0.4">
      <c r="A93" s="434" t="s">
        <v>67</v>
      </c>
      <c r="B93" s="435">
        <v>1</v>
      </c>
      <c r="C93" s="507">
        <v>3</v>
      </c>
      <c r="D93" s="447">
        <v>120783255</v>
      </c>
      <c r="E93" s="448">
        <f>IF(ISBLANK(D93),"-",$D$101/$D$98*D93)</f>
        <v>125267454.05272542</v>
      </c>
      <c r="F93" s="447">
        <v>126806612</v>
      </c>
      <c r="G93" s="449">
        <f>IF(ISBLANK(F93),"-",$D$101/$F$98*F93)</f>
        <v>122045730.11398362</v>
      </c>
      <c r="I93" s="659"/>
    </row>
    <row r="94" spans="1:12" ht="27" customHeight="1" x14ac:dyDescent="0.4">
      <c r="A94" s="434" t="s">
        <v>68</v>
      </c>
      <c r="B94" s="435">
        <v>1</v>
      </c>
      <c r="C94" s="524">
        <v>4</v>
      </c>
      <c r="D94" s="452"/>
      <c r="E94" s="453" t="str">
        <f>IF(ISBLANK(D94),"-",$D$101/$D$98*D94)</f>
        <v>-</v>
      </c>
      <c r="F94" s="525"/>
      <c r="G94" s="454" t="str">
        <f>IF(ISBLANK(F94),"-",$D$101/$F$98*F94)</f>
        <v>-</v>
      </c>
      <c r="I94" s="455"/>
    </row>
    <row r="95" spans="1:12" ht="27" customHeight="1" x14ac:dyDescent="0.4">
      <c r="A95" s="434" t="s">
        <v>69</v>
      </c>
      <c r="B95" s="435">
        <v>1</v>
      </c>
      <c r="C95" s="526" t="s">
        <v>70</v>
      </c>
      <c r="D95" s="527">
        <f>AVERAGE(D91:D94)</f>
        <v>121552086.66666667</v>
      </c>
      <c r="E95" s="458">
        <f>AVERAGE(E91:E94)</f>
        <v>126064829.36338788</v>
      </c>
      <c r="F95" s="528">
        <f>AVERAGE(F91:F94)</f>
        <v>126510983.33333333</v>
      </c>
      <c r="G95" s="529">
        <f>AVERAGE(G91:G94)</f>
        <v>121761200.65690802</v>
      </c>
    </row>
    <row r="96" spans="1:12" ht="26.25" customHeight="1" x14ac:dyDescent="0.4">
      <c r="A96" s="434" t="s">
        <v>71</v>
      </c>
      <c r="B96" s="420">
        <v>1</v>
      </c>
      <c r="C96" s="530" t="s">
        <v>112</v>
      </c>
      <c r="D96" s="531">
        <v>29.13</v>
      </c>
      <c r="E96" s="450"/>
      <c r="F96" s="462">
        <v>31.39</v>
      </c>
    </row>
    <row r="97" spans="1:10" ht="26.25" customHeight="1" x14ac:dyDescent="0.4">
      <c r="A97" s="434" t="s">
        <v>73</v>
      </c>
      <c r="B97" s="420">
        <v>1</v>
      </c>
      <c r="C97" s="532" t="s">
        <v>113</v>
      </c>
      <c r="D97" s="533">
        <f>D96*$B$87</f>
        <v>29.13</v>
      </c>
      <c r="E97" s="465"/>
      <c r="F97" s="464">
        <f>F96*$B$87</f>
        <v>31.39</v>
      </c>
    </row>
    <row r="98" spans="1:10" ht="19.5" customHeight="1" x14ac:dyDescent="0.3">
      <c r="A98" s="434" t="s">
        <v>75</v>
      </c>
      <c r="B98" s="534">
        <f>(B97/B96)*(B95/B94)*(B93/B92)*(B91/B90)*B89</f>
        <v>50</v>
      </c>
      <c r="C98" s="532" t="s">
        <v>114</v>
      </c>
      <c r="D98" s="535">
        <f>D97*$B$83/100</f>
        <v>28.926089999999999</v>
      </c>
      <c r="E98" s="468"/>
      <c r="F98" s="467">
        <f>F97*$B$83/100</f>
        <v>31.170270000000002</v>
      </c>
    </row>
    <row r="99" spans="1:10" ht="19.5" customHeight="1" x14ac:dyDescent="0.3">
      <c r="A99" s="645" t="s">
        <v>77</v>
      </c>
      <c r="B99" s="660"/>
      <c r="C99" s="532" t="s">
        <v>115</v>
      </c>
      <c r="D99" s="536">
        <f>D98/$B$98</f>
        <v>0.57852179999999997</v>
      </c>
      <c r="E99" s="468"/>
      <c r="F99" s="471">
        <f>F98/$B$98</f>
        <v>0.6234054</v>
      </c>
      <c r="G99" s="537"/>
      <c r="H99" s="460"/>
    </row>
    <row r="100" spans="1:10" ht="19.5" customHeight="1" x14ac:dyDescent="0.3">
      <c r="A100" s="647"/>
      <c r="B100" s="661"/>
      <c r="C100" s="532" t="s">
        <v>79</v>
      </c>
      <c r="D100" s="538">
        <f>$B$56/$B$116</f>
        <v>0.6</v>
      </c>
      <c r="F100" s="476"/>
      <c r="G100" s="539"/>
      <c r="H100" s="460"/>
    </row>
    <row r="101" spans="1:10" ht="18.75" x14ac:dyDescent="0.3">
      <c r="C101" s="532" t="s">
        <v>80</v>
      </c>
      <c r="D101" s="533">
        <f>D100*$B$98</f>
        <v>30</v>
      </c>
      <c r="F101" s="476"/>
      <c r="G101" s="537"/>
      <c r="H101" s="460"/>
    </row>
    <row r="102" spans="1:10" ht="19.5" customHeight="1" x14ac:dyDescent="0.3">
      <c r="C102" s="540" t="s">
        <v>81</v>
      </c>
      <c r="D102" s="541">
        <f>D101/B34</f>
        <v>30</v>
      </c>
      <c r="F102" s="480"/>
      <c r="G102" s="537"/>
      <c r="H102" s="460"/>
      <c r="J102" s="542"/>
    </row>
    <row r="103" spans="1:10" ht="18.75" x14ac:dyDescent="0.3">
      <c r="C103" s="543" t="s">
        <v>116</v>
      </c>
      <c r="D103" s="544">
        <f>AVERAGE(E91:E94,G91:G94)</f>
        <v>123913015.01014794</v>
      </c>
      <c r="F103" s="480"/>
      <c r="G103" s="545"/>
      <c r="H103" s="460"/>
      <c r="J103" s="546"/>
    </row>
    <row r="104" spans="1:10" ht="18.75" x14ac:dyDescent="0.3">
      <c r="C104" s="510" t="s">
        <v>83</v>
      </c>
      <c r="D104" s="547">
        <f>STDEV(E91:E94,G91:G94)/D103</f>
        <v>1.9732691565770986E-2</v>
      </c>
      <c r="F104" s="480"/>
      <c r="G104" s="537"/>
      <c r="H104" s="460"/>
      <c r="J104" s="546"/>
    </row>
    <row r="105" spans="1:10" ht="19.5" customHeight="1" x14ac:dyDescent="0.3">
      <c r="C105" s="512" t="s">
        <v>19</v>
      </c>
      <c r="D105" s="548">
        <f>COUNT(E91:E94,G91:G94)</f>
        <v>6</v>
      </c>
      <c r="F105" s="480"/>
      <c r="G105" s="537"/>
      <c r="H105" s="460"/>
      <c r="J105" s="546"/>
    </row>
    <row r="106" spans="1:10" ht="19.5" customHeight="1" x14ac:dyDescent="0.3">
      <c r="A106" s="484"/>
      <c r="B106" s="484"/>
      <c r="C106" s="484"/>
      <c r="D106" s="484"/>
      <c r="E106" s="484"/>
    </row>
    <row r="107" spans="1:10" ht="26.25" customHeight="1" x14ac:dyDescent="0.4">
      <c r="A107" s="432" t="s">
        <v>117</v>
      </c>
      <c r="B107" s="433">
        <v>1000</v>
      </c>
      <c r="C107" s="549" t="s">
        <v>118</v>
      </c>
      <c r="D107" s="550" t="s">
        <v>62</v>
      </c>
      <c r="E107" s="551" t="s">
        <v>119</v>
      </c>
      <c r="F107" s="552" t="s">
        <v>120</v>
      </c>
    </row>
    <row r="108" spans="1:10" ht="26.25" customHeight="1" x14ac:dyDescent="0.4">
      <c r="A108" s="434" t="s">
        <v>121</v>
      </c>
      <c r="B108" s="435">
        <v>1</v>
      </c>
      <c r="C108" s="553">
        <v>1</v>
      </c>
      <c r="D108" s="554">
        <v>112943967</v>
      </c>
      <c r="E108" s="585">
        <f t="shared" ref="E108:E113" si="1">IF(ISBLANK(D108),"-",D108/$D$103*$D$100*$B$116)</f>
        <v>546.88670269584054</v>
      </c>
      <c r="F108" s="555">
        <f t="shared" ref="F108:F113" si="2">IF(ISBLANK(D108), "-", E108/$B$56)</f>
        <v>0.91147783782640091</v>
      </c>
    </row>
    <row r="109" spans="1:10" ht="26.25" customHeight="1" x14ac:dyDescent="0.4">
      <c r="A109" s="434" t="s">
        <v>94</v>
      </c>
      <c r="B109" s="435">
        <v>1</v>
      </c>
      <c r="C109" s="553">
        <v>2</v>
      </c>
      <c r="D109" s="554">
        <v>114326880</v>
      </c>
      <c r="E109" s="586">
        <f t="shared" si="1"/>
        <v>553.58291455003553</v>
      </c>
      <c r="F109" s="556">
        <f t="shared" si="2"/>
        <v>0.92263819091672583</v>
      </c>
    </row>
    <row r="110" spans="1:10" ht="26.25" customHeight="1" x14ac:dyDescent="0.4">
      <c r="A110" s="434" t="s">
        <v>95</v>
      </c>
      <c r="B110" s="435">
        <v>1</v>
      </c>
      <c r="C110" s="553">
        <v>3</v>
      </c>
      <c r="D110" s="554">
        <v>119163429</v>
      </c>
      <c r="E110" s="586">
        <f t="shared" si="1"/>
        <v>577.00199929881956</v>
      </c>
      <c r="F110" s="556">
        <f t="shared" si="2"/>
        <v>0.96166999883136595</v>
      </c>
    </row>
    <row r="111" spans="1:10" ht="26.25" customHeight="1" x14ac:dyDescent="0.4">
      <c r="A111" s="434" t="s">
        <v>96</v>
      </c>
      <c r="B111" s="435">
        <v>1</v>
      </c>
      <c r="C111" s="553">
        <v>4</v>
      </c>
      <c r="D111" s="554">
        <v>119573856</v>
      </c>
      <c r="E111" s="586">
        <f t="shared" si="1"/>
        <v>578.98933049223649</v>
      </c>
      <c r="F111" s="556">
        <f t="shared" si="2"/>
        <v>0.96498221748706081</v>
      </c>
    </row>
    <row r="112" spans="1:10" ht="26.25" customHeight="1" x14ac:dyDescent="0.4">
      <c r="A112" s="434" t="s">
        <v>97</v>
      </c>
      <c r="B112" s="435">
        <v>1</v>
      </c>
      <c r="C112" s="553">
        <v>5</v>
      </c>
      <c r="D112" s="554">
        <v>113045450</v>
      </c>
      <c r="E112" s="586">
        <f t="shared" si="1"/>
        <v>547.37809417715516</v>
      </c>
      <c r="F112" s="556">
        <f t="shared" si="2"/>
        <v>0.91229682362859199</v>
      </c>
    </row>
    <row r="113" spans="1:10" ht="26.25" customHeight="1" x14ac:dyDescent="0.4">
      <c r="A113" s="434" t="s">
        <v>99</v>
      </c>
      <c r="B113" s="435">
        <v>1</v>
      </c>
      <c r="C113" s="557">
        <v>6</v>
      </c>
      <c r="D113" s="558">
        <v>114194680</v>
      </c>
      <c r="E113" s="587">
        <f t="shared" si="1"/>
        <v>552.94278808718173</v>
      </c>
      <c r="F113" s="559">
        <f t="shared" si="2"/>
        <v>0.92157131347863619</v>
      </c>
    </row>
    <row r="114" spans="1:10" ht="26.25" customHeight="1" x14ac:dyDescent="0.4">
      <c r="A114" s="434" t="s">
        <v>100</v>
      </c>
      <c r="B114" s="435">
        <v>1</v>
      </c>
      <c r="C114" s="553"/>
      <c r="D114" s="507"/>
      <c r="E114" s="408"/>
      <c r="F114" s="560"/>
    </row>
    <row r="115" spans="1:10" ht="26.25" customHeight="1" x14ac:dyDescent="0.4">
      <c r="A115" s="434" t="s">
        <v>101</v>
      </c>
      <c r="B115" s="435">
        <v>1</v>
      </c>
      <c r="C115" s="553"/>
      <c r="D115" s="561" t="s">
        <v>70</v>
      </c>
      <c r="E115" s="589">
        <f>AVERAGE(E108:E113)</f>
        <v>559.46363821687817</v>
      </c>
      <c r="F115" s="562">
        <f>AVERAGE(F108:F113)</f>
        <v>0.93243939702813028</v>
      </c>
    </row>
    <row r="116" spans="1:10" ht="27" customHeight="1" x14ac:dyDescent="0.4">
      <c r="A116" s="434" t="s">
        <v>102</v>
      </c>
      <c r="B116" s="466">
        <f>(B115/B114)*(B113/B112)*(B111/B110)*(B109/B108)*B107</f>
        <v>1000</v>
      </c>
      <c r="C116" s="563"/>
      <c r="D116" s="526" t="s">
        <v>83</v>
      </c>
      <c r="E116" s="564">
        <f>STDEV(E108:E113)/E115</f>
        <v>2.6150123773089666E-2</v>
      </c>
      <c r="F116" s="564">
        <f>STDEV(F108:F113)/F115</f>
        <v>2.6150123773089666E-2</v>
      </c>
      <c r="I116" s="408"/>
    </row>
    <row r="117" spans="1:10" ht="27" customHeight="1" x14ac:dyDescent="0.4">
      <c r="A117" s="645" t="s">
        <v>77</v>
      </c>
      <c r="B117" s="646"/>
      <c r="C117" s="565"/>
      <c r="D117" s="566" t="s">
        <v>19</v>
      </c>
      <c r="E117" s="567">
        <f>COUNT(E108:E113)</f>
        <v>6</v>
      </c>
      <c r="F117" s="567">
        <f>COUNT(F108:F113)</f>
        <v>6</v>
      </c>
      <c r="I117" s="408"/>
      <c r="J117" s="546"/>
    </row>
    <row r="118" spans="1:10" ht="19.5" customHeight="1" x14ac:dyDescent="0.3">
      <c r="A118" s="647"/>
      <c r="B118" s="648"/>
      <c r="C118" s="408"/>
      <c r="D118" s="408"/>
      <c r="E118" s="408"/>
      <c r="F118" s="507"/>
      <c r="G118" s="408"/>
      <c r="H118" s="408"/>
      <c r="I118" s="408"/>
    </row>
    <row r="119" spans="1:10" ht="18.75" x14ac:dyDescent="0.3">
      <c r="A119" s="576"/>
      <c r="B119" s="430"/>
      <c r="C119" s="408"/>
      <c r="D119" s="408"/>
      <c r="E119" s="408"/>
      <c r="F119" s="507"/>
      <c r="G119" s="408"/>
      <c r="H119" s="408"/>
      <c r="I119" s="408"/>
    </row>
    <row r="120" spans="1:10" ht="26.25" customHeight="1" x14ac:dyDescent="0.4">
      <c r="A120" s="418" t="s">
        <v>105</v>
      </c>
      <c r="B120" s="514" t="s">
        <v>122</v>
      </c>
      <c r="C120" s="649" t="str">
        <f>B20</f>
        <v xml:space="preserve">Tenofovir Disoproxil Fumarate , Lamivudine  &amp; Efavirenz </v>
      </c>
      <c r="D120" s="649"/>
      <c r="E120" s="515" t="s">
        <v>123</v>
      </c>
      <c r="F120" s="515"/>
      <c r="G120" s="516">
        <f>F115</f>
        <v>0.93243939702813028</v>
      </c>
      <c r="H120" s="408"/>
      <c r="I120" s="408"/>
    </row>
    <row r="121" spans="1:10" ht="19.5" customHeight="1" x14ac:dyDescent="0.3">
      <c r="A121" s="568"/>
      <c r="B121" s="568"/>
      <c r="C121" s="569"/>
      <c r="D121" s="569"/>
      <c r="E121" s="569"/>
      <c r="F121" s="569"/>
      <c r="G121" s="569"/>
      <c r="H121" s="569"/>
    </row>
    <row r="122" spans="1:10" ht="18.75" x14ac:dyDescent="0.3">
      <c r="B122" s="650" t="s">
        <v>25</v>
      </c>
      <c r="C122" s="650"/>
      <c r="E122" s="521" t="s">
        <v>26</v>
      </c>
      <c r="F122" s="570"/>
      <c r="G122" s="650" t="s">
        <v>27</v>
      </c>
      <c r="H122" s="650"/>
    </row>
    <row r="123" spans="1:10" ht="69.95" customHeight="1" x14ac:dyDescent="0.3">
      <c r="A123" s="571" t="s">
        <v>28</v>
      </c>
      <c r="B123" s="572"/>
      <c r="C123" s="572"/>
      <c r="E123" s="572"/>
      <c r="F123" s="408"/>
      <c r="G123" s="573"/>
      <c r="H123" s="573"/>
    </row>
    <row r="124" spans="1:10" ht="69.95" customHeight="1" x14ac:dyDescent="0.3">
      <c r="A124" s="571" t="s">
        <v>29</v>
      </c>
      <c r="B124" s="574"/>
      <c r="C124" s="574"/>
      <c r="E124" s="574"/>
      <c r="F124" s="408"/>
      <c r="G124" s="575"/>
      <c r="H124" s="575"/>
    </row>
    <row r="125" spans="1:10" ht="18.75" x14ac:dyDescent="0.3">
      <c r="A125" s="506"/>
      <c r="B125" s="506"/>
      <c r="C125" s="507"/>
      <c r="D125" s="507"/>
      <c r="E125" s="507"/>
      <c r="F125" s="511"/>
      <c r="G125" s="507"/>
      <c r="H125" s="507"/>
      <c r="I125" s="408"/>
    </row>
    <row r="126" spans="1:10" ht="18.75" x14ac:dyDescent="0.3">
      <c r="A126" s="506"/>
      <c r="B126" s="506"/>
      <c r="C126" s="507"/>
      <c r="D126" s="507"/>
      <c r="E126" s="507"/>
      <c r="F126" s="511"/>
      <c r="G126" s="507"/>
      <c r="H126" s="507"/>
      <c r="I126" s="408"/>
    </row>
    <row r="127" spans="1:10" ht="18.75" x14ac:dyDescent="0.3">
      <c r="A127" s="506"/>
      <c r="B127" s="506"/>
      <c r="C127" s="507"/>
      <c r="D127" s="507"/>
      <c r="E127" s="507"/>
      <c r="F127" s="511"/>
      <c r="G127" s="507"/>
      <c r="H127" s="507"/>
      <c r="I127" s="408"/>
    </row>
    <row r="128" spans="1:10" ht="18.75" x14ac:dyDescent="0.3">
      <c r="A128" s="506"/>
      <c r="B128" s="506"/>
      <c r="C128" s="507"/>
      <c r="D128" s="507"/>
      <c r="E128" s="507"/>
      <c r="F128" s="511"/>
      <c r="G128" s="507"/>
      <c r="H128" s="507"/>
      <c r="I128" s="408"/>
    </row>
    <row r="129" spans="1:9" ht="18.75" x14ac:dyDescent="0.3">
      <c r="A129" s="506"/>
      <c r="B129" s="506"/>
      <c r="C129" s="507"/>
      <c r="D129" s="507"/>
      <c r="E129" s="507"/>
      <c r="F129" s="511"/>
      <c r="G129" s="507"/>
      <c r="H129" s="507"/>
      <c r="I129" s="408"/>
    </row>
    <row r="130" spans="1:9" ht="18.75" x14ac:dyDescent="0.3">
      <c r="A130" s="506"/>
      <c r="B130" s="506"/>
      <c r="C130" s="507"/>
      <c r="D130" s="507"/>
      <c r="E130" s="507"/>
      <c r="F130" s="511"/>
      <c r="G130" s="507"/>
      <c r="H130" s="507"/>
      <c r="I130" s="408"/>
    </row>
    <row r="131" spans="1:9" ht="18.75" x14ac:dyDescent="0.3">
      <c r="A131" s="506"/>
      <c r="B131" s="506"/>
      <c r="C131" s="507"/>
      <c r="D131" s="507"/>
      <c r="E131" s="507"/>
      <c r="F131" s="511"/>
      <c r="G131" s="507"/>
      <c r="H131" s="507"/>
      <c r="I131" s="408"/>
    </row>
    <row r="132" spans="1:9" ht="18.75" x14ac:dyDescent="0.3">
      <c r="A132" s="506"/>
      <c r="B132" s="506"/>
      <c r="C132" s="507"/>
      <c r="D132" s="507"/>
      <c r="E132" s="507"/>
      <c r="F132" s="511"/>
      <c r="G132" s="507"/>
      <c r="H132" s="507"/>
      <c r="I132" s="408"/>
    </row>
    <row r="133" spans="1:9" ht="18.75" x14ac:dyDescent="0.3">
      <c r="A133" s="506"/>
      <c r="B133" s="506"/>
      <c r="C133" s="507"/>
      <c r="D133" s="507"/>
      <c r="E133" s="507"/>
      <c r="F133" s="511"/>
      <c r="G133" s="507"/>
      <c r="H133" s="507"/>
      <c r="I133" s="40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SST-3TC</vt:lpstr>
      <vt:lpstr>SST-TDF</vt:lpstr>
      <vt:lpstr>SST-EFV</vt:lpstr>
      <vt:lpstr>Uniformity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2016-03-01T09:39:40Z</cp:lastPrinted>
  <dcterms:created xsi:type="dcterms:W3CDTF">2005-07-05T10:19:27Z</dcterms:created>
  <dcterms:modified xsi:type="dcterms:W3CDTF">2016-03-02T08:22:55Z</dcterms:modified>
</cp:coreProperties>
</file>