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615" windowWidth="20730" windowHeight="10680"/>
  </bookViews>
  <sheets>
    <sheet name="SULFAMETHOXAZOLE SST" sheetId="1" r:id="rId1"/>
    <sheet name="TRIMETHOPRIM SST" sheetId="12" r:id="rId2"/>
    <sheet name="Uniformity" sheetId="2" r:id="rId3"/>
    <sheet name="TRIMETHOPRIM" sheetId="3" r:id="rId4"/>
    <sheet name="SULFAMETHOXAZOLE" sheetId="4" r:id="rId5"/>
  </sheets>
  <definedNames>
    <definedName name="_xlnm.Print_Area" localSheetId="4">SULFAMETHOXAZOLE!$A$1:$I$125</definedName>
    <definedName name="_xlnm.Print_Area" localSheetId="0">'SULFAMETHOXAZOLE SST'!$A$14:$G$61</definedName>
    <definedName name="_xlnm.Print_Area" localSheetId="3">TRIMETHOPRIM!$A$1:$I$127</definedName>
    <definedName name="_xlnm.Print_Area" localSheetId="1">'TRIMETHOPRIM SST'!$A$14:$G$61</definedName>
    <definedName name="_xlnm.Print_Area" localSheetId="2">Uniformity!$A$9:$F$54</definedName>
  </definedNames>
  <calcPr calcId="145621"/>
</workbook>
</file>

<file path=xl/calcChain.xml><?xml version="1.0" encoding="utf-8"?>
<calcChain xmlns="http://schemas.openxmlformats.org/spreadsheetml/2006/main">
  <c r="B32" i="1" l="1"/>
  <c r="F30" i="1"/>
  <c r="E30" i="1"/>
  <c r="D30" i="1"/>
  <c r="C30" i="1"/>
  <c r="B30" i="1"/>
  <c r="B31" i="1" s="1"/>
  <c r="B53" i="1"/>
  <c r="F51" i="1"/>
  <c r="E51" i="1"/>
  <c r="D51" i="1"/>
  <c r="C51" i="1"/>
  <c r="B51" i="1"/>
  <c r="B52" i="1" s="1"/>
  <c r="B42" i="1" l="1"/>
  <c r="B21" i="1"/>
  <c r="B42" i="12"/>
  <c r="B21" i="12"/>
  <c r="B53" i="12" l="1"/>
  <c r="E51" i="12"/>
  <c r="D51" i="12"/>
  <c r="C51" i="12"/>
  <c r="B51" i="12"/>
  <c r="B52" i="12" s="1"/>
  <c r="B32" i="12"/>
  <c r="E30" i="12"/>
  <c r="D30" i="12"/>
  <c r="C30" i="12"/>
  <c r="B30" i="12"/>
  <c r="B31" i="12" s="1"/>
  <c r="C120" i="4"/>
  <c r="B116" i="4"/>
  <c r="D100" i="4" s="1"/>
  <c r="B98" i="4"/>
  <c r="F95" i="4"/>
  <c r="I92" i="4" s="1"/>
  <c r="D95" i="4"/>
  <c r="B87" i="4"/>
  <c r="F97" i="4" s="1"/>
  <c r="B83" i="4"/>
  <c r="C76" i="4"/>
  <c r="B68" i="4"/>
  <c r="C56" i="4"/>
  <c r="B55" i="4"/>
  <c r="B45" i="4"/>
  <c r="D48" i="4" s="1"/>
  <c r="F42" i="4"/>
  <c r="I39" i="4" s="1"/>
  <c r="D42" i="4"/>
  <c r="B34" i="4"/>
  <c r="F44" i="4" s="1"/>
  <c r="F45" i="4" s="1"/>
  <c r="B30" i="4"/>
  <c r="C120" i="3"/>
  <c r="B116" i="3"/>
  <c r="D100" i="3"/>
  <c r="B98" i="3"/>
  <c r="F95" i="3"/>
  <c r="D95" i="3"/>
  <c r="B87" i="3"/>
  <c r="F97" i="3" s="1"/>
  <c r="B83" i="3"/>
  <c r="C76" i="3"/>
  <c r="B68" i="3"/>
  <c r="C56" i="3"/>
  <c r="B55" i="3"/>
  <c r="B45" i="3"/>
  <c r="D48" i="3" s="1"/>
  <c r="F42" i="3"/>
  <c r="I39" i="3" s="1"/>
  <c r="D42" i="3"/>
  <c r="B34" i="3"/>
  <c r="F44" i="3" s="1"/>
  <c r="F45" i="3" s="1"/>
  <c r="B30" i="3"/>
  <c r="C46" i="2"/>
  <c r="C45" i="2"/>
  <c r="D25" i="2"/>
  <c r="C19" i="2"/>
  <c r="I92" i="3" l="1"/>
  <c r="D101" i="3"/>
  <c r="G92" i="3" s="1"/>
  <c r="G40" i="3"/>
  <c r="F98" i="3"/>
  <c r="D101" i="4"/>
  <c r="D102" i="4" s="1"/>
  <c r="G40" i="4"/>
  <c r="F98" i="4"/>
  <c r="F99" i="4" s="1"/>
  <c r="F99" i="3"/>
  <c r="G41" i="3"/>
  <c r="F46" i="3"/>
  <c r="G41" i="4"/>
  <c r="F46" i="4"/>
  <c r="G39" i="4"/>
  <c r="D24" i="2"/>
  <c r="D28" i="2"/>
  <c r="D32" i="2"/>
  <c r="D36" i="2"/>
  <c r="D40" i="2"/>
  <c r="D49" i="2"/>
  <c r="G39" i="3"/>
  <c r="B57" i="3"/>
  <c r="B69" i="3" s="1"/>
  <c r="B57" i="4"/>
  <c r="B69" i="4" s="1"/>
  <c r="C50" i="2"/>
  <c r="D97" i="3"/>
  <c r="D98" i="3" s="1"/>
  <c r="D29" i="2"/>
  <c r="D33" i="2"/>
  <c r="D37" i="2"/>
  <c r="D41" i="2"/>
  <c r="D26" i="2"/>
  <c r="D30" i="2"/>
  <c r="D34" i="2"/>
  <c r="D38" i="2"/>
  <c r="D42" i="2"/>
  <c r="B49" i="2"/>
  <c r="D50" i="2"/>
  <c r="G38" i="3"/>
  <c r="D44" i="3"/>
  <c r="D45" i="3" s="1"/>
  <c r="E41" i="3" s="1"/>
  <c r="D49" i="3"/>
  <c r="D102" i="3"/>
  <c r="G38" i="4"/>
  <c r="D44" i="4"/>
  <c r="D45" i="4" s="1"/>
  <c r="D49" i="4"/>
  <c r="D27" i="2"/>
  <c r="D31" i="2"/>
  <c r="D35" i="2"/>
  <c r="D39" i="2"/>
  <c r="D43" i="2"/>
  <c r="C49" i="2"/>
  <c r="D97" i="4"/>
  <c r="D98" i="4" s="1"/>
  <c r="D99" i="4" s="1"/>
  <c r="G91" i="3" l="1"/>
  <c r="E92" i="3"/>
  <c r="G94" i="3"/>
  <c r="G93" i="3"/>
  <c r="G42" i="3"/>
  <c r="E40" i="3"/>
  <c r="E39" i="3"/>
  <c r="G91" i="4"/>
  <c r="G92" i="4"/>
  <c r="G93" i="4"/>
  <c r="G42" i="4"/>
  <c r="G94" i="4"/>
  <c r="D46" i="4"/>
  <c r="E39" i="4"/>
  <c r="E38" i="4"/>
  <c r="D99" i="3"/>
  <c r="E93" i="3"/>
  <c r="E91" i="3"/>
  <c r="E94" i="3"/>
  <c r="E40" i="4"/>
  <c r="E41" i="4"/>
  <c r="E93" i="4"/>
  <c r="E92" i="4"/>
  <c r="D46" i="3"/>
  <c r="E38" i="3"/>
  <c r="E91" i="4"/>
  <c r="E94" i="4"/>
  <c r="G95" i="4" l="1"/>
  <c r="G95" i="3"/>
  <c r="D50" i="4"/>
  <c r="E42" i="4"/>
  <c r="D52" i="4"/>
  <c r="D50" i="3"/>
  <c r="E42" i="3"/>
  <c r="D52" i="3"/>
  <c r="E95" i="4"/>
  <c r="D103" i="4"/>
  <c r="D105" i="4"/>
  <c r="D103" i="3"/>
  <c r="E95" i="3"/>
  <c r="D105" i="3"/>
  <c r="G70" i="4" l="1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D51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2" i="4"/>
  <c r="F112" i="4" s="1"/>
  <c r="E110" i="4"/>
  <c r="F110" i="4" s="1"/>
  <c r="E108" i="4"/>
  <c r="D104" i="4"/>
  <c r="E109" i="4"/>
  <c r="F109" i="4" s="1"/>
  <c r="E111" i="4"/>
  <c r="F111" i="4" s="1"/>
  <c r="E113" i="4"/>
  <c r="F113" i="4" s="1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D51" i="3"/>
  <c r="E117" i="3" l="1"/>
  <c r="F108" i="3"/>
  <c r="E115" i="3"/>
  <c r="E116" i="3" s="1"/>
  <c r="G74" i="3"/>
  <c r="G72" i="3"/>
  <c r="G73" i="3" s="1"/>
  <c r="H60" i="3"/>
  <c r="E115" i="4"/>
  <c r="E116" i="4" s="1"/>
  <c r="E117" i="4"/>
  <c r="F108" i="4"/>
  <c r="G74" i="4"/>
  <c r="G72" i="4"/>
  <c r="G73" i="4" s="1"/>
  <c r="H60" i="4"/>
  <c r="F115" i="3" l="1"/>
  <c r="F117" i="3"/>
  <c r="H74" i="4"/>
  <c r="H72" i="4"/>
  <c r="H74" i="3"/>
  <c r="H72" i="3"/>
  <c r="F117" i="4"/>
  <c r="F115" i="4"/>
  <c r="G120" i="4" l="1"/>
  <c r="F116" i="4"/>
  <c r="G76" i="4"/>
  <c r="H73" i="4"/>
  <c r="G76" i="3"/>
  <c r="H73" i="3"/>
  <c r="G120" i="3"/>
  <c r="F116" i="3"/>
</calcChain>
</file>

<file path=xl/sharedStrings.xml><?xml version="1.0" encoding="utf-8"?>
<sst xmlns="http://schemas.openxmlformats.org/spreadsheetml/2006/main" count="448" uniqueCount="135">
  <si>
    <t>HPLC System Suitability Report</t>
  </si>
  <si>
    <t>Analysis Data</t>
  </si>
  <si>
    <t>Assay</t>
  </si>
  <si>
    <t>Sample(s)</t>
  </si>
  <si>
    <t>Reference Substance:</t>
  </si>
  <si>
    <t>SULFRAN - DS TABLETS</t>
  </si>
  <si>
    <t>% age Purity:</t>
  </si>
  <si>
    <t>NDQB201601692</t>
  </si>
  <si>
    <t>Weight (mg):</t>
  </si>
  <si>
    <t>Sulfamethoxazole BP &amp; Trimethoprim BP</t>
  </si>
  <si>
    <t>Standard Conc (mg/mL):</t>
  </si>
  <si>
    <t>Sulphamethoxazole 800mg Trimethoprim 160 per tablets</t>
  </si>
  <si>
    <t>2016-01-27 11:42:41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</si>
  <si>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</si>
  <si>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</si>
  <si>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</si>
  <si>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</si>
  <si>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</si>
  <si>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</si>
  <si>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</si>
  <si>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</si>
  <si>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</si>
  <si>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</si>
  <si>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</si>
  <si>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</si>
  <si>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</si>
  <si>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</si>
  <si>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</si>
  <si>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</si>
  <si>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</si>
  <si>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</si>
  <si>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</si>
  <si>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</si>
  <si>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</si>
  <si>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</si>
  <si>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</si>
  <si>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</si>
  <si>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</si>
  <si>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</si>
  <si>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</si>
  <si>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</si>
  <si>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</si>
  <si>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</si>
  <si>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</si>
  <si>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</si>
  <si>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</si>
  <si>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</si>
  <si>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</si>
  <si>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</si>
  <si>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</si>
  <si>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</si>
  <si>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</si>
  <si>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</si>
  <si>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</si>
  <si>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</si>
  <si>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</si>
  <si>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</si>
  <si>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</si>
  <si>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</si>
  <si>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</si>
  <si>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</si>
  <si>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</si>
  <si>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</si>
  <si>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</si>
  <si>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</si>
  <si>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</si>
  <si>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</si>
  <si>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</si>
  <si>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</si>
  <si>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</si>
  <si>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</si>
  <si>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</si>
  <si>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</si>
  <si>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</si>
  <si>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</si>
  <si>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</si>
  <si>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</si>
  <si>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</si>
  <si>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</si>
  <si>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</si>
  <si>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</si>
  <si>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</si>
  <si>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</si>
  <si>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</si>
  <si>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</si>
  <si>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</si>
  <si>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</si>
  <si>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</si>
  <si>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</si>
  <si>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</si>
  <si>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</si>
  <si>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</si>
  <si>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</si>
  <si>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</si>
  <si>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</si>
  <si>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</si>
  <si>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</si>
  <si>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</si>
  <si>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</si>
  <si>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</si>
  <si>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</si>
  <si>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</si>
  <si>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</si>
  <si>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</si>
  <si>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</si>
  <si>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</si>
  <si>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</si>
  <si>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</si>
  <si>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</si>
  <si>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</si>
  <si>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</si>
  <si>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</si>
  <si>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</si>
  <si>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</si>
  <si>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</si>
  <si>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</si>
  <si>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</si>
  <si>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</si>
  <si>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</si>
  <si>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</si>
  <si>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</si>
  <si>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</si>
  <si>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</si>
  <si>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</si>
  <si>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</si>
  <si>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</si>
  <si>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SULFRAN-DS TABLETS</t>
  </si>
  <si>
    <t xml:space="preserve">Trimethoprim </t>
  </si>
  <si>
    <t>NQCL/WRS/S12-2</t>
  </si>
  <si>
    <t>11th March 2016</t>
  </si>
  <si>
    <t>22nd March 2016</t>
  </si>
  <si>
    <t>NQCL/WRS/T7-2</t>
  </si>
  <si>
    <t>Sulfamethoxazole</t>
  </si>
  <si>
    <t>Resolution (USP)</t>
  </si>
  <si>
    <r>
      <t xml:space="preserve">Resolution is </t>
    </r>
    <r>
      <rPr>
        <b/>
        <sz val="12"/>
        <color rgb="FF000000"/>
        <rFont val="Book Antiqua"/>
        <family val="1"/>
      </rPr>
      <t>greater than 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</si>
</sst>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</cellStyleXfs>
  <cellXfs count="58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7" fillId="3" borderId="5" xfId="4" applyFont="1" applyFill="1" applyBorder="1" applyAlignment="1" applyProtection="1">
      <alignment horizontal="center"/>
      <protection locked="0"/>
    </xf>
    <xf numFmtId="2" fontId="7" fillId="3" borderId="5" xfId="4" applyNumberFormat="1" applyFont="1" applyFill="1" applyBorder="1" applyAlignment="1" applyProtection="1">
      <alignment horizontal="center"/>
      <protection locked="0"/>
    </xf>
    <xf numFmtId="0" fontId="5" fillId="2" borderId="0" xfId="5" applyFont="1" applyFill="1" applyAlignment="1">
      <alignment horizontal="left"/>
    </xf>
    <xf numFmtId="2" fontId="5" fillId="2" borderId="0" xfId="5" applyNumberFormat="1" applyFont="1" applyFill="1" applyAlignment="1">
      <alignment horizontal="center"/>
    </xf>
    <xf numFmtId="164" fontId="5" fillId="2" borderId="0" xfId="5" applyNumberFormat="1" applyFont="1" applyFill="1" applyAlignment="1">
      <alignment horizontal="center"/>
    </xf>
    <xf numFmtId="2" fontId="5" fillId="2" borderId="0" xfId="6" applyNumberFormat="1" applyFont="1" applyFill="1" applyAlignment="1">
      <alignment horizontal="center"/>
    </xf>
    <xf numFmtId="164" fontId="5" fillId="2" borderId="0" xfId="6" applyNumberFormat="1" applyFont="1" applyFill="1" applyAlignment="1">
      <alignment horizontal="center"/>
    </xf>
    <xf numFmtId="0" fontId="24" fillId="2" borderId="0" xfId="11" applyFill="1"/>
    <xf numFmtId="0" fontId="5" fillId="2" borderId="0" xfId="11" applyFont="1" applyFill="1" applyAlignment="1">
      <alignment horizontal="left"/>
    </xf>
    <xf numFmtId="0" fontId="6" fillId="2" borderId="0" xfId="11" applyFont="1" applyFill="1"/>
    <xf numFmtId="2" fontId="5" fillId="2" borderId="0" xfId="11" applyNumberFormat="1" applyFont="1" applyFill="1" applyAlignment="1">
      <alignment horizontal="center"/>
    </xf>
    <xf numFmtId="164" fontId="5" fillId="2" borderId="0" xfId="11" applyNumberFormat="1" applyFont="1" applyFill="1" applyAlignment="1">
      <alignment horizontal="center"/>
    </xf>
    <xf numFmtId="0" fontId="25" fillId="2" borderId="0" xfId="11" applyFont="1" applyFill="1"/>
    <xf numFmtId="0" fontId="7" fillId="3" borderId="3" xfId="13" applyFont="1" applyFill="1" applyBorder="1" applyAlignment="1" applyProtection="1">
      <alignment horizontal="center"/>
      <protection locked="0"/>
    </xf>
    <xf numFmtId="2" fontId="7" fillId="3" borderId="3" xfId="13" applyNumberFormat="1" applyFont="1" applyFill="1" applyBorder="1" applyAlignment="1" applyProtection="1">
      <alignment horizontal="center"/>
      <protection locked="0"/>
    </xf>
    <xf numFmtId="2" fontId="7" fillId="3" borderId="4" xfId="13" applyNumberFormat="1" applyFont="1" applyFill="1" applyBorder="1" applyAlignment="1" applyProtection="1">
      <alignment horizontal="center"/>
      <protection locked="0"/>
    </xf>
    <xf numFmtId="0" fontId="7" fillId="3" borderId="5" xfId="13" applyFont="1" applyFill="1" applyBorder="1" applyAlignment="1" applyProtection="1">
      <alignment horizontal="center"/>
      <protection locked="0"/>
    </xf>
    <xf numFmtId="2" fontId="7" fillId="3" borderId="5" xfId="13" applyNumberFormat="1" applyFont="1" applyFill="1" applyBorder="1" applyAlignment="1" applyProtection="1">
      <alignment horizontal="center"/>
      <protection locked="0"/>
    </xf>
    <xf numFmtId="0" fontId="5" fillId="2" borderId="0" xfId="14" applyFont="1" applyFill="1" applyAlignment="1">
      <alignment horizontal="left"/>
    </xf>
    <xf numFmtId="2" fontId="5" fillId="2" borderId="0" xfId="14" applyNumberFormat="1" applyFont="1" applyFill="1" applyAlignment="1">
      <alignment horizontal="center"/>
    </xf>
    <xf numFmtId="164" fontId="5" fillId="2" borderId="0" xfId="14" applyNumberFormat="1" applyFont="1" applyFill="1" applyAlignment="1">
      <alignment horizontal="center"/>
    </xf>
    <xf numFmtId="0" fontId="26" fillId="3" borderId="3" xfId="16" applyFont="1" applyFill="1" applyBorder="1" applyAlignment="1" applyProtection="1">
      <alignment horizontal="center"/>
      <protection locked="0"/>
    </xf>
    <xf numFmtId="2" fontId="26" fillId="3" borderId="3" xfId="16" applyNumberFormat="1" applyFont="1" applyFill="1" applyBorder="1" applyAlignment="1" applyProtection="1">
      <alignment horizontal="center"/>
      <protection locked="0"/>
    </xf>
    <xf numFmtId="2" fontId="26" fillId="3" borderId="4" xfId="16" applyNumberFormat="1" applyFont="1" applyFill="1" applyBorder="1" applyAlignment="1" applyProtection="1">
      <alignment horizontal="center"/>
      <protection locked="0"/>
    </xf>
    <xf numFmtId="0" fontId="26" fillId="3" borderId="5" xfId="16" applyFont="1" applyFill="1" applyBorder="1" applyAlignment="1" applyProtection="1">
      <alignment horizontal="center"/>
      <protection locked="0"/>
    </xf>
    <xf numFmtId="0" fontId="13" fillId="3" borderId="0" xfId="20" applyFont="1" applyFill="1" applyAlignment="1" applyProtection="1">
      <alignment horizontal="center"/>
      <protection locked="0"/>
    </xf>
    <xf numFmtId="0" fontId="14" fillId="3" borderId="0" xfId="20" applyFont="1" applyFill="1" applyAlignment="1" applyProtection="1">
      <alignment horizontal="center"/>
      <protection locked="0"/>
    </xf>
    <xf numFmtId="0" fontId="13" fillId="3" borderId="22" xfId="21" applyFont="1" applyFill="1" applyBorder="1" applyAlignment="1" applyProtection="1">
      <alignment horizontal="center"/>
      <protection locked="0"/>
    </xf>
    <xf numFmtId="0" fontId="13" fillId="3" borderId="24" xfId="21" applyFont="1" applyFill="1" applyBorder="1" applyAlignment="1" applyProtection="1">
      <alignment horizontal="center"/>
      <protection locked="0"/>
    </xf>
    <xf numFmtId="0" fontId="13" fillId="3" borderId="29" xfId="22" applyFont="1" applyFill="1" applyBorder="1" applyAlignment="1" applyProtection="1">
      <alignment horizontal="center"/>
      <protection locked="0"/>
    </xf>
    <xf numFmtId="0" fontId="13" fillId="3" borderId="23" xfId="22" applyFont="1" applyFill="1" applyBorder="1" applyAlignment="1" applyProtection="1">
      <alignment horizontal="center"/>
      <protection locked="0"/>
    </xf>
    <xf numFmtId="0" fontId="13" fillId="3" borderId="34" xfId="22" applyFont="1" applyFill="1" applyBorder="1" applyAlignment="1" applyProtection="1">
      <alignment horizontal="center"/>
      <protection locked="0"/>
    </xf>
    <xf numFmtId="0" fontId="13" fillId="3" borderId="29" xfId="24" applyFont="1" applyFill="1" applyBorder="1" applyAlignment="1" applyProtection="1">
      <alignment horizontal="center"/>
      <protection locked="0"/>
    </xf>
    <xf numFmtId="0" fontId="13" fillId="3" borderId="23" xfId="24" applyFont="1" applyFill="1" applyBorder="1" applyAlignment="1" applyProtection="1">
      <alignment horizontal="center"/>
      <protection locked="0"/>
    </xf>
    <xf numFmtId="0" fontId="13" fillId="3" borderId="34" xfId="24" applyFont="1" applyFill="1" applyBorder="1" applyAlignment="1" applyProtection="1">
      <alignment horizontal="center"/>
      <protection locked="0"/>
    </xf>
    <xf numFmtId="0" fontId="13" fillId="3" borderId="16" xfId="25" applyFont="1" applyFill="1" applyBorder="1" applyAlignment="1" applyProtection="1">
      <alignment horizontal="center"/>
      <protection locked="0"/>
    </xf>
    <xf numFmtId="0" fontId="13" fillId="3" borderId="16" xfId="26" applyFont="1" applyFill="1" applyBorder="1" applyAlignment="1" applyProtection="1">
      <alignment horizontal="center"/>
      <protection locked="0"/>
    </xf>
    <xf numFmtId="166" fontId="13" fillId="3" borderId="41" xfId="27" applyNumberFormat="1" applyFont="1" applyFill="1" applyBorder="1" applyAlignment="1" applyProtection="1">
      <alignment horizontal="center"/>
      <protection locked="0"/>
    </xf>
    <xf numFmtId="0" fontId="13" fillId="3" borderId="22" xfId="28" applyFont="1" applyFill="1" applyBorder="1" applyAlignment="1" applyProtection="1">
      <alignment horizontal="center"/>
      <protection locked="0"/>
    </xf>
    <xf numFmtId="0" fontId="13" fillId="3" borderId="24" xfId="28" applyFont="1" applyFill="1" applyBorder="1" applyAlignment="1" applyProtection="1">
      <alignment horizontal="center"/>
      <protection locked="0"/>
    </xf>
    <xf numFmtId="0" fontId="13" fillId="3" borderId="0" xfId="30" applyFont="1" applyFill="1" applyAlignment="1" applyProtection="1">
      <alignment horizontal="center"/>
      <protection locked="0"/>
    </xf>
    <xf numFmtId="0" fontId="14" fillId="3" borderId="0" xfId="30" applyFont="1" applyFill="1" applyAlignment="1" applyProtection="1">
      <alignment horizontal="center"/>
      <protection locked="0"/>
    </xf>
    <xf numFmtId="0" fontId="13" fillId="3" borderId="0" xfId="31" applyFont="1" applyFill="1" applyAlignment="1" applyProtection="1">
      <alignment horizontal="center"/>
      <protection locked="0"/>
    </xf>
    <xf numFmtId="0" fontId="13" fillId="3" borderId="22" xfId="31" applyFont="1" applyFill="1" applyBorder="1" applyAlignment="1" applyProtection="1">
      <alignment horizontal="center"/>
      <protection locked="0"/>
    </xf>
    <xf numFmtId="0" fontId="13" fillId="3" borderId="24" xfId="31" applyFont="1" applyFill="1" applyBorder="1" applyAlignment="1" applyProtection="1">
      <alignment horizontal="center"/>
      <protection locked="0"/>
    </xf>
    <xf numFmtId="0" fontId="13" fillId="3" borderId="29" xfId="33" applyFont="1" applyFill="1" applyBorder="1" applyAlignment="1" applyProtection="1">
      <alignment horizontal="center"/>
      <protection locked="0"/>
    </xf>
    <xf numFmtId="0" fontId="13" fillId="3" borderId="23" xfId="33" applyFont="1" applyFill="1" applyBorder="1" applyAlignment="1" applyProtection="1">
      <alignment horizontal="center"/>
      <protection locked="0"/>
    </xf>
    <xf numFmtId="0" fontId="13" fillId="3" borderId="34" xfId="33" applyFont="1" applyFill="1" applyBorder="1" applyAlignment="1" applyProtection="1">
      <alignment horizontal="center"/>
      <protection locked="0"/>
    </xf>
    <xf numFmtId="0" fontId="13" fillId="3" borderId="29" xfId="34" applyFont="1" applyFill="1" applyBorder="1" applyAlignment="1" applyProtection="1">
      <alignment horizontal="center"/>
      <protection locked="0"/>
    </xf>
    <xf numFmtId="0" fontId="13" fillId="3" borderId="23" xfId="34" applyFont="1" applyFill="1" applyBorder="1" applyAlignment="1" applyProtection="1">
      <alignment horizontal="center"/>
      <protection locked="0"/>
    </xf>
    <xf numFmtId="171" fontId="13" fillId="3" borderId="34" xfId="34" applyNumberFormat="1" applyFont="1" applyFill="1" applyBorder="1" applyAlignment="1" applyProtection="1">
      <alignment horizontal="center"/>
      <protection locked="0"/>
    </xf>
    <xf numFmtId="0" fontId="13" fillId="3" borderId="52" xfId="36" applyFont="1" applyFill="1" applyBorder="1" applyAlignment="1" applyProtection="1">
      <alignment horizontal="center"/>
      <protection locked="0"/>
    </xf>
    <xf numFmtId="0" fontId="13" fillId="3" borderId="16" xfId="37" applyFont="1" applyFill="1" applyBorder="1" applyAlignment="1" applyProtection="1">
      <alignment horizontal="center"/>
      <protection locked="0"/>
    </xf>
    <xf numFmtId="168" fontId="14" fillId="3" borderId="0" xfId="38" applyNumberFormat="1" applyFont="1" applyFill="1" applyAlignment="1" applyProtection="1">
      <alignment horizontal="center"/>
      <protection locked="0"/>
    </xf>
    <xf numFmtId="0" fontId="13" fillId="3" borderId="0" xfId="40" applyFont="1" applyFill="1" applyAlignment="1" applyProtection="1">
      <alignment horizontal="center"/>
      <protection locked="0"/>
    </xf>
    <xf numFmtId="0" fontId="14" fillId="3" borderId="0" xfId="40" applyFont="1" applyFill="1" applyAlignment="1" applyProtection="1">
      <alignment horizontal="center"/>
      <protection locked="0"/>
    </xf>
    <xf numFmtId="0" fontId="13" fillId="3" borderId="22" xfId="41" applyFont="1" applyFill="1" applyBorder="1" applyAlignment="1" applyProtection="1">
      <alignment horizontal="center"/>
      <protection locked="0"/>
    </xf>
    <xf numFmtId="0" fontId="13" fillId="3" borderId="24" xfId="41" applyFont="1" applyFill="1" applyBorder="1" applyAlignment="1" applyProtection="1">
      <alignment horizontal="center"/>
      <protection locked="0"/>
    </xf>
    <xf numFmtId="0" fontId="13" fillId="3" borderId="29" xfId="42" applyFont="1" applyFill="1" applyBorder="1" applyAlignment="1" applyProtection="1">
      <alignment horizontal="center"/>
      <protection locked="0"/>
    </xf>
    <xf numFmtId="0" fontId="13" fillId="3" borderId="23" xfId="42" applyFont="1" applyFill="1" applyBorder="1" applyAlignment="1" applyProtection="1">
      <alignment horizontal="center"/>
      <protection locked="0"/>
    </xf>
    <xf numFmtId="0" fontId="13" fillId="3" borderId="34" xfId="42" applyFont="1" applyFill="1" applyBorder="1" applyAlignment="1" applyProtection="1">
      <alignment horizontal="center"/>
      <protection locked="0"/>
    </xf>
    <xf numFmtId="0" fontId="13" fillId="3" borderId="29" xfId="43" applyFont="1" applyFill="1" applyBorder="1" applyAlignment="1" applyProtection="1">
      <alignment horizontal="center"/>
      <protection locked="0"/>
    </xf>
    <xf numFmtId="0" fontId="13" fillId="3" borderId="23" xfId="43" applyFont="1" applyFill="1" applyBorder="1" applyAlignment="1" applyProtection="1">
      <alignment horizontal="center"/>
      <protection locked="0"/>
    </xf>
    <xf numFmtId="0" fontId="13" fillId="3" borderId="34" xfId="43" applyFont="1" applyFill="1" applyBorder="1" applyAlignment="1" applyProtection="1">
      <alignment horizontal="center"/>
      <protection locked="0"/>
    </xf>
    <xf numFmtId="0" fontId="13" fillId="3" borderId="16" xfId="45" applyFont="1" applyFill="1" applyBorder="1" applyAlignment="1" applyProtection="1">
      <alignment horizontal="center"/>
      <protection locked="0"/>
    </xf>
    <xf numFmtId="0" fontId="13" fillId="3" borderId="16" xfId="47" applyFont="1" applyFill="1" applyBorder="1" applyAlignment="1" applyProtection="1">
      <alignment horizontal="center"/>
      <protection locked="0"/>
    </xf>
    <xf numFmtId="166" fontId="13" fillId="3" borderId="41" xfId="48" applyNumberFormat="1" applyFont="1" applyFill="1" applyBorder="1" applyAlignment="1" applyProtection="1">
      <alignment horizontal="center"/>
      <protection locked="0"/>
    </xf>
    <xf numFmtId="172" fontId="13" fillId="3" borderId="0" xfId="49" applyNumberFormat="1" applyFont="1" applyFill="1" applyAlignment="1" applyProtection="1">
      <alignment horizontal="center"/>
      <protection locked="0"/>
    </xf>
    <xf numFmtId="0" fontId="13" fillId="3" borderId="22" xfId="50" applyFont="1" applyFill="1" applyBorder="1" applyAlignment="1" applyProtection="1">
      <alignment horizontal="center"/>
      <protection locked="0"/>
    </xf>
    <xf numFmtId="0" fontId="13" fillId="3" borderId="24" xfId="50" applyFont="1" applyFill="1" applyBorder="1" applyAlignment="1" applyProtection="1">
      <alignment horizontal="center"/>
      <protection locked="0"/>
    </xf>
    <xf numFmtId="0" fontId="13" fillId="3" borderId="0" xfId="52" applyFont="1" applyFill="1" applyAlignment="1" applyProtection="1">
      <alignment horizontal="center"/>
      <protection locked="0"/>
    </xf>
    <xf numFmtId="0" fontId="14" fillId="3" borderId="0" xfId="52" applyFont="1" applyFill="1" applyAlignment="1" applyProtection="1">
      <alignment horizontal="center"/>
      <protection locked="0"/>
    </xf>
    <xf numFmtId="0" fontId="13" fillId="3" borderId="22" xfId="53" applyFont="1" applyFill="1" applyBorder="1" applyAlignment="1" applyProtection="1">
      <alignment horizontal="center"/>
      <protection locked="0"/>
    </xf>
    <xf numFmtId="0" fontId="13" fillId="3" borderId="24" xfId="53" applyFont="1" applyFill="1" applyBorder="1" applyAlignment="1" applyProtection="1">
      <alignment horizontal="center"/>
      <protection locked="0"/>
    </xf>
    <xf numFmtId="0" fontId="13" fillId="3" borderId="29" xfId="54" applyFont="1" applyFill="1" applyBorder="1" applyAlignment="1" applyProtection="1">
      <alignment horizontal="center"/>
      <protection locked="0"/>
    </xf>
    <xf numFmtId="0" fontId="13" fillId="3" borderId="23" xfId="54" applyFont="1" applyFill="1" applyBorder="1" applyAlignment="1" applyProtection="1">
      <alignment horizontal="center"/>
      <protection locked="0"/>
    </xf>
    <xf numFmtId="0" fontId="13" fillId="3" borderId="34" xfId="54" applyFont="1" applyFill="1" applyBorder="1" applyAlignment="1" applyProtection="1">
      <alignment horizontal="center"/>
      <protection locked="0"/>
    </xf>
    <xf numFmtId="0" fontId="13" fillId="3" borderId="29" xfId="55" applyFont="1" applyFill="1" applyBorder="1" applyAlignment="1" applyProtection="1">
      <alignment horizontal="center"/>
      <protection locked="0"/>
    </xf>
    <xf numFmtId="0" fontId="13" fillId="3" borderId="23" xfId="55" applyFont="1" applyFill="1" applyBorder="1" applyAlignment="1" applyProtection="1">
      <alignment horizontal="center"/>
      <protection locked="0"/>
    </xf>
    <xf numFmtId="171" fontId="13" fillId="3" borderId="34" xfId="55" applyNumberFormat="1" applyFont="1" applyFill="1" applyBorder="1" applyAlignment="1" applyProtection="1">
      <alignment horizontal="center"/>
      <protection locked="0"/>
    </xf>
    <xf numFmtId="0" fontId="13" fillId="3" borderId="52" xfId="56" applyFont="1" applyFill="1" applyBorder="1" applyAlignment="1" applyProtection="1">
      <alignment horizontal="center"/>
      <protection locked="0"/>
    </xf>
    <xf numFmtId="0" fontId="13" fillId="3" borderId="16" xfId="57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39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4" fillId="3" borderId="0" xfId="39" applyFont="1" applyFill="1" applyAlignment="1" applyProtection="1">
      <alignment horizontal="left"/>
      <protection locked="0"/>
    </xf>
    <xf numFmtId="0" fontId="13" fillId="3" borderId="0" xfId="51" applyFont="1" applyFill="1" applyAlignment="1" applyProtection="1">
      <alignment horizontal="left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10" fontId="15" fillId="2" borderId="1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3" fillId="3" borderId="0" xfId="18" applyFont="1" applyFill="1" applyAlignment="1" applyProtection="1">
      <alignment horizontal="left" wrapText="1"/>
      <protection locked="0"/>
    </xf>
    <xf numFmtId="0" fontId="14" fillId="3" borderId="0" xfId="18" applyFont="1" applyFill="1" applyAlignment="1" applyProtection="1">
      <alignment horizontal="left"/>
      <protection locked="0"/>
    </xf>
    <xf numFmtId="0" fontId="13" fillId="3" borderId="0" xfId="29" applyFont="1" applyFill="1" applyAlignment="1" applyProtection="1">
      <alignment horizontal="left"/>
      <protection locked="0"/>
    </xf>
    <xf numFmtId="0" fontId="26" fillId="3" borderId="3" xfId="0" applyFont="1" applyFill="1" applyBorder="1" applyAlignment="1" applyProtection="1">
      <alignment horizontal="center"/>
      <protection locked="0"/>
    </xf>
    <xf numFmtId="2" fontId="26" fillId="3" borderId="3" xfId="0" applyNumberFormat="1" applyFont="1" applyFill="1" applyBorder="1" applyAlignment="1" applyProtection="1">
      <alignment horizontal="center"/>
      <protection locked="0"/>
    </xf>
    <xf numFmtId="2" fontId="26" fillId="3" borderId="4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0" fontId="26" fillId="3" borderId="5" xfId="0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27" fillId="2" borderId="7" xfId="0" applyFont="1" applyFill="1" applyBorder="1"/>
    <xf numFmtId="0" fontId="27" fillId="2" borderId="0" xfId="0" applyFont="1" applyFill="1" applyAlignment="1" applyProtection="1">
      <alignment horizontal="left"/>
      <protection locked="0"/>
    </xf>
    <xf numFmtId="0" fontId="7" fillId="3" borderId="3" xfId="0" applyFont="1" applyFill="1" applyBorder="1" applyAlignment="1" applyProtection="1">
      <alignment horizontal="center"/>
      <protection locked="0"/>
    </xf>
  </cellXfs>
  <cellStyles count="5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40" xfId="39"/>
    <cellStyle name="Normal 41" xfId="40"/>
    <cellStyle name="Normal 42" xfId="41"/>
    <cellStyle name="Normal 43" xfId="42"/>
    <cellStyle name="Normal 44" xfId="43"/>
    <cellStyle name="Normal 45" xfId="44"/>
    <cellStyle name="Normal 46" xfId="45"/>
    <cellStyle name="Normal 47" xfId="46"/>
    <cellStyle name="Normal 48" xfId="47"/>
    <cellStyle name="Normal 49" xfId="48"/>
    <cellStyle name="Normal 5" xfId="4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6" xfId="55"/>
    <cellStyle name="Normal 57" xfId="56"/>
    <cellStyle name="Normal 58" xfId="57"/>
    <cellStyle name="Normal 6" xfId="5"/>
    <cellStyle name="Normal 7" xfId="6"/>
    <cellStyle name="Normal 8" xfId="7"/>
    <cellStyle name="Normal 9" xfId="8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19" zoomScale="60" zoomScaleNormal="100" workbookViewId="0">
      <selection activeCell="B23" sqref="B23:F3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18" t="s">
        <v>0</v>
      </c>
      <c r="B15" s="518"/>
      <c r="C15" s="518"/>
      <c r="D15" s="518"/>
      <c r="E15" s="51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132</v>
      </c>
      <c r="C18" s="10"/>
      <c r="D18" s="10"/>
      <c r="E18" s="10"/>
    </row>
    <row r="19" spans="1:6" ht="16.5" customHeight="1" x14ac:dyDescent="0.3">
      <c r="A19" s="11" t="s">
        <v>6</v>
      </c>
      <c r="B19" s="441">
        <v>99.58</v>
      </c>
      <c r="C19" s="10"/>
      <c r="D19" s="10"/>
      <c r="E19" s="10"/>
    </row>
    <row r="20" spans="1:6" ht="16.5" customHeight="1" x14ac:dyDescent="0.3">
      <c r="A20" s="7" t="s">
        <v>8</v>
      </c>
      <c r="B20" s="441">
        <v>19.18</v>
      </c>
      <c r="C20" s="10"/>
      <c r="D20" s="10"/>
      <c r="E20" s="10"/>
    </row>
    <row r="21" spans="1:6" ht="16.5" customHeight="1" x14ac:dyDescent="0.3">
      <c r="A21" s="7" t="s">
        <v>10</v>
      </c>
      <c r="B21" s="442">
        <f>B20/50*10/20</f>
        <v>0.1918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3" t="s">
        <v>13</v>
      </c>
      <c r="B23" s="14" t="s">
        <v>14</v>
      </c>
      <c r="C23" s="15" t="s">
        <v>15</v>
      </c>
      <c r="D23" s="15" t="s">
        <v>16</v>
      </c>
      <c r="E23" s="15" t="s">
        <v>17</v>
      </c>
      <c r="F23" s="15" t="s">
        <v>133</v>
      </c>
    </row>
    <row r="24" spans="1:6" ht="16.5" customHeight="1" x14ac:dyDescent="0.3">
      <c r="A24" s="16">
        <v>1</v>
      </c>
      <c r="B24" s="581">
        <v>138573988</v>
      </c>
      <c r="C24" s="581">
        <v>6586.64</v>
      </c>
      <c r="D24" s="575">
        <v>0.94</v>
      </c>
      <c r="E24" s="574">
        <v>7.84</v>
      </c>
      <c r="F24" s="574">
        <v>12.83</v>
      </c>
    </row>
    <row r="25" spans="1:6" ht="16.5" customHeight="1" x14ac:dyDescent="0.3">
      <c r="A25" s="16">
        <v>2</v>
      </c>
      <c r="B25" s="581">
        <v>139402114</v>
      </c>
      <c r="C25" s="581">
        <v>6508.67</v>
      </c>
      <c r="D25" s="575">
        <v>0.94</v>
      </c>
      <c r="E25" s="575">
        <v>7.85</v>
      </c>
      <c r="F25" s="575">
        <v>12.8</v>
      </c>
    </row>
    <row r="26" spans="1:6" ht="16.5" customHeight="1" x14ac:dyDescent="0.3">
      <c r="A26" s="16">
        <v>3</v>
      </c>
      <c r="B26" s="581">
        <v>140311669</v>
      </c>
      <c r="C26" s="581">
        <v>6540.07</v>
      </c>
      <c r="D26" s="575">
        <v>0.92</v>
      </c>
      <c r="E26" s="575">
        <v>7.86</v>
      </c>
      <c r="F26" s="575">
        <v>12.87</v>
      </c>
    </row>
    <row r="27" spans="1:6" ht="16.5" customHeight="1" x14ac:dyDescent="0.3">
      <c r="A27" s="16">
        <v>4</v>
      </c>
      <c r="B27" s="581">
        <v>140558425</v>
      </c>
      <c r="C27" s="581">
        <v>6546.84</v>
      </c>
      <c r="D27" s="575">
        <v>0.92</v>
      </c>
      <c r="E27" s="575">
        <v>7.86</v>
      </c>
      <c r="F27" s="575">
        <v>12.88</v>
      </c>
    </row>
    <row r="28" spans="1:6" ht="16.5" customHeight="1" x14ac:dyDescent="0.3">
      <c r="A28" s="16">
        <v>5</v>
      </c>
      <c r="B28" s="581">
        <v>140990913</v>
      </c>
      <c r="C28" s="581">
        <v>6492.94</v>
      </c>
      <c r="D28" s="575">
        <v>0.93</v>
      </c>
      <c r="E28" s="575">
        <v>7.86</v>
      </c>
      <c r="F28" s="575">
        <v>12.85</v>
      </c>
    </row>
    <row r="29" spans="1:6" ht="16.5" customHeight="1" x14ac:dyDescent="0.3">
      <c r="A29" s="16">
        <v>6</v>
      </c>
      <c r="B29" s="577">
        <v>141437411</v>
      </c>
      <c r="C29" s="577">
        <v>6462.47</v>
      </c>
      <c r="D29" s="578">
        <v>0.94</v>
      </c>
      <c r="E29" s="578">
        <v>7.86</v>
      </c>
      <c r="F29" s="578">
        <v>12.83</v>
      </c>
    </row>
    <row r="30" spans="1:6" ht="16.5" customHeight="1" x14ac:dyDescent="0.3">
      <c r="A30" s="17" t="s">
        <v>18</v>
      </c>
      <c r="B30" s="18">
        <f>AVERAGE(B24:B29)</f>
        <v>140212420</v>
      </c>
      <c r="C30" s="19">
        <f>AVERAGE(C24:C29)</f>
        <v>6522.9383333333326</v>
      </c>
      <c r="D30" s="20">
        <f>AVERAGE(D24:D29)</f>
        <v>0.93166666666666664</v>
      </c>
      <c r="E30" s="20">
        <f>AVERAGE(E24:E29)</f>
        <v>7.8550000000000004</v>
      </c>
      <c r="F30" s="20">
        <f>AVERAGE(F24:F29)</f>
        <v>12.843333333333334</v>
      </c>
    </row>
    <row r="31" spans="1:6" ht="16.5" customHeight="1" x14ac:dyDescent="0.3">
      <c r="A31" s="21" t="s">
        <v>19</v>
      </c>
      <c r="B31" s="22">
        <f>(STDEV(B24:B29)/B30)</f>
        <v>7.5325099120415132E-3</v>
      </c>
      <c r="C31" s="23"/>
      <c r="D31" s="23"/>
      <c r="E31" s="24"/>
      <c r="F31" s="24"/>
    </row>
    <row r="32" spans="1:6" s="2" customFormat="1" ht="16.5" customHeight="1" x14ac:dyDescent="0.3">
      <c r="A32" s="25" t="s">
        <v>20</v>
      </c>
      <c r="B32" s="26">
        <f>COUNT(B24:B29)</f>
        <v>6</v>
      </c>
      <c r="C32" s="27"/>
      <c r="D32" s="62"/>
      <c r="E32" s="28"/>
      <c r="F32" s="28"/>
    </row>
    <row r="33" spans="1:6" s="2" customFormat="1" ht="15.75" customHeight="1" x14ac:dyDescent="0.25">
      <c r="A33" s="10"/>
      <c r="B33" s="61"/>
      <c r="C33" s="61"/>
      <c r="D33" s="61"/>
      <c r="E33" s="61"/>
      <c r="F33" s="435"/>
    </row>
    <row r="34" spans="1:6" s="2" customFormat="1" ht="16.5" customHeight="1" x14ac:dyDescent="0.3">
      <c r="A34" s="11" t="s">
        <v>21</v>
      </c>
      <c r="B34" s="30" t="s">
        <v>22</v>
      </c>
      <c r="C34" s="29"/>
      <c r="D34" s="29"/>
      <c r="E34" s="29"/>
      <c r="F34" s="435"/>
    </row>
    <row r="35" spans="1:6" ht="16.5" customHeight="1" x14ac:dyDescent="0.3">
      <c r="A35" s="11"/>
      <c r="B35" s="30" t="s">
        <v>23</v>
      </c>
      <c r="C35" s="29"/>
      <c r="D35" s="29"/>
      <c r="E35" s="29"/>
      <c r="F35" s="435"/>
    </row>
    <row r="36" spans="1:6" ht="16.5" customHeight="1" x14ac:dyDescent="0.3">
      <c r="A36" s="11"/>
      <c r="B36" s="30" t="s">
        <v>24</v>
      </c>
      <c r="C36" s="29"/>
      <c r="D36" s="29"/>
      <c r="E36" s="29"/>
      <c r="F36" s="435"/>
    </row>
    <row r="37" spans="1:6" ht="15.75" customHeight="1" x14ac:dyDescent="0.3">
      <c r="A37" s="10"/>
      <c r="B37" s="580" t="s">
        <v>134</v>
      </c>
      <c r="C37" s="61"/>
      <c r="D37" s="61"/>
      <c r="E37" s="61"/>
      <c r="F37" s="435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438" t="s">
        <v>125</v>
      </c>
      <c r="C39" s="10"/>
      <c r="D39" s="10"/>
      <c r="E39" s="10"/>
    </row>
    <row r="40" spans="1:6" ht="16.5" customHeight="1" x14ac:dyDescent="0.3">
      <c r="A40" s="11" t="s">
        <v>6</v>
      </c>
      <c r="B40" s="439">
        <v>99.58</v>
      </c>
      <c r="C40" s="10"/>
      <c r="D40" s="10"/>
      <c r="E40" s="10"/>
    </row>
    <row r="41" spans="1:6" ht="16.5" customHeight="1" x14ac:dyDescent="0.3">
      <c r="A41" s="7" t="s">
        <v>8</v>
      </c>
      <c r="B41" s="439">
        <v>48.97</v>
      </c>
      <c r="C41" s="10"/>
      <c r="D41" s="10"/>
      <c r="E41" s="10"/>
    </row>
    <row r="42" spans="1:6" ht="16.5" customHeight="1" x14ac:dyDescent="0.3">
      <c r="A42" s="7" t="s">
        <v>10</v>
      </c>
      <c r="B42" s="440">
        <f>B41/50*10/50</f>
        <v>0.19587999999999997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3" t="s">
        <v>13</v>
      </c>
      <c r="B44" s="14" t="s">
        <v>14</v>
      </c>
      <c r="C44" s="15" t="s">
        <v>15</v>
      </c>
      <c r="D44" s="15" t="s">
        <v>16</v>
      </c>
      <c r="E44" s="15" t="s">
        <v>17</v>
      </c>
      <c r="F44" s="15" t="s">
        <v>133</v>
      </c>
    </row>
    <row r="45" spans="1:6" ht="16.5" customHeight="1" x14ac:dyDescent="0.3">
      <c r="A45" s="16">
        <v>1</v>
      </c>
      <c r="B45" s="571">
        <v>116534485</v>
      </c>
      <c r="C45" s="571">
        <v>11443.32</v>
      </c>
      <c r="D45" s="572">
        <v>0.86</v>
      </c>
      <c r="E45" s="573">
        <v>7.39</v>
      </c>
      <c r="F45" s="574">
        <v>12.44</v>
      </c>
    </row>
    <row r="46" spans="1:6" ht="16.5" customHeight="1" x14ac:dyDescent="0.3">
      <c r="A46" s="16">
        <v>2</v>
      </c>
      <c r="B46" s="571">
        <v>116757073</v>
      </c>
      <c r="C46" s="571">
        <v>11438.35</v>
      </c>
      <c r="D46" s="572">
        <v>0.88</v>
      </c>
      <c r="E46" s="572">
        <v>7.39</v>
      </c>
      <c r="F46" s="575">
        <v>12.39</v>
      </c>
    </row>
    <row r="47" spans="1:6" ht="16.5" customHeight="1" x14ac:dyDescent="0.3">
      <c r="A47" s="16">
        <v>3</v>
      </c>
      <c r="B47" s="571">
        <v>114572089</v>
      </c>
      <c r="C47" s="571">
        <v>11396.59</v>
      </c>
      <c r="D47" s="572">
        <v>0.88</v>
      </c>
      <c r="E47" s="572">
        <v>7.39</v>
      </c>
      <c r="F47" s="575">
        <v>12.39</v>
      </c>
    </row>
    <row r="48" spans="1:6" ht="16.5" customHeight="1" x14ac:dyDescent="0.3">
      <c r="A48" s="16">
        <v>4</v>
      </c>
      <c r="B48" s="571">
        <v>117766233</v>
      </c>
      <c r="C48" s="571">
        <v>11393.39</v>
      </c>
      <c r="D48" s="572">
        <v>0.88</v>
      </c>
      <c r="E48" s="572">
        <v>7.4</v>
      </c>
      <c r="F48" s="575">
        <v>12.4</v>
      </c>
    </row>
    <row r="49" spans="1:7" ht="16.5" customHeight="1" x14ac:dyDescent="0.3">
      <c r="A49" s="16">
        <v>5</v>
      </c>
      <c r="B49" s="576">
        <v>116393464</v>
      </c>
      <c r="C49" s="571">
        <v>11384.78</v>
      </c>
      <c r="D49" s="572">
        <v>0.88</v>
      </c>
      <c r="E49" s="572">
        <v>7.4</v>
      </c>
      <c r="F49" s="575">
        <v>12.42</v>
      </c>
    </row>
    <row r="50" spans="1:7" ht="16.5" customHeight="1" x14ac:dyDescent="0.3">
      <c r="A50" s="16">
        <v>6</v>
      </c>
      <c r="B50" s="577"/>
      <c r="C50" s="577"/>
      <c r="D50" s="578"/>
      <c r="E50" s="578"/>
      <c r="F50" s="578"/>
    </row>
    <row r="51" spans="1:7" ht="16.5" customHeight="1" x14ac:dyDescent="0.3">
      <c r="A51" s="17" t="s">
        <v>18</v>
      </c>
      <c r="B51" s="18">
        <f>AVERAGE(B45:B50)</f>
        <v>116404668.8</v>
      </c>
      <c r="C51" s="19">
        <f>AVERAGE(C45:C50)</f>
        <v>11411.285999999998</v>
      </c>
      <c r="D51" s="20">
        <f>AVERAGE(D45:D50)</f>
        <v>0.876</v>
      </c>
      <c r="E51" s="20">
        <f>AVERAGE(E45:E50)</f>
        <v>7.3940000000000001</v>
      </c>
      <c r="F51" s="20">
        <f>AVERAGE(F45:F50)</f>
        <v>12.407999999999999</v>
      </c>
    </row>
    <row r="52" spans="1:7" ht="16.5" customHeight="1" x14ac:dyDescent="0.3">
      <c r="A52" s="21" t="s">
        <v>19</v>
      </c>
      <c r="B52" s="22">
        <f>(STDEV(B45:B50)/B51)</f>
        <v>9.9383280675562312E-3</v>
      </c>
      <c r="C52" s="23"/>
      <c r="D52" s="23"/>
      <c r="E52" s="24"/>
      <c r="F52" s="24"/>
    </row>
    <row r="53" spans="1:7" s="2" customFormat="1" ht="16.5" customHeight="1" x14ac:dyDescent="0.3">
      <c r="A53" s="25" t="s">
        <v>20</v>
      </c>
      <c r="B53" s="26">
        <f>COUNT(B45:B50)</f>
        <v>5</v>
      </c>
      <c r="C53" s="27"/>
      <c r="D53" s="579"/>
      <c r="E53" s="28"/>
      <c r="F53" s="28"/>
    </row>
    <row r="54" spans="1:7" s="2" customFormat="1" ht="15.75" customHeight="1" x14ac:dyDescent="0.25">
      <c r="A54" s="10"/>
      <c r="B54" s="61"/>
      <c r="C54" s="61"/>
      <c r="D54" s="61"/>
      <c r="E54" s="61"/>
      <c r="F54" s="435"/>
    </row>
    <row r="55" spans="1:7" s="2" customFormat="1" ht="16.5" customHeight="1" x14ac:dyDescent="0.3">
      <c r="A55" s="11" t="s">
        <v>21</v>
      </c>
      <c r="B55" s="30" t="s">
        <v>22</v>
      </c>
      <c r="C55" s="29"/>
      <c r="D55" s="29"/>
      <c r="E55" s="29"/>
      <c r="F55" s="435"/>
    </row>
    <row r="56" spans="1:7" ht="16.5" customHeight="1" x14ac:dyDescent="0.3">
      <c r="A56" s="11"/>
      <c r="B56" s="30" t="s">
        <v>23</v>
      </c>
      <c r="C56" s="29"/>
      <c r="D56" s="29"/>
      <c r="E56" s="29"/>
      <c r="F56" s="435"/>
    </row>
    <row r="57" spans="1:7" ht="16.5" customHeight="1" x14ac:dyDescent="0.3">
      <c r="A57" s="11"/>
      <c r="B57" s="30" t="s">
        <v>24</v>
      </c>
      <c r="C57" s="29"/>
      <c r="D57" s="29"/>
      <c r="E57" s="29"/>
      <c r="F57" s="435"/>
    </row>
    <row r="58" spans="1:7" ht="14.25" customHeight="1" x14ac:dyDescent="0.3">
      <c r="A58" s="31"/>
      <c r="B58" s="580" t="s">
        <v>134</v>
      </c>
      <c r="C58" s="435"/>
      <c r="D58" s="32"/>
      <c r="E58" s="435"/>
      <c r="F58" s="33"/>
      <c r="G58" s="33"/>
    </row>
    <row r="59" spans="1:7" ht="15" customHeight="1" x14ac:dyDescent="0.3">
      <c r="B59" s="519" t="s">
        <v>26</v>
      </c>
      <c r="C59" s="519"/>
      <c r="E59" s="34" t="s">
        <v>27</v>
      </c>
      <c r="F59" s="35"/>
      <c r="G59" s="34" t="s">
        <v>28</v>
      </c>
    </row>
    <row r="60" spans="1:7" ht="15" customHeight="1" x14ac:dyDescent="0.3">
      <c r="A60" s="36" t="s">
        <v>29</v>
      </c>
      <c r="B60" s="37"/>
      <c r="C60" s="37"/>
      <c r="E60" s="37"/>
      <c r="F60" s="2"/>
      <c r="G60" s="38"/>
    </row>
    <row r="61" spans="1:7" ht="15" customHeight="1" x14ac:dyDescent="0.3">
      <c r="A61" s="36" t="s">
        <v>30</v>
      </c>
      <c r="B61" s="39"/>
      <c r="C61" s="39"/>
      <c r="E61" s="39"/>
      <c r="F61" s="2"/>
      <c r="G61" s="4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9" zoomScale="60" zoomScaleNormal="100" workbookViewId="0">
      <selection activeCell="C54" sqref="C54"/>
    </sheetView>
  </sheetViews>
  <sheetFormatPr defaultRowHeight="13.5" x14ac:dyDescent="0.25"/>
  <cols>
    <col min="1" max="1" width="27.5703125" style="435" customWidth="1"/>
    <col min="2" max="2" width="20.42578125" style="435" customWidth="1"/>
    <col min="3" max="3" width="31.85546875" style="435" customWidth="1"/>
    <col min="4" max="4" width="25.85546875" style="435" customWidth="1"/>
    <col min="5" max="5" width="25.7109375" style="435" customWidth="1"/>
    <col min="6" max="6" width="23.140625" style="435" customWidth="1"/>
    <col min="7" max="7" width="28.42578125" style="435" customWidth="1"/>
    <col min="8" max="8" width="21.5703125" style="435" customWidth="1"/>
    <col min="9" max="9" width="9.140625" style="435" customWidth="1"/>
    <col min="10" max="16384" width="9.140625" style="3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518" t="s">
        <v>0</v>
      </c>
      <c r="B15" s="518"/>
      <c r="C15" s="518"/>
      <c r="D15" s="518"/>
      <c r="E15" s="518"/>
    </row>
    <row r="16" spans="1:6" ht="16.5" customHeight="1" x14ac:dyDescent="0.3">
      <c r="A16" s="79" t="s">
        <v>1</v>
      </c>
      <c r="B16" s="48" t="s">
        <v>2</v>
      </c>
    </row>
    <row r="17" spans="1:5" ht="16.5" customHeight="1" x14ac:dyDescent="0.3">
      <c r="A17" s="8" t="s">
        <v>3</v>
      </c>
      <c r="B17" s="444" t="s">
        <v>126</v>
      </c>
      <c r="C17" s="443"/>
      <c r="D17" s="9"/>
      <c r="E17" s="61"/>
    </row>
    <row r="18" spans="1:5" ht="16.5" customHeight="1" x14ac:dyDescent="0.3">
      <c r="A18" s="64" t="s">
        <v>4</v>
      </c>
      <c r="B18" s="448" t="s">
        <v>127</v>
      </c>
      <c r="C18" s="445"/>
      <c r="D18" s="61"/>
      <c r="E18" s="61"/>
    </row>
    <row r="19" spans="1:5" ht="16.5" customHeight="1" x14ac:dyDescent="0.3">
      <c r="A19" s="64" t="s">
        <v>6</v>
      </c>
      <c r="B19" s="446">
        <v>99.66</v>
      </c>
      <c r="C19" s="445"/>
      <c r="D19" s="61"/>
      <c r="E19" s="61"/>
    </row>
    <row r="20" spans="1:5" ht="16.5" customHeight="1" x14ac:dyDescent="0.3">
      <c r="A20" s="8" t="s">
        <v>8</v>
      </c>
      <c r="B20" s="446">
        <v>17.559999999999999</v>
      </c>
      <c r="C20" s="445"/>
      <c r="D20" s="61"/>
      <c r="E20" s="61"/>
    </row>
    <row r="21" spans="1:5" ht="16.5" customHeight="1" x14ac:dyDescent="0.3">
      <c r="A21" s="8" t="s">
        <v>10</v>
      </c>
      <c r="B21" s="447">
        <f>B20/50*2/20</f>
        <v>3.5119999999999998E-2</v>
      </c>
      <c r="C21" s="445"/>
      <c r="D21" s="61"/>
      <c r="E21" s="61"/>
    </row>
    <row r="22" spans="1:5" ht="15.75" customHeight="1" x14ac:dyDescent="0.25">
      <c r="A22" s="61"/>
      <c r="B22" s="61"/>
      <c r="C22" s="61"/>
      <c r="D22" s="61"/>
      <c r="E22" s="61"/>
    </row>
    <row r="23" spans="1:5" ht="16.5" customHeight="1" x14ac:dyDescent="0.3">
      <c r="A23" s="15" t="s">
        <v>13</v>
      </c>
      <c r="B23" s="14" t="s">
        <v>14</v>
      </c>
      <c r="C23" s="15" t="s">
        <v>15</v>
      </c>
      <c r="D23" s="15" t="s">
        <v>16</v>
      </c>
      <c r="E23" s="15" t="s">
        <v>17</v>
      </c>
    </row>
    <row r="24" spans="1:5" ht="16.5" customHeight="1" x14ac:dyDescent="0.3">
      <c r="A24" s="16">
        <v>1</v>
      </c>
      <c r="B24" s="449">
        <v>10406950</v>
      </c>
      <c r="C24" s="449">
        <v>5506.17</v>
      </c>
      <c r="D24" s="450">
        <v>1.29</v>
      </c>
      <c r="E24" s="451">
        <v>3.98</v>
      </c>
    </row>
    <row r="25" spans="1:5" ht="16.5" customHeight="1" x14ac:dyDescent="0.3">
      <c r="A25" s="16">
        <v>2</v>
      </c>
      <c r="B25" s="449">
        <v>10455288</v>
      </c>
      <c r="C25" s="449">
        <v>5504.57</v>
      </c>
      <c r="D25" s="450">
        <v>1.27</v>
      </c>
      <c r="E25" s="450">
        <v>3.98</v>
      </c>
    </row>
    <row r="26" spans="1:5" ht="16.5" customHeight="1" x14ac:dyDescent="0.3">
      <c r="A26" s="16">
        <v>3</v>
      </c>
      <c r="B26" s="449">
        <v>10516572</v>
      </c>
      <c r="C26" s="449">
        <v>5571.27</v>
      </c>
      <c r="D26" s="450">
        <v>1.29</v>
      </c>
      <c r="E26" s="450">
        <v>3.98</v>
      </c>
    </row>
    <row r="27" spans="1:5" ht="16.5" customHeight="1" x14ac:dyDescent="0.3">
      <c r="A27" s="16">
        <v>4</v>
      </c>
      <c r="B27" s="449">
        <v>10525627</v>
      </c>
      <c r="C27" s="449">
        <v>5593.13</v>
      </c>
      <c r="D27" s="450">
        <v>1.26</v>
      </c>
      <c r="E27" s="450">
        <v>3.98</v>
      </c>
    </row>
    <row r="28" spans="1:5" ht="16.5" customHeight="1" x14ac:dyDescent="0.3">
      <c r="A28" s="16">
        <v>5</v>
      </c>
      <c r="B28" s="449">
        <v>10558139</v>
      </c>
      <c r="C28" s="449">
        <v>5578.94</v>
      </c>
      <c r="D28" s="450">
        <v>1.26</v>
      </c>
      <c r="E28" s="450">
        <v>3.98</v>
      </c>
    </row>
    <row r="29" spans="1:5" ht="16.5" customHeight="1" x14ac:dyDescent="0.3">
      <c r="A29" s="16">
        <v>6</v>
      </c>
      <c r="B29" s="452">
        <v>10575534</v>
      </c>
      <c r="C29" s="452">
        <v>5552.26</v>
      </c>
      <c r="D29" s="453">
        <v>1.26</v>
      </c>
      <c r="E29" s="453">
        <v>3.98</v>
      </c>
    </row>
    <row r="30" spans="1:5" ht="16.5" customHeight="1" x14ac:dyDescent="0.3">
      <c r="A30" s="17" t="s">
        <v>18</v>
      </c>
      <c r="B30" s="18">
        <f>AVERAGE(B24:B29)</f>
        <v>10506351.666666666</v>
      </c>
      <c r="C30" s="19">
        <f>AVERAGE(C24:C29)</f>
        <v>5551.0566666666673</v>
      </c>
      <c r="D30" s="20">
        <f>AVERAGE(D24:D29)</f>
        <v>1.2716666666666667</v>
      </c>
      <c r="E30" s="20">
        <f>AVERAGE(E24:E29)</f>
        <v>3.98</v>
      </c>
    </row>
    <row r="31" spans="1:5" ht="16.5" customHeight="1" x14ac:dyDescent="0.3">
      <c r="A31" s="21" t="s">
        <v>19</v>
      </c>
      <c r="B31" s="22">
        <f>(STDEV(B24:B29)/B30)</f>
        <v>6.0844560562736049E-3</v>
      </c>
      <c r="C31" s="23"/>
      <c r="D31" s="23"/>
      <c r="E31" s="24"/>
    </row>
    <row r="32" spans="1:5" s="435" customFormat="1" ht="16.5" customHeight="1" x14ac:dyDescent="0.3">
      <c r="A32" s="25" t="s">
        <v>20</v>
      </c>
      <c r="B32" s="26">
        <f>COUNT(B24:B29)</f>
        <v>6</v>
      </c>
      <c r="C32" s="27"/>
      <c r="D32" s="62"/>
      <c r="E32" s="28"/>
    </row>
    <row r="33" spans="1:5" s="435" customFormat="1" ht="15.75" customHeight="1" x14ac:dyDescent="0.25">
      <c r="A33" s="61"/>
      <c r="B33" s="61"/>
      <c r="C33" s="61"/>
      <c r="D33" s="61"/>
      <c r="E33" s="61"/>
    </row>
    <row r="34" spans="1:5" s="435" customFormat="1" ht="16.5" customHeight="1" x14ac:dyDescent="0.3">
      <c r="A34" s="64" t="s">
        <v>21</v>
      </c>
      <c r="B34" s="30" t="s">
        <v>22</v>
      </c>
      <c r="C34" s="29"/>
      <c r="D34" s="29"/>
      <c r="E34" s="29"/>
    </row>
    <row r="35" spans="1:5" ht="16.5" customHeight="1" x14ac:dyDescent="0.3">
      <c r="A35" s="64"/>
      <c r="B35" s="30" t="s">
        <v>23</v>
      </c>
      <c r="C35" s="29"/>
      <c r="D35" s="29"/>
      <c r="E35" s="29"/>
    </row>
    <row r="36" spans="1:5" ht="16.5" customHeight="1" x14ac:dyDescent="0.3">
      <c r="A36" s="64"/>
      <c r="B36" s="30" t="s">
        <v>24</v>
      </c>
      <c r="C36" s="29"/>
      <c r="D36" s="29"/>
      <c r="E36" s="29"/>
    </row>
    <row r="37" spans="1:5" ht="15.75" customHeight="1" x14ac:dyDescent="0.25">
      <c r="A37" s="61"/>
      <c r="B37" s="61"/>
      <c r="C37" s="61"/>
      <c r="D37" s="61"/>
      <c r="E37" s="61"/>
    </row>
    <row r="38" spans="1:5" ht="16.5" customHeight="1" x14ac:dyDescent="0.3">
      <c r="A38" s="79" t="s">
        <v>1</v>
      </c>
      <c r="B38" s="48" t="s">
        <v>25</v>
      </c>
    </row>
    <row r="39" spans="1:5" ht="16.5" customHeight="1" x14ac:dyDescent="0.3">
      <c r="A39" s="64" t="s">
        <v>4</v>
      </c>
      <c r="B39" s="454" t="s">
        <v>127</v>
      </c>
      <c r="C39" s="61"/>
      <c r="D39" s="61"/>
      <c r="E39" s="61"/>
    </row>
    <row r="40" spans="1:5" ht="16.5" customHeight="1" x14ac:dyDescent="0.3">
      <c r="A40" s="64" t="s">
        <v>6</v>
      </c>
      <c r="B40" s="455">
        <v>99.66</v>
      </c>
      <c r="C40" s="61"/>
      <c r="D40" s="61"/>
      <c r="E40" s="61"/>
    </row>
    <row r="41" spans="1:5" ht="16.5" customHeight="1" x14ac:dyDescent="0.3">
      <c r="A41" s="8" t="s">
        <v>8</v>
      </c>
      <c r="B41" s="455">
        <v>22.49</v>
      </c>
      <c r="C41" s="61"/>
      <c r="D41" s="61"/>
      <c r="E41" s="61"/>
    </row>
    <row r="42" spans="1:5" ht="16.5" customHeight="1" x14ac:dyDescent="0.3">
      <c r="A42" s="8" t="s">
        <v>10</v>
      </c>
      <c r="B42" s="456">
        <f>B41/50*4/50</f>
        <v>3.5983999999999995E-2</v>
      </c>
      <c r="C42" s="61"/>
      <c r="D42" s="61"/>
      <c r="E42" s="61"/>
    </row>
    <row r="43" spans="1:5" ht="15.75" customHeight="1" x14ac:dyDescent="0.25">
      <c r="A43" s="61"/>
      <c r="B43" s="61"/>
      <c r="C43" s="61"/>
      <c r="D43" s="61"/>
      <c r="E43" s="61"/>
    </row>
    <row r="44" spans="1:5" ht="16.5" customHeight="1" x14ac:dyDescent="0.3">
      <c r="A44" s="15" t="s">
        <v>13</v>
      </c>
      <c r="B44" s="14" t="s">
        <v>14</v>
      </c>
      <c r="C44" s="15" t="s">
        <v>15</v>
      </c>
      <c r="D44" s="15" t="s">
        <v>16</v>
      </c>
      <c r="E44" s="15" t="s">
        <v>17</v>
      </c>
    </row>
    <row r="45" spans="1:5" ht="16.5" customHeight="1" x14ac:dyDescent="0.3">
      <c r="A45" s="16">
        <v>1</v>
      </c>
      <c r="B45" s="457">
        <v>7806060</v>
      </c>
      <c r="C45" s="458">
        <v>6816.43</v>
      </c>
      <c r="D45" s="458">
        <v>1.37</v>
      </c>
      <c r="E45" s="459">
        <v>4.3600000000000003</v>
      </c>
    </row>
    <row r="46" spans="1:5" ht="16.5" customHeight="1" x14ac:dyDescent="0.3">
      <c r="A46" s="16">
        <v>2</v>
      </c>
      <c r="B46" s="457">
        <v>7816493</v>
      </c>
      <c r="C46" s="458">
        <v>6746.02</v>
      </c>
      <c r="D46" s="458">
        <v>1.34</v>
      </c>
      <c r="E46" s="458">
        <v>4.3600000000000003</v>
      </c>
    </row>
    <row r="47" spans="1:5" ht="16.5" customHeight="1" x14ac:dyDescent="0.3">
      <c r="A47" s="16">
        <v>3</v>
      </c>
      <c r="B47" s="457">
        <v>7670809</v>
      </c>
      <c r="C47" s="458">
        <v>6784.5</v>
      </c>
      <c r="D47" s="458">
        <v>1.35</v>
      </c>
      <c r="E47" s="458">
        <v>4.3600000000000003</v>
      </c>
    </row>
    <row r="48" spans="1:5" ht="16.5" customHeight="1" x14ac:dyDescent="0.3">
      <c r="A48" s="16">
        <v>4</v>
      </c>
      <c r="B48" s="457">
        <v>7805743</v>
      </c>
      <c r="C48" s="458">
        <v>6782.79</v>
      </c>
      <c r="D48" s="458">
        <v>1.34</v>
      </c>
      <c r="E48" s="458">
        <v>4.3600000000000003</v>
      </c>
    </row>
    <row r="49" spans="1:7" ht="16.5" customHeight="1" x14ac:dyDescent="0.3">
      <c r="A49" s="16">
        <v>5</v>
      </c>
      <c r="B49" s="460">
        <v>7803248</v>
      </c>
      <c r="C49" s="458">
        <v>6830.18</v>
      </c>
      <c r="D49" s="458">
        <v>1.36</v>
      </c>
      <c r="E49" s="458">
        <v>4.3600000000000003</v>
      </c>
    </row>
    <row r="50" spans="1:7" ht="16.5" customHeight="1" x14ac:dyDescent="0.3">
      <c r="A50" s="16">
        <v>6</v>
      </c>
      <c r="B50" s="436"/>
      <c r="C50" s="436"/>
      <c r="D50" s="437"/>
      <c r="E50" s="437"/>
    </row>
    <row r="51" spans="1:7" ht="16.5" customHeight="1" x14ac:dyDescent="0.3">
      <c r="A51" s="17" t="s">
        <v>18</v>
      </c>
      <c r="B51" s="18">
        <f>AVERAGE(B45:B50)</f>
        <v>7780470.5999999996</v>
      </c>
      <c r="C51" s="19">
        <f>AVERAGE(C45:C50)</f>
        <v>6791.9839999999995</v>
      </c>
      <c r="D51" s="20">
        <f>AVERAGE(D45:D50)</f>
        <v>1.3520000000000001</v>
      </c>
      <c r="E51" s="20">
        <f>AVERAGE(E45:E50)</f>
        <v>4.3600000000000003</v>
      </c>
    </row>
    <row r="52" spans="1:7" ht="16.5" customHeight="1" x14ac:dyDescent="0.3">
      <c r="A52" s="21" t="s">
        <v>19</v>
      </c>
      <c r="B52" s="22">
        <f>(STDEV(B45:B50)/B51)</f>
        <v>7.9061305028902736E-3</v>
      </c>
      <c r="C52" s="23"/>
      <c r="D52" s="23"/>
      <c r="E52" s="24"/>
    </row>
    <row r="53" spans="1:7" s="435" customFormat="1" ht="16.5" customHeight="1" x14ac:dyDescent="0.3">
      <c r="A53" s="25" t="s">
        <v>20</v>
      </c>
      <c r="B53" s="26">
        <f>COUNT(B45:B50)</f>
        <v>5</v>
      </c>
      <c r="C53" s="27"/>
      <c r="D53" s="62"/>
      <c r="E53" s="28"/>
    </row>
    <row r="54" spans="1:7" s="435" customFormat="1" ht="15.75" customHeight="1" x14ac:dyDescent="0.25">
      <c r="A54" s="61"/>
      <c r="B54" s="61"/>
      <c r="C54" s="61"/>
      <c r="D54" s="61"/>
      <c r="E54" s="61"/>
    </row>
    <row r="55" spans="1:7" s="435" customFormat="1" ht="16.5" customHeight="1" x14ac:dyDescent="0.3">
      <c r="A55" s="64" t="s">
        <v>21</v>
      </c>
      <c r="B55" s="30" t="s">
        <v>22</v>
      </c>
      <c r="C55" s="29"/>
      <c r="D55" s="29"/>
      <c r="E55" s="29"/>
    </row>
    <row r="56" spans="1:7" ht="16.5" customHeight="1" x14ac:dyDescent="0.3">
      <c r="A56" s="64"/>
      <c r="B56" s="30" t="s">
        <v>23</v>
      </c>
      <c r="C56" s="29"/>
      <c r="D56" s="29"/>
      <c r="E56" s="29"/>
    </row>
    <row r="57" spans="1:7" ht="16.5" customHeight="1" x14ac:dyDescent="0.3">
      <c r="A57" s="64"/>
      <c r="B57" s="30" t="s">
        <v>24</v>
      </c>
      <c r="C57" s="29"/>
      <c r="D57" s="29"/>
      <c r="E57" s="29"/>
    </row>
    <row r="58" spans="1:7" ht="14.25" customHeight="1" thickBot="1" x14ac:dyDescent="0.3">
      <c r="A58" s="31"/>
      <c r="B58" s="434"/>
      <c r="D58" s="32"/>
      <c r="F58" s="33"/>
      <c r="G58" s="33"/>
    </row>
    <row r="59" spans="1:7" ht="15" customHeight="1" x14ac:dyDescent="0.3">
      <c r="B59" s="519" t="s">
        <v>26</v>
      </c>
      <c r="C59" s="519"/>
      <c r="E59" s="34" t="s">
        <v>27</v>
      </c>
      <c r="F59" s="35"/>
      <c r="G59" s="34" t="s">
        <v>28</v>
      </c>
    </row>
    <row r="60" spans="1:7" ht="15" customHeight="1" x14ac:dyDescent="0.3">
      <c r="A60" s="36" t="s">
        <v>29</v>
      </c>
      <c r="B60" s="38"/>
      <c r="C60" s="38"/>
      <c r="E60" s="38"/>
      <c r="G60" s="38"/>
    </row>
    <row r="61" spans="1:7" ht="15" customHeight="1" x14ac:dyDescent="0.3">
      <c r="A61" s="36" t="s">
        <v>30</v>
      </c>
      <c r="B61" s="39"/>
      <c r="C61" s="39"/>
      <c r="E61" s="39"/>
      <c r="G61" s="4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E37" sqref="E3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23" t="s">
        <v>31</v>
      </c>
      <c r="B11" s="524"/>
      <c r="C11" s="524"/>
      <c r="D11" s="524"/>
      <c r="E11" s="524"/>
      <c r="F11" s="525"/>
      <c r="G11" s="80"/>
    </row>
    <row r="12" spans="1:7" ht="16.5" customHeight="1" x14ac:dyDescent="0.3">
      <c r="A12" s="522" t="s">
        <v>32</v>
      </c>
      <c r="B12" s="522"/>
      <c r="C12" s="522"/>
      <c r="D12" s="522"/>
      <c r="E12" s="522"/>
      <c r="F12" s="522"/>
      <c r="G12" s="79"/>
    </row>
    <row r="14" spans="1:7" ht="16.5" customHeight="1" x14ac:dyDescent="0.3">
      <c r="A14" s="527" t="s">
        <v>33</v>
      </c>
      <c r="B14" s="527"/>
      <c r="C14" s="49" t="s">
        <v>5</v>
      </c>
    </row>
    <row r="15" spans="1:7" ht="16.5" customHeight="1" x14ac:dyDescent="0.3">
      <c r="A15" s="527" t="s">
        <v>34</v>
      </c>
      <c r="B15" s="527"/>
      <c r="C15" s="49" t="s">
        <v>7</v>
      </c>
    </row>
    <row r="16" spans="1:7" ht="16.5" customHeight="1" x14ac:dyDescent="0.3">
      <c r="A16" s="527" t="s">
        <v>35</v>
      </c>
      <c r="B16" s="527"/>
      <c r="C16" s="49" t="s">
        <v>9</v>
      </c>
    </row>
    <row r="17" spans="1:5" ht="16.5" customHeight="1" x14ac:dyDescent="0.3">
      <c r="A17" s="527" t="s">
        <v>36</v>
      </c>
      <c r="B17" s="527"/>
      <c r="C17" s="49" t="s">
        <v>11</v>
      </c>
    </row>
    <row r="18" spans="1:5" ht="16.5" customHeight="1" x14ac:dyDescent="0.3">
      <c r="A18" s="527" t="s">
        <v>37</v>
      </c>
      <c r="B18" s="527"/>
      <c r="C18" s="86" t="s">
        <v>12</v>
      </c>
    </row>
    <row r="19" spans="1:5" ht="16.5" customHeight="1" x14ac:dyDescent="0.3">
      <c r="A19" s="527" t="s">
        <v>38</v>
      </c>
      <c r="B19" s="527"/>
      <c r="C19" s="86" t="e">
        <f>#REF!</f>
        <v>#REF!</v>
      </c>
    </row>
    <row r="20" spans="1:5" ht="16.5" customHeight="1" x14ac:dyDescent="0.3">
      <c r="A20" s="51"/>
      <c r="B20" s="51"/>
      <c r="C20" s="66"/>
    </row>
    <row r="21" spans="1:5" ht="16.5" customHeight="1" x14ac:dyDescent="0.3">
      <c r="A21" s="522" t="s">
        <v>1</v>
      </c>
      <c r="B21" s="522"/>
      <c r="C21" s="48" t="s">
        <v>39</v>
      </c>
      <c r="D21" s="55"/>
    </row>
    <row r="22" spans="1:5" ht="15.75" customHeight="1" x14ac:dyDescent="0.3">
      <c r="A22" s="526"/>
      <c r="B22" s="526"/>
      <c r="C22" s="46"/>
      <c r="D22" s="526"/>
      <c r="E22" s="526"/>
    </row>
    <row r="23" spans="1:5" ht="33.75" customHeight="1" x14ac:dyDescent="0.3">
      <c r="C23" s="75" t="s">
        <v>40</v>
      </c>
      <c r="D23" s="74" t="s">
        <v>41</v>
      </c>
      <c r="E23" s="41"/>
    </row>
    <row r="24" spans="1:5" ht="15.75" customHeight="1" x14ac:dyDescent="0.3">
      <c r="C24" s="84">
        <v>1033.44</v>
      </c>
      <c r="D24" s="76">
        <f t="shared" ref="D24:D43" si="0">(C24-$C$46)/$C$46</f>
        <v>-1.5419753515819774E-3</v>
      </c>
      <c r="E24" s="42"/>
    </row>
    <row r="25" spans="1:5" ht="15.75" customHeight="1" x14ac:dyDescent="0.3">
      <c r="C25" s="84">
        <v>1049.1600000000001</v>
      </c>
      <c r="D25" s="77">
        <f t="shared" si="0"/>
        <v>1.3645902171518693E-2</v>
      </c>
      <c r="E25" s="42"/>
    </row>
    <row r="26" spans="1:5" ht="15.75" customHeight="1" x14ac:dyDescent="0.3">
      <c r="C26" s="84">
        <v>1042.52</v>
      </c>
      <c r="D26" s="77">
        <f t="shared" si="0"/>
        <v>7.2306663729570014E-3</v>
      </c>
      <c r="E26" s="42"/>
    </row>
    <row r="27" spans="1:5" ht="15.75" customHeight="1" x14ac:dyDescent="0.3">
      <c r="C27" s="84">
        <v>1036.06</v>
      </c>
      <c r="D27" s="77">
        <f t="shared" si="0"/>
        <v>9.8933756893469131E-4</v>
      </c>
      <c r="E27" s="42"/>
    </row>
    <row r="28" spans="1:5" ht="15.75" customHeight="1" x14ac:dyDescent="0.3">
      <c r="C28" s="84">
        <v>1039.47</v>
      </c>
      <c r="D28" s="77">
        <f t="shared" si="0"/>
        <v>4.2839089654852286E-3</v>
      </c>
      <c r="E28" s="42"/>
    </row>
    <row r="29" spans="1:5" ht="15.75" customHeight="1" x14ac:dyDescent="0.3">
      <c r="C29" s="84">
        <v>1043.06</v>
      </c>
      <c r="D29" s="77">
        <f t="shared" si="0"/>
        <v>7.7523873565749279E-3</v>
      </c>
      <c r="E29" s="42"/>
    </row>
    <row r="30" spans="1:5" ht="15.75" customHeight="1" x14ac:dyDescent="0.3">
      <c r="C30" s="84">
        <v>1038.0899999999999</v>
      </c>
      <c r="D30" s="77">
        <f t="shared" si="0"/>
        <v>2.9506220073503334E-3</v>
      </c>
      <c r="E30" s="42"/>
    </row>
    <row r="31" spans="1:5" ht="15.75" customHeight="1" x14ac:dyDescent="0.3">
      <c r="C31" s="84">
        <v>1042.96</v>
      </c>
      <c r="D31" s="77">
        <f t="shared" si="0"/>
        <v>7.6557723596087264E-3</v>
      </c>
      <c r="E31" s="42"/>
    </row>
    <row r="32" spans="1:5" ht="15.75" customHeight="1" x14ac:dyDescent="0.3">
      <c r="C32" s="84">
        <v>1044.48</v>
      </c>
      <c r="D32" s="77">
        <f t="shared" si="0"/>
        <v>9.1243203134963036E-3</v>
      </c>
      <c r="E32" s="42"/>
    </row>
    <row r="33" spans="1:7" ht="15.75" customHeight="1" x14ac:dyDescent="0.3">
      <c r="C33" s="84">
        <v>1034.19</v>
      </c>
      <c r="D33" s="77">
        <f t="shared" si="0"/>
        <v>-8.1736287433480917E-4</v>
      </c>
      <c r="E33" s="42"/>
    </row>
    <row r="34" spans="1:7" ht="15.75" customHeight="1" x14ac:dyDescent="0.3">
      <c r="C34" s="84">
        <v>1036.32</v>
      </c>
      <c r="D34" s="77">
        <f t="shared" si="0"/>
        <v>1.2405365610470341E-3</v>
      </c>
      <c r="E34" s="42"/>
    </row>
    <row r="35" spans="1:7" ht="15.75" customHeight="1" x14ac:dyDescent="0.3">
      <c r="C35" s="84">
        <v>1034.0999999999999</v>
      </c>
      <c r="D35" s="77">
        <f t="shared" si="0"/>
        <v>-9.0431637160460999E-4</v>
      </c>
      <c r="E35" s="42"/>
    </row>
    <row r="36" spans="1:7" ht="15.75" customHeight="1" x14ac:dyDescent="0.3">
      <c r="C36" s="84">
        <v>1033.06</v>
      </c>
      <c r="D36" s="77">
        <f t="shared" si="0"/>
        <v>-1.9091123400539814E-3</v>
      </c>
      <c r="E36" s="42"/>
    </row>
    <row r="37" spans="1:7" ht="15.75" customHeight="1" x14ac:dyDescent="0.3">
      <c r="C37" s="84">
        <v>934.54</v>
      </c>
      <c r="D37" s="77">
        <f t="shared" si="0"/>
        <v>-9.7094207351241982E-2</v>
      </c>
      <c r="E37" s="42"/>
    </row>
    <row r="38" spans="1:7" ht="15.75" customHeight="1" x14ac:dyDescent="0.3">
      <c r="C38" s="84">
        <v>1035.68</v>
      </c>
      <c r="D38" s="77">
        <f t="shared" si="0"/>
        <v>6.2220058046290696E-4</v>
      </c>
      <c r="E38" s="42"/>
    </row>
    <row r="39" spans="1:7" ht="15.75" customHeight="1" x14ac:dyDescent="0.3">
      <c r="C39" s="84">
        <v>1048.3399999999999</v>
      </c>
      <c r="D39" s="77">
        <f t="shared" si="0"/>
        <v>1.2853659196394964E-2</v>
      </c>
      <c r="E39" s="42"/>
    </row>
    <row r="40" spans="1:7" ht="15.75" customHeight="1" x14ac:dyDescent="0.3">
      <c r="C40" s="84">
        <v>1040.81</v>
      </c>
      <c r="D40" s="77">
        <f t="shared" si="0"/>
        <v>5.5785499248334229E-3</v>
      </c>
      <c r="E40" s="42"/>
    </row>
    <row r="41" spans="1:7" ht="15.75" customHeight="1" x14ac:dyDescent="0.3">
      <c r="C41" s="84">
        <v>1037.55</v>
      </c>
      <c r="D41" s="77">
        <f t="shared" si="0"/>
        <v>2.4289010237324073E-3</v>
      </c>
      <c r="E41" s="42"/>
    </row>
    <row r="42" spans="1:7" ht="15.75" customHeight="1" x14ac:dyDescent="0.3">
      <c r="C42" s="84">
        <v>1045.29</v>
      </c>
      <c r="D42" s="77">
        <f t="shared" si="0"/>
        <v>9.9069017889231916E-3</v>
      </c>
      <c r="E42" s="42"/>
    </row>
    <row r="43" spans="1:7" ht="16.5" customHeight="1" x14ac:dyDescent="0.3">
      <c r="C43" s="85">
        <v>1051.5999999999999</v>
      </c>
      <c r="D43" s="78">
        <f t="shared" si="0"/>
        <v>1.6003308097495981E-2</v>
      </c>
      <c r="E43" s="42"/>
    </row>
    <row r="44" spans="1:7" ht="16.5" customHeight="1" x14ac:dyDescent="0.3">
      <c r="C44" s="43"/>
      <c r="D44" s="42"/>
      <c r="E44" s="44"/>
    </row>
    <row r="45" spans="1:7" ht="16.5" customHeight="1" x14ac:dyDescent="0.3">
      <c r="B45" s="71" t="s">
        <v>42</v>
      </c>
      <c r="C45" s="72">
        <f>SUM(C24:C44)</f>
        <v>20700.72</v>
      </c>
      <c r="D45" s="67"/>
      <c r="E45" s="43"/>
    </row>
    <row r="46" spans="1:7" ht="17.25" customHeight="1" x14ac:dyDescent="0.3">
      <c r="B46" s="71" t="s">
        <v>43</v>
      </c>
      <c r="C46" s="73">
        <f>AVERAGE(C24:C44)</f>
        <v>1035.0360000000001</v>
      </c>
      <c r="E46" s="45"/>
    </row>
    <row r="47" spans="1:7" ht="17.25" customHeight="1" x14ac:dyDescent="0.3">
      <c r="A47" s="49"/>
      <c r="B47" s="68"/>
      <c r="D47" s="47"/>
      <c r="E47" s="45"/>
    </row>
    <row r="48" spans="1:7" ht="33.75" customHeight="1" x14ac:dyDescent="0.3">
      <c r="B48" s="81" t="s">
        <v>43</v>
      </c>
      <c r="C48" s="74" t="s">
        <v>44</v>
      </c>
      <c r="D48" s="69"/>
      <c r="G48" s="47"/>
    </row>
    <row r="49" spans="1:6" ht="17.25" customHeight="1" x14ac:dyDescent="0.3">
      <c r="B49" s="520">
        <f>C46</f>
        <v>1035.0360000000001</v>
      </c>
      <c r="C49" s="82">
        <f>-IF(C46&lt;=80,10%,IF(C46&lt;250,7.5%,5%))</f>
        <v>-0.05</v>
      </c>
      <c r="D49" s="70">
        <f>IF(C46&lt;=80,C46*0.9,IF(C46&lt;250,C46*0.925,C46*0.95))</f>
        <v>983.28420000000006</v>
      </c>
    </row>
    <row r="50" spans="1:6" ht="17.25" customHeight="1" x14ac:dyDescent="0.3">
      <c r="B50" s="521"/>
      <c r="C50" s="83">
        <f>IF(C46&lt;=80, 10%, IF(C46&lt;250, 7.5%, 5%))</f>
        <v>0.05</v>
      </c>
      <c r="D50" s="70">
        <f>IF(C46&lt;=80, C46*1.1, IF(C46&lt;250, C46*1.075, C46*1.05))</f>
        <v>1086.7878000000001</v>
      </c>
    </row>
    <row r="51" spans="1:6" ht="16.5" customHeight="1" x14ac:dyDescent="0.3">
      <c r="A51" s="52"/>
      <c r="B51" s="53"/>
      <c r="C51" s="49"/>
      <c r="D51" s="54"/>
      <c r="E51" s="49"/>
      <c r="F51" s="55"/>
    </row>
    <row r="52" spans="1:6" ht="16.5" customHeight="1" x14ac:dyDescent="0.3">
      <c r="A52" s="49"/>
      <c r="B52" s="56" t="s">
        <v>26</v>
      </c>
      <c r="C52" s="56"/>
      <c r="D52" s="57" t="s">
        <v>27</v>
      </c>
      <c r="E52" s="58"/>
      <c r="F52" s="57" t="s">
        <v>28</v>
      </c>
    </row>
    <row r="53" spans="1:6" ht="34.5" customHeight="1" x14ac:dyDescent="0.3">
      <c r="A53" s="59" t="s">
        <v>29</v>
      </c>
      <c r="B53" s="60"/>
      <c r="C53" s="61"/>
      <c r="D53" s="60"/>
      <c r="E53" s="50"/>
      <c r="F53" s="62"/>
    </row>
    <row r="54" spans="1:6" ht="34.5" customHeight="1" x14ac:dyDescent="0.3">
      <c r="A54" s="59" t="s">
        <v>30</v>
      </c>
      <c r="B54" s="63"/>
      <c r="C54" s="64"/>
      <c r="D54" s="63"/>
      <c r="E54" s="50"/>
      <c r="F54" s="65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6" zoomScale="55" zoomScaleNormal="40" zoomScaleSheetLayoutView="55" zoomScalePageLayoutView="55" workbookViewId="0">
      <selection activeCell="K101" sqref="K10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6" t="s">
        <v>45</v>
      </c>
      <c r="B1" s="546"/>
      <c r="C1" s="546"/>
      <c r="D1" s="546"/>
      <c r="E1" s="546"/>
      <c r="F1" s="546"/>
      <c r="G1" s="546"/>
      <c r="H1" s="546"/>
      <c r="I1" s="546"/>
    </row>
    <row r="2" spans="1:9" ht="18.75" customHeight="1" x14ac:dyDescent="0.25">
      <c r="A2" s="546"/>
      <c r="B2" s="546"/>
      <c r="C2" s="546"/>
      <c r="D2" s="546"/>
      <c r="E2" s="546"/>
      <c r="F2" s="546"/>
      <c r="G2" s="546"/>
      <c r="H2" s="546"/>
      <c r="I2" s="546"/>
    </row>
    <row r="3" spans="1:9" ht="18.75" customHeight="1" x14ac:dyDescent="0.25">
      <c r="A3" s="546"/>
      <c r="B3" s="546"/>
      <c r="C3" s="546"/>
      <c r="D3" s="546"/>
      <c r="E3" s="546"/>
      <c r="F3" s="546"/>
      <c r="G3" s="546"/>
      <c r="H3" s="546"/>
      <c r="I3" s="546"/>
    </row>
    <row r="4" spans="1:9" ht="18.75" customHeight="1" x14ac:dyDescent="0.25">
      <c r="A4" s="546"/>
      <c r="B4" s="546"/>
      <c r="C4" s="546"/>
      <c r="D4" s="546"/>
      <c r="E4" s="546"/>
      <c r="F4" s="546"/>
      <c r="G4" s="546"/>
      <c r="H4" s="546"/>
      <c r="I4" s="546"/>
    </row>
    <row r="5" spans="1:9" ht="18.75" customHeight="1" x14ac:dyDescent="0.25">
      <c r="A5" s="546"/>
      <c r="B5" s="546"/>
      <c r="C5" s="546"/>
      <c r="D5" s="546"/>
      <c r="E5" s="546"/>
      <c r="F5" s="546"/>
      <c r="G5" s="546"/>
      <c r="H5" s="546"/>
      <c r="I5" s="546"/>
    </row>
    <row r="6" spans="1:9" ht="18.75" customHeight="1" x14ac:dyDescent="0.25">
      <c r="A6" s="546"/>
      <c r="B6" s="546"/>
      <c r="C6" s="546"/>
      <c r="D6" s="546"/>
      <c r="E6" s="546"/>
      <c r="F6" s="546"/>
      <c r="G6" s="546"/>
      <c r="H6" s="546"/>
      <c r="I6" s="546"/>
    </row>
    <row r="7" spans="1:9" ht="18.75" customHeight="1" x14ac:dyDescent="0.25">
      <c r="A7" s="546"/>
      <c r="B7" s="546"/>
      <c r="C7" s="546"/>
      <c r="D7" s="546"/>
      <c r="E7" s="546"/>
      <c r="F7" s="546"/>
      <c r="G7" s="546"/>
      <c r="H7" s="546"/>
      <c r="I7" s="546"/>
    </row>
    <row r="8" spans="1:9" x14ac:dyDescent="0.25">
      <c r="A8" s="547" t="s">
        <v>46</v>
      </c>
      <c r="B8" s="547"/>
      <c r="C8" s="547"/>
      <c r="D8" s="547"/>
      <c r="E8" s="547"/>
      <c r="F8" s="547"/>
      <c r="G8" s="547"/>
      <c r="H8" s="547"/>
      <c r="I8" s="547"/>
    </row>
    <row r="9" spans="1:9" x14ac:dyDescent="0.25">
      <c r="A9" s="547"/>
      <c r="B9" s="547"/>
      <c r="C9" s="547"/>
      <c r="D9" s="547"/>
      <c r="E9" s="547"/>
      <c r="F9" s="547"/>
      <c r="G9" s="547"/>
      <c r="H9" s="547"/>
      <c r="I9" s="547"/>
    </row>
    <row r="10" spans="1:9" x14ac:dyDescent="0.25">
      <c r="A10" s="547"/>
      <c r="B10" s="547"/>
      <c r="C10" s="547"/>
      <c r="D10" s="547"/>
      <c r="E10" s="547"/>
      <c r="F10" s="547"/>
      <c r="G10" s="547"/>
      <c r="H10" s="547"/>
      <c r="I10" s="547"/>
    </row>
    <row r="11" spans="1:9" x14ac:dyDescent="0.25">
      <c r="A11" s="547"/>
      <c r="B11" s="547"/>
      <c r="C11" s="547"/>
      <c r="D11" s="547"/>
      <c r="E11" s="547"/>
      <c r="F11" s="547"/>
      <c r="G11" s="547"/>
      <c r="H11" s="547"/>
      <c r="I11" s="547"/>
    </row>
    <row r="12" spans="1:9" x14ac:dyDescent="0.25">
      <c r="A12" s="547"/>
      <c r="B12" s="547"/>
      <c r="C12" s="547"/>
      <c r="D12" s="547"/>
      <c r="E12" s="547"/>
      <c r="F12" s="547"/>
      <c r="G12" s="547"/>
      <c r="H12" s="547"/>
      <c r="I12" s="547"/>
    </row>
    <row r="13" spans="1:9" x14ac:dyDescent="0.25">
      <c r="A13" s="547"/>
      <c r="B13" s="547"/>
      <c r="C13" s="547"/>
      <c r="D13" s="547"/>
      <c r="E13" s="547"/>
      <c r="F13" s="547"/>
      <c r="G13" s="547"/>
      <c r="H13" s="547"/>
      <c r="I13" s="547"/>
    </row>
    <row r="14" spans="1:9" x14ac:dyDescent="0.25">
      <c r="A14" s="547"/>
      <c r="B14" s="547"/>
      <c r="C14" s="547"/>
      <c r="D14" s="547"/>
      <c r="E14" s="547"/>
      <c r="F14" s="547"/>
      <c r="G14" s="547"/>
      <c r="H14" s="547"/>
      <c r="I14" s="547"/>
    </row>
    <row r="15" spans="1:9" ht="19.5" customHeight="1" x14ac:dyDescent="0.3">
      <c r="A15" s="87"/>
    </row>
    <row r="16" spans="1:9" ht="19.5" customHeight="1" x14ac:dyDescent="0.3">
      <c r="A16" s="528" t="s">
        <v>31</v>
      </c>
      <c r="B16" s="529"/>
      <c r="C16" s="529"/>
      <c r="D16" s="529"/>
      <c r="E16" s="529"/>
      <c r="F16" s="529"/>
      <c r="G16" s="529"/>
      <c r="H16" s="530"/>
    </row>
    <row r="17" spans="1:14" ht="20.25" customHeight="1" x14ac:dyDescent="0.25">
      <c r="A17" s="531" t="s">
        <v>47</v>
      </c>
      <c r="B17" s="531"/>
      <c r="C17" s="531"/>
      <c r="D17" s="531"/>
      <c r="E17" s="531"/>
      <c r="F17" s="531"/>
      <c r="G17" s="531"/>
      <c r="H17" s="531"/>
    </row>
    <row r="18" spans="1:14" ht="26.25" customHeight="1" x14ac:dyDescent="0.4">
      <c r="A18" s="89" t="s">
        <v>33</v>
      </c>
      <c r="B18" s="532" t="s">
        <v>5</v>
      </c>
      <c r="C18" s="532"/>
      <c r="D18" s="246"/>
      <c r="E18" s="90"/>
      <c r="F18" s="91"/>
      <c r="G18" s="91"/>
      <c r="H18" s="91"/>
    </row>
    <row r="19" spans="1:14" ht="26.25" customHeight="1" x14ac:dyDescent="0.4">
      <c r="A19" s="89" t="s">
        <v>34</v>
      </c>
      <c r="B19" s="92" t="s">
        <v>7</v>
      </c>
      <c r="C19" s="259">
        <v>29</v>
      </c>
      <c r="D19" s="91"/>
      <c r="E19" s="91"/>
      <c r="F19" s="91"/>
      <c r="G19" s="91"/>
      <c r="H19" s="91"/>
    </row>
    <row r="20" spans="1:14" ht="26.25" customHeight="1" x14ac:dyDescent="0.4">
      <c r="A20" s="89" t="s">
        <v>35</v>
      </c>
      <c r="B20" s="533" t="s">
        <v>9</v>
      </c>
      <c r="C20" s="533"/>
      <c r="D20" s="91"/>
      <c r="E20" s="91"/>
      <c r="F20" s="91"/>
      <c r="G20" s="91"/>
      <c r="H20" s="91"/>
    </row>
    <row r="21" spans="1:14" ht="26.25" customHeight="1" x14ac:dyDescent="0.4">
      <c r="A21" s="89" t="s">
        <v>36</v>
      </c>
      <c r="B21" s="533" t="s">
        <v>11</v>
      </c>
      <c r="C21" s="533"/>
      <c r="D21" s="533"/>
      <c r="E21" s="533"/>
      <c r="F21" s="533"/>
      <c r="G21" s="533"/>
      <c r="H21" s="533"/>
      <c r="I21" s="93"/>
    </row>
    <row r="22" spans="1:14" ht="26.25" customHeight="1" x14ac:dyDescent="0.4">
      <c r="A22" s="89" t="s">
        <v>37</v>
      </c>
      <c r="B22" s="489" t="s">
        <v>129</v>
      </c>
      <c r="C22" s="91"/>
      <c r="D22" s="91"/>
      <c r="E22" s="91"/>
      <c r="F22" s="91"/>
      <c r="G22" s="91"/>
      <c r="H22" s="91"/>
    </row>
    <row r="23" spans="1:14" ht="26.25" customHeight="1" x14ac:dyDescent="0.4">
      <c r="A23" s="89" t="s">
        <v>38</v>
      </c>
      <c r="B23" s="489" t="s">
        <v>130</v>
      </c>
      <c r="C23" s="91"/>
      <c r="D23" s="91"/>
      <c r="E23" s="91"/>
      <c r="F23" s="91"/>
      <c r="G23" s="91"/>
      <c r="H23" s="91"/>
    </row>
    <row r="24" spans="1:14" ht="18.75" x14ac:dyDescent="0.3">
      <c r="A24" s="89"/>
      <c r="B24" s="94"/>
    </row>
    <row r="25" spans="1:14" ht="18.75" x14ac:dyDescent="0.3">
      <c r="A25" s="95" t="s">
        <v>1</v>
      </c>
      <c r="B25" s="94"/>
    </row>
    <row r="26" spans="1:14" ht="26.25" customHeight="1" x14ac:dyDescent="0.4">
      <c r="A26" s="96" t="s">
        <v>4</v>
      </c>
      <c r="B26" s="534" t="s">
        <v>127</v>
      </c>
      <c r="C26" s="534"/>
    </row>
    <row r="27" spans="1:14" ht="26.25" customHeight="1" x14ac:dyDescent="0.4">
      <c r="A27" s="97" t="s">
        <v>48</v>
      </c>
      <c r="B27" s="544" t="s">
        <v>131</v>
      </c>
      <c r="C27" s="544"/>
    </row>
    <row r="28" spans="1:14" ht="27" customHeight="1" thickBot="1" x14ac:dyDescent="0.45">
      <c r="A28" s="97" t="s">
        <v>6</v>
      </c>
      <c r="B28" s="490">
        <v>99.66</v>
      </c>
    </row>
    <row r="29" spans="1:14" s="13" customFormat="1" ht="27" customHeight="1" thickBot="1" x14ac:dyDescent="0.45">
      <c r="A29" s="97" t="s">
        <v>49</v>
      </c>
      <c r="B29" s="491">
        <v>0</v>
      </c>
      <c r="C29" s="535" t="s">
        <v>50</v>
      </c>
      <c r="D29" s="536"/>
      <c r="E29" s="536"/>
      <c r="F29" s="536"/>
      <c r="G29" s="537"/>
      <c r="I29" s="99"/>
      <c r="J29" s="99"/>
      <c r="K29" s="99"/>
      <c r="L29" s="99"/>
    </row>
    <row r="30" spans="1:14" s="13" customFormat="1" ht="19.5" customHeight="1" thickBot="1" x14ac:dyDescent="0.35">
      <c r="A30" s="97" t="s">
        <v>51</v>
      </c>
      <c r="B30" s="100">
        <f>B28-B29</f>
        <v>99.66</v>
      </c>
      <c r="C30" s="101"/>
      <c r="D30" s="101"/>
      <c r="E30" s="101"/>
      <c r="F30" s="101"/>
      <c r="G30" s="102"/>
      <c r="I30" s="99"/>
      <c r="J30" s="99"/>
      <c r="K30" s="99"/>
      <c r="L30" s="99"/>
    </row>
    <row r="31" spans="1:14" s="13" customFormat="1" ht="27" customHeight="1" thickBot="1" x14ac:dyDescent="0.45">
      <c r="A31" s="97" t="s">
        <v>52</v>
      </c>
      <c r="B31" s="103">
        <v>1</v>
      </c>
      <c r="C31" s="538" t="s">
        <v>53</v>
      </c>
      <c r="D31" s="539"/>
      <c r="E31" s="539"/>
      <c r="F31" s="539"/>
      <c r="G31" s="539"/>
      <c r="H31" s="540"/>
      <c r="I31" s="99"/>
      <c r="J31" s="99"/>
      <c r="K31" s="99"/>
      <c r="L31" s="99"/>
    </row>
    <row r="32" spans="1:14" s="13" customFormat="1" ht="27" customHeight="1" x14ac:dyDescent="0.4">
      <c r="A32" s="97" t="s">
        <v>54</v>
      </c>
      <c r="B32" s="103">
        <v>1</v>
      </c>
      <c r="C32" s="538" t="s">
        <v>55</v>
      </c>
      <c r="D32" s="539"/>
      <c r="E32" s="539"/>
      <c r="F32" s="539"/>
      <c r="G32" s="539"/>
      <c r="H32" s="540"/>
      <c r="I32" s="99"/>
      <c r="J32" s="99"/>
      <c r="K32" s="99"/>
      <c r="L32" s="104"/>
      <c r="M32" s="104"/>
      <c r="N32" s="105"/>
    </row>
    <row r="33" spans="1:14" s="13" customFormat="1" ht="17.25" customHeight="1" x14ac:dyDescent="0.3">
      <c r="A33" s="97"/>
      <c r="B33" s="106"/>
      <c r="C33" s="107"/>
      <c r="D33" s="107"/>
      <c r="E33" s="107"/>
      <c r="F33" s="107"/>
      <c r="G33" s="107"/>
      <c r="H33" s="107"/>
      <c r="I33" s="99"/>
      <c r="J33" s="99"/>
      <c r="K33" s="99"/>
      <c r="L33" s="104"/>
      <c r="M33" s="104"/>
      <c r="N33" s="105"/>
    </row>
    <row r="34" spans="1:14" s="13" customFormat="1" ht="18.75" x14ac:dyDescent="0.3">
      <c r="A34" s="97" t="s">
        <v>56</v>
      </c>
      <c r="B34" s="108">
        <f>B31/B32</f>
        <v>1</v>
      </c>
      <c r="C34" s="88" t="s">
        <v>57</v>
      </c>
      <c r="D34" s="88"/>
      <c r="E34" s="88"/>
      <c r="F34" s="88"/>
      <c r="G34" s="88"/>
      <c r="I34" s="99"/>
      <c r="J34" s="99"/>
      <c r="K34" s="99"/>
      <c r="L34" s="104"/>
      <c r="M34" s="104"/>
      <c r="N34" s="105"/>
    </row>
    <row r="35" spans="1:14" s="13" customFormat="1" ht="19.5" customHeight="1" thickBot="1" x14ac:dyDescent="0.35">
      <c r="A35" s="97"/>
      <c r="B35" s="100"/>
      <c r="G35" s="88"/>
      <c r="I35" s="99"/>
      <c r="J35" s="99"/>
      <c r="K35" s="99"/>
      <c r="L35" s="104"/>
      <c r="M35" s="104"/>
      <c r="N35" s="105"/>
    </row>
    <row r="36" spans="1:14" s="13" customFormat="1" ht="27" customHeight="1" thickBot="1" x14ac:dyDescent="0.45">
      <c r="A36" s="109" t="s">
        <v>58</v>
      </c>
      <c r="B36" s="492">
        <v>50</v>
      </c>
      <c r="C36" s="88"/>
      <c r="D36" s="541" t="s">
        <v>59</v>
      </c>
      <c r="E36" s="542"/>
      <c r="F36" s="541" t="s">
        <v>60</v>
      </c>
      <c r="G36" s="543"/>
      <c r="J36" s="99"/>
      <c r="K36" s="99"/>
      <c r="L36" s="104"/>
      <c r="M36" s="104"/>
      <c r="N36" s="105"/>
    </row>
    <row r="37" spans="1:14" s="13" customFormat="1" ht="27" customHeight="1" thickBot="1" x14ac:dyDescent="0.45">
      <c r="A37" s="111" t="s">
        <v>61</v>
      </c>
      <c r="B37" s="493">
        <v>2</v>
      </c>
      <c r="C37" s="113" t="s">
        <v>62</v>
      </c>
      <c r="D37" s="114" t="s">
        <v>63</v>
      </c>
      <c r="E37" s="115" t="s">
        <v>64</v>
      </c>
      <c r="F37" s="114" t="s">
        <v>63</v>
      </c>
      <c r="G37" s="116" t="s">
        <v>64</v>
      </c>
      <c r="I37" s="117" t="s">
        <v>65</v>
      </c>
      <c r="J37" s="99"/>
      <c r="K37" s="99"/>
      <c r="L37" s="104"/>
      <c r="M37" s="104"/>
      <c r="N37" s="105"/>
    </row>
    <row r="38" spans="1:14" s="13" customFormat="1" ht="26.25" customHeight="1" x14ac:dyDescent="0.4">
      <c r="A38" s="111" t="s">
        <v>66</v>
      </c>
      <c r="B38" s="493">
        <v>20</v>
      </c>
      <c r="C38" s="118">
        <v>1</v>
      </c>
      <c r="D38" s="494">
        <v>10703733</v>
      </c>
      <c r="E38" s="119">
        <f>IF(ISBLANK(D38),"-",$D$48/$D$45*D38)</f>
        <v>9786104.6464585532</v>
      </c>
      <c r="F38" s="497">
        <v>11267145</v>
      </c>
      <c r="G38" s="120">
        <f>IF(ISBLANK(F38),"-",$D$48/$F$45*F38)</f>
        <v>9581003.3775854874</v>
      </c>
      <c r="I38" s="121"/>
      <c r="J38" s="99"/>
      <c r="K38" s="99"/>
      <c r="L38" s="104"/>
      <c r="M38" s="104"/>
      <c r="N38" s="105"/>
    </row>
    <row r="39" spans="1:14" s="13" customFormat="1" ht="26.25" customHeight="1" x14ac:dyDescent="0.4">
      <c r="A39" s="111" t="s">
        <v>67</v>
      </c>
      <c r="B39" s="112">
        <v>1</v>
      </c>
      <c r="C39" s="122">
        <v>2</v>
      </c>
      <c r="D39" s="495">
        <v>10711130</v>
      </c>
      <c r="E39" s="124">
        <f>IF(ISBLANK(D39),"-",$D$48/$D$45*D39)</f>
        <v>9792867.5034982283</v>
      </c>
      <c r="F39" s="498">
        <v>11228730</v>
      </c>
      <c r="G39" s="125">
        <f>IF(ISBLANK(F39),"-",$D$48/$F$45*F39)</f>
        <v>9548337.2279308978</v>
      </c>
      <c r="I39" s="552">
        <f>ABS((F43/D43*D42)-F42)/D42</f>
        <v>2.1789639346422043E-2</v>
      </c>
      <c r="J39" s="99"/>
      <c r="K39" s="99"/>
      <c r="L39" s="104"/>
      <c r="M39" s="104"/>
      <c r="N39" s="105"/>
    </row>
    <row r="40" spans="1:14" ht="26.25" customHeight="1" x14ac:dyDescent="0.4">
      <c r="A40" s="111" t="s">
        <v>68</v>
      </c>
      <c r="B40" s="112">
        <v>1</v>
      </c>
      <c r="C40" s="122">
        <v>3</v>
      </c>
      <c r="D40" s="495">
        <v>10672499</v>
      </c>
      <c r="E40" s="124">
        <f>IF(ISBLANK(D40),"-",$D$48/$D$45*D40)</f>
        <v>9757548.3294682577</v>
      </c>
      <c r="F40" s="498">
        <v>11304349</v>
      </c>
      <c r="G40" s="125">
        <f>IF(ISBLANK(F40),"-",$D$48/$F$45*F40)</f>
        <v>9612639.7548274323</v>
      </c>
      <c r="I40" s="552"/>
      <c r="L40" s="104"/>
      <c r="M40" s="104"/>
      <c r="N40" s="126"/>
    </row>
    <row r="41" spans="1:14" ht="27" customHeight="1" thickBot="1" x14ac:dyDescent="0.45">
      <c r="A41" s="111" t="s">
        <v>69</v>
      </c>
      <c r="B41" s="112">
        <v>1</v>
      </c>
      <c r="C41" s="127">
        <v>4</v>
      </c>
      <c r="D41" s="496"/>
      <c r="E41" s="128" t="str">
        <f>IF(ISBLANK(D41),"-",$D$48/$D$45*D41)</f>
        <v>-</v>
      </c>
      <c r="F41" s="499"/>
      <c r="G41" s="129" t="str">
        <f>IF(ISBLANK(F41),"-",$D$48/$F$45*F41)</f>
        <v>-</v>
      </c>
      <c r="I41" s="130"/>
      <c r="L41" s="104"/>
      <c r="M41" s="104"/>
      <c r="N41" s="126"/>
    </row>
    <row r="42" spans="1:14" ht="27" customHeight="1" thickBot="1" x14ac:dyDescent="0.45">
      <c r="A42" s="111" t="s">
        <v>70</v>
      </c>
      <c r="B42" s="112">
        <v>1</v>
      </c>
      <c r="C42" s="131" t="s">
        <v>71</v>
      </c>
      <c r="D42" s="132">
        <f>AVERAGE(D38:D41)</f>
        <v>10695787.333333334</v>
      </c>
      <c r="E42" s="133">
        <f>AVERAGE(E38:E41)</f>
        <v>9778840.159808347</v>
      </c>
      <c r="F42" s="132">
        <f>AVERAGE(F38:F41)</f>
        <v>11266741.333333334</v>
      </c>
      <c r="G42" s="134">
        <f>AVERAGE(G38:G41)</f>
        <v>9580660.1201146059</v>
      </c>
      <c r="H42" s="135"/>
    </row>
    <row r="43" spans="1:14" ht="26.25" customHeight="1" x14ac:dyDescent="0.4">
      <c r="A43" s="111" t="s">
        <v>72</v>
      </c>
      <c r="B43" s="112">
        <v>1</v>
      </c>
      <c r="C43" s="136" t="s">
        <v>73</v>
      </c>
      <c r="D43" s="500">
        <v>17.559999999999999</v>
      </c>
      <c r="E43" s="126"/>
      <c r="F43" s="501">
        <v>18.88</v>
      </c>
      <c r="H43" s="135"/>
    </row>
    <row r="44" spans="1:14" ht="26.25" customHeight="1" x14ac:dyDescent="0.4">
      <c r="A44" s="111" t="s">
        <v>74</v>
      </c>
      <c r="B44" s="112">
        <v>1</v>
      </c>
      <c r="C44" s="137" t="s">
        <v>75</v>
      </c>
      <c r="D44" s="138">
        <f>D43*$B$34</f>
        <v>17.559999999999999</v>
      </c>
      <c r="E44" s="139"/>
      <c r="F44" s="138">
        <f>F43*$B$34</f>
        <v>18.88</v>
      </c>
      <c r="H44" s="135"/>
    </row>
    <row r="45" spans="1:14" ht="19.5" customHeight="1" thickBot="1" x14ac:dyDescent="0.35">
      <c r="A45" s="111" t="s">
        <v>76</v>
      </c>
      <c r="B45" s="140">
        <f>(B44/B43)*(B42/B41)*(B40/B39)*(B38/B37)*B36</f>
        <v>500</v>
      </c>
      <c r="C45" s="137" t="s">
        <v>77</v>
      </c>
      <c r="D45" s="141">
        <f>D44*$B$30/100</f>
        <v>17.500295999999999</v>
      </c>
      <c r="E45" s="142"/>
      <c r="F45" s="141">
        <f>F44*$B$30/100</f>
        <v>18.815807999999997</v>
      </c>
      <c r="H45" s="135"/>
    </row>
    <row r="46" spans="1:14" ht="19.5" customHeight="1" thickBot="1" x14ac:dyDescent="0.35">
      <c r="A46" s="548" t="s">
        <v>78</v>
      </c>
      <c r="B46" s="549"/>
      <c r="C46" s="137" t="s">
        <v>79</v>
      </c>
      <c r="D46" s="143">
        <f>D45/$B$45</f>
        <v>3.5000591999999997E-2</v>
      </c>
      <c r="E46" s="144"/>
      <c r="F46" s="145">
        <f>F45/$B$45</f>
        <v>3.7631615999999993E-2</v>
      </c>
      <c r="H46" s="135"/>
    </row>
    <row r="47" spans="1:14" ht="27" customHeight="1" thickBot="1" x14ac:dyDescent="0.45">
      <c r="A47" s="550"/>
      <c r="B47" s="551"/>
      <c r="C47" s="146" t="s">
        <v>80</v>
      </c>
      <c r="D47" s="502">
        <v>3.2000000000000001E-2</v>
      </c>
      <c r="E47" s="147"/>
      <c r="F47" s="144"/>
      <c r="H47" s="135"/>
    </row>
    <row r="48" spans="1:14" ht="18.75" x14ac:dyDescent="0.3">
      <c r="C48" s="148" t="s">
        <v>81</v>
      </c>
      <c r="D48" s="141">
        <f>D47*$B$45</f>
        <v>16</v>
      </c>
      <c r="F48" s="149"/>
      <c r="H48" s="135"/>
    </row>
    <row r="49" spans="1:12" ht="19.5" customHeight="1" thickBot="1" x14ac:dyDescent="0.35">
      <c r="C49" s="150" t="s">
        <v>82</v>
      </c>
      <c r="D49" s="151">
        <f>D48/B34</f>
        <v>16</v>
      </c>
      <c r="F49" s="149"/>
      <c r="H49" s="135"/>
    </row>
    <row r="50" spans="1:12" ht="18.75" x14ac:dyDescent="0.3">
      <c r="C50" s="109" t="s">
        <v>83</v>
      </c>
      <c r="D50" s="152">
        <f>AVERAGE(E38:E41,G38:G41)</f>
        <v>9679750.1399614755</v>
      </c>
      <c r="F50" s="153"/>
      <c r="H50" s="135"/>
    </row>
    <row r="51" spans="1:12" ht="18.75" x14ac:dyDescent="0.3">
      <c r="C51" s="111" t="s">
        <v>84</v>
      </c>
      <c r="D51" s="154">
        <f>STDEV(E38:E41,G38:G41)/D50</f>
        <v>1.1474537919238409E-2</v>
      </c>
      <c r="F51" s="153"/>
      <c r="H51" s="135"/>
    </row>
    <row r="52" spans="1:12" ht="19.5" customHeight="1" x14ac:dyDescent="0.3">
      <c r="C52" s="155" t="s">
        <v>20</v>
      </c>
      <c r="D52" s="156">
        <f>COUNT(E38:E41,G38:G41)</f>
        <v>6</v>
      </c>
      <c r="F52" s="153"/>
    </row>
    <row r="54" spans="1:12" ht="18.75" x14ac:dyDescent="0.3">
      <c r="A54" s="157" t="s">
        <v>1</v>
      </c>
      <c r="B54" s="158" t="s">
        <v>85</v>
      </c>
    </row>
    <row r="55" spans="1:12" ht="18.75" x14ac:dyDescent="0.3">
      <c r="A55" s="88" t="s">
        <v>86</v>
      </c>
      <c r="B55" s="159" t="str">
        <f>B21</f>
        <v>Sulphamethoxazole 800mg Trimethoprim 160 per tablets</v>
      </c>
    </row>
    <row r="56" spans="1:12" ht="26.25" customHeight="1" x14ac:dyDescent="0.4">
      <c r="A56" s="160" t="s">
        <v>87</v>
      </c>
      <c r="B56" s="503">
        <v>160</v>
      </c>
      <c r="C56" s="88" t="str">
        <f>B20</f>
        <v>Sulfamethoxazole BP &amp; Trimethoprim BP</v>
      </c>
      <c r="H56" s="161"/>
    </row>
    <row r="57" spans="1:12" ht="18.75" x14ac:dyDescent="0.3">
      <c r="A57" s="159" t="s">
        <v>88</v>
      </c>
      <c r="B57" s="247">
        <f>Uniformity!C46</f>
        <v>1035.0360000000001</v>
      </c>
      <c r="H57" s="161"/>
    </row>
    <row r="58" spans="1:12" ht="19.5" customHeight="1" thickBot="1" x14ac:dyDescent="0.35">
      <c r="H58" s="161"/>
    </row>
    <row r="59" spans="1:12" s="13" customFormat="1" ht="27" customHeight="1" thickBot="1" x14ac:dyDescent="0.45">
      <c r="A59" s="109" t="s">
        <v>89</v>
      </c>
      <c r="B59" s="504">
        <v>100</v>
      </c>
      <c r="C59" s="88"/>
      <c r="D59" s="162" t="s">
        <v>90</v>
      </c>
      <c r="E59" s="163" t="s">
        <v>62</v>
      </c>
      <c r="F59" s="163" t="s">
        <v>63</v>
      </c>
      <c r="G59" s="163" t="s">
        <v>91</v>
      </c>
      <c r="H59" s="113" t="s">
        <v>92</v>
      </c>
      <c r="L59" s="99"/>
    </row>
    <row r="60" spans="1:12" s="13" customFormat="1" ht="26.25" customHeight="1" x14ac:dyDescent="0.4">
      <c r="A60" s="111" t="s">
        <v>93</v>
      </c>
      <c r="B60" s="505">
        <v>5</v>
      </c>
      <c r="C60" s="553" t="s">
        <v>94</v>
      </c>
      <c r="D60" s="556">
        <v>212.53</v>
      </c>
      <c r="E60" s="164">
        <v>1</v>
      </c>
      <c r="F60" s="165">
        <v>9715374</v>
      </c>
      <c r="G60" s="248">
        <f>IF(ISBLANK(F60),"-",(F60/$D$50*$D$47*$B$68)*($B$57/$D$60))</f>
        <v>156.41578121377401</v>
      </c>
      <c r="H60" s="166">
        <f t="shared" ref="H60:H71" si="0">IF(ISBLANK(F60),"-",G60/$B$56)</f>
        <v>0.97759863258608759</v>
      </c>
      <c r="L60" s="99"/>
    </row>
    <row r="61" spans="1:12" s="13" customFormat="1" ht="26.25" customHeight="1" x14ac:dyDescent="0.4">
      <c r="A61" s="111" t="s">
        <v>95</v>
      </c>
      <c r="B61" s="505">
        <v>50</v>
      </c>
      <c r="C61" s="554"/>
      <c r="D61" s="557"/>
      <c r="E61" s="167">
        <v>2</v>
      </c>
      <c r="F61" s="123">
        <v>9697338</v>
      </c>
      <c r="G61" s="249">
        <f>IF(ISBLANK(F61),"-",(F61/$D$50*$D$47*$B$68)*($B$57/$D$60))</f>
        <v>156.12540484432373</v>
      </c>
      <c r="H61" s="168">
        <f t="shared" si="0"/>
        <v>0.97578378027702328</v>
      </c>
      <c r="L61" s="99"/>
    </row>
    <row r="62" spans="1:12" s="13" customFormat="1" ht="26.25" customHeight="1" x14ac:dyDescent="0.4">
      <c r="A62" s="111" t="s">
        <v>96</v>
      </c>
      <c r="B62" s="112">
        <v>1</v>
      </c>
      <c r="C62" s="554"/>
      <c r="D62" s="557"/>
      <c r="E62" s="167">
        <v>3</v>
      </c>
      <c r="F62" s="169">
        <v>9691513</v>
      </c>
      <c r="G62" s="249">
        <f>IF(ISBLANK(F62),"-",(F62/$D$50*$D$47*$B$68)*($B$57/$D$60))</f>
        <v>156.03162338767882</v>
      </c>
      <c r="H62" s="168">
        <f t="shared" si="0"/>
        <v>0.97519764617299265</v>
      </c>
      <c r="L62" s="99"/>
    </row>
    <row r="63" spans="1:12" ht="27" customHeight="1" thickBot="1" x14ac:dyDescent="0.45">
      <c r="A63" s="111" t="s">
        <v>97</v>
      </c>
      <c r="B63" s="112">
        <v>1</v>
      </c>
      <c r="C63" s="564"/>
      <c r="D63" s="558"/>
      <c r="E63" s="170">
        <v>4</v>
      </c>
      <c r="F63" s="171"/>
      <c r="G63" s="249" t="str">
        <f>IF(ISBLANK(F63),"-",(F63/$D$50*$D$47*$B$68)*($B$57/$D$60))</f>
        <v>-</v>
      </c>
      <c r="H63" s="168" t="str">
        <f t="shared" si="0"/>
        <v>-</v>
      </c>
    </row>
    <row r="64" spans="1:12" ht="26.25" customHeight="1" x14ac:dyDescent="0.4">
      <c r="A64" s="111" t="s">
        <v>98</v>
      </c>
      <c r="B64" s="112">
        <v>1</v>
      </c>
      <c r="C64" s="553" t="s">
        <v>99</v>
      </c>
      <c r="D64" s="556">
        <v>237.08</v>
      </c>
      <c r="E64" s="164">
        <v>1</v>
      </c>
      <c r="F64" s="165">
        <v>10884328</v>
      </c>
      <c r="G64" s="250">
        <f>IF(ISBLANK(F64),"-",(F64/$D$50*$D$47*$B$68)*($B$57/$D$64))</f>
        <v>157.08980073930724</v>
      </c>
      <c r="H64" s="172">
        <f t="shared" si="0"/>
        <v>0.9818112546206702</v>
      </c>
    </row>
    <row r="65" spans="1:8" ht="26.25" customHeight="1" x14ac:dyDescent="0.4">
      <c r="A65" s="111" t="s">
        <v>100</v>
      </c>
      <c r="B65" s="112">
        <v>1</v>
      </c>
      <c r="C65" s="554"/>
      <c r="D65" s="557"/>
      <c r="E65" s="167">
        <v>2</v>
      </c>
      <c r="F65" s="123">
        <v>10896133</v>
      </c>
      <c r="G65" s="251">
        <f>IF(ISBLANK(F65),"-",(F65/$D$50*$D$47*$B$68)*($B$57/$D$64))</f>
        <v>157.26017828560384</v>
      </c>
      <c r="H65" s="173">
        <f t="shared" si="0"/>
        <v>0.98287611428502397</v>
      </c>
    </row>
    <row r="66" spans="1:8" ht="26.25" customHeight="1" x14ac:dyDescent="0.4">
      <c r="A66" s="111" t="s">
        <v>101</v>
      </c>
      <c r="B66" s="112">
        <v>1</v>
      </c>
      <c r="C66" s="554"/>
      <c r="D66" s="557"/>
      <c r="E66" s="167">
        <v>3</v>
      </c>
      <c r="F66" s="123">
        <v>10870614</v>
      </c>
      <c r="G66" s="251">
        <f>IF(ISBLANK(F66),"-",(F66/$D$50*$D$47*$B$68)*($B$57/$D$64))</f>
        <v>156.89187124587974</v>
      </c>
      <c r="H66" s="173">
        <f t="shared" si="0"/>
        <v>0.98057419528674838</v>
      </c>
    </row>
    <row r="67" spans="1:8" ht="27" customHeight="1" x14ac:dyDescent="0.4">
      <c r="A67" s="111" t="s">
        <v>102</v>
      </c>
      <c r="B67" s="112">
        <v>1</v>
      </c>
      <c r="C67" s="564"/>
      <c r="D67" s="558"/>
      <c r="E67" s="170">
        <v>4</v>
      </c>
      <c r="F67" s="171"/>
      <c r="G67" s="252" t="str">
        <f>IF(ISBLANK(F67),"-",(F67/$D$50*$D$47*$B$68)*($B$57/$D$64))</f>
        <v>-</v>
      </c>
      <c r="H67" s="174" t="str">
        <f t="shared" si="0"/>
        <v>-</v>
      </c>
    </row>
    <row r="68" spans="1:8" ht="26.25" customHeight="1" x14ac:dyDescent="0.4">
      <c r="A68" s="111" t="s">
        <v>103</v>
      </c>
      <c r="B68" s="175">
        <f>(B67/B66)*(B65/B64)*(B63/B62)*(B61/B60)*B59</f>
        <v>1000</v>
      </c>
      <c r="C68" s="553" t="s">
        <v>104</v>
      </c>
      <c r="D68" s="556">
        <v>230.49</v>
      </c>
      <c r="E68" s="164">
        <v>1</v>
      </c>
      <c r="F68" s="165">
        <v>10512086</v>
      </c>
      <c r="G68" s="250">
        <f>IF(ISBLANK(F68),"-",(F68/$D$50*$D$47*$B$68)*($B$57/$D$68))</f>
        <v>156.05514943936592</v>
      </c>
      <c r="H68" s="168">
        <f t="shared" si="0"/>
        <v>0.97534468399603702</v>
      </c>
    </row>
    <row r="69" spans="1:8" ht="27" customHeight="1" x14ac:dyDescent="0.4">
      <c r="A69" s="155" t="s">
        <v>105</v>
      </c>
      <c r="B69" s="176">
        <f>(D47*B68)/B56*B57</f>
        <v>207.00720000000001</v>
      </c>
      <c r="C69" s="554"/>
      <c r="D69" s="557"/>
      <c r="E69" s="167">
        <v>2</v>
      </c>
      <c r="F69" s="123">
        <v>10532057</v>
      </c>
      <c r="G69" s="251">
        <f>IF(ISBLANK(F69),"-",(F69/$D$50*$D$47*$B$68)*($B$57/$D$68))</f>
        <v>156.35162507602391</v>
      </c>
      <c r="H69" s="168">
        <f t="shared" si="0"/>
        <v>0.97719765672514947</v>
      </c>
    </row>
    <row r="70" spans="1:8" ht="26.25" customHeight="1" x14ac:dyDescent="0.4">
      <c r="A70" s="559" t="s">
        <v>78</v>
      </c>
      <c r="B70" s="560"/>
      <c r="C70" s="554"/>
      <c r="D70" s="557"/>
      <c r="E70" s="167">
        <v>3</v>
      </c>
      <c r="F70" s="123">
        <v>10484819</v>
      </c>
      <c r="G70" s="251">
        <f>IF(ISBLANK(F70),"-",(F70/$D$50*$D$47*$B$68)*($B$57/$D$68))</f>
        <v>155.65036243897771</v>
      </c>
      <c r="H70" s="168">
        <f t="shared" si="0"/>
        <v>0.97281476524361066</v>
      </c>
    </row>
    <row r="71" spans="1:8" ht="27" customHeight="1" x14ac:dyDescent="0.4">
      <c r="A71" s="561"/>
      <c r="B71" s="562"/>
      <c r="C71" s="555"/>
      <c r="D71" s="558"/>
      <c r="E71" s="170">
        <v>4</v>
      </c>
      <c r="F71" s="171"/>
      <c r="G71" s="252" t="str">
        <f>IF(ISBLANK(F71),"-",(F71/$D$50*$D$47*$B$68)*($B$57/$D$68))</f>
        <v>-</v>
      </c>
      <c r="H71" s="177" t="str">
        <f t="shared" si="0"/>
        <v>-</v>
      </c>
    </row>
    <row r="72" spans="1:8" ht="26.25" customHeight="1" x14ac:dyDescent="0.4">
      <c r="A72" s="178"/>
      <c r="B72" s="178"/>
      <c r="C72" s="178"/>
      <c r="D72" s="178"/>
      <c r="E72" s="178"/>
      <c r="F72" s="180" t="s">
        <v>71</v>
      </c>
      <c r="G72" s="257">
        <f>AVERAGE(G60:G71)</f>
        <v>156.43019963010389</v>
      </c>
      <c r="H72" s="181">
        <f>AVERAGE(H60:H71)</f>
        <v>0.97768874768814917</v>
      </c>
    </row>
    <row r="73" spans="1:8" ht="26.25" customHeight="1" x14ac:dyDescent="0.4">
      <c r="C73" s="178"/>
      <c r="D73" s="178"/>
      <c r="E73" s="178"/>
      <c r="F73" s="182" t="s">
        <v>84</v>
      </c>
      <c r="G73" s="253">
        <f>STDEV(G60:G71)/G72</f>
        <v>3.4603195193252225E-3</v>
      </c>
      <c r="H73" s="253">
        <f>STDEV(H60:H71)/H72</f>
        <v>3.4603195193252099E-3</v>
      </c>
    </row>
    <row r="74" spans="1:8" ht="27" customHeight="1" x14ac:dyDescent="0.4">
      <c r="A74" s="178"/>
      <c r="B74" s="178"/>
      <c r="C74" s="179"/>
      <c r="D74" s="179"/>
      <c r="E74" s="183"/>
      <c r="F74" s="184" t="s">
        <v>20</v>
      </c>
      <c r="G74" s="185">
        <f>COUNT(G60:G71)</f>
        <v>9</v>
      </c>
      <c r="H74" s="185">
        <f>COUNT(H60:H71)</f>
        <v>9</v>
      </c>
    </row>
    <row r="76" spans="1:8" ht="26.25" customHeight="1" x14ac:dyDescent="0.4">
      <c r="A76" s="96" t="s">
        <v>106</v>
      </c>
      <c r="B76" s="186" t="s">
        <v>107</v>
      </c>
      <c r="C76" s="563" t="str">
        <f>B20</f>
        <v>Sulfamethoxazole BP &amp; Trimethoprim BP</v>
      </c>
      <c r="D76" s="563"/>
      <c r="E76" s="187" t="s">
        <v>108</v>
      </c>
      <c r="F76" s="187"/>
      <c r="G76" s="188">
        <f>H72</f>
        <v>0.97768874768814917</v>
      </c>
      <c r="H76" s="189"/>
    </row>
    <row r="77" spans="1:8" ht="18.75" x14ac:dyDescent="0.3">
      <c r="A77" s="95" t="s">
        <v>109</v>
      </c>
      <c r="B77" s="95" t="s">
        <v>110</v>
      </c>
    </row>
    <row r="78" spans="1:8" ht="18.75" x14ac:dyDescent="0.3">
      <c r="A78" s="95"/>
      <c r="B78" s="95"/>
    </row>
    <row r="79" spans="1:8" ht="26.25" customHeight="1" x14ac:dyDescent="0.4">
      <c r="A79" s="96" t="s">
        <v>4</v>
      </c>
      <c r="B79" s="545" t="s">
        <v>127</v>
      </c>
      <c r="C79" s="545"/>
    </row>
    <row r="80" spans="1:8" ht="26.25" customHeight="1" x14ac:dyDescent="0.4">
      <c r="A80" s="97" t="s">
        <v>48</v>
      </c>
      <c r="B80" s="545" t="s">
        <v>131</v>
      </c>
      <c r="C80" s="545"/>
    </row>
    <row r="81" spans="1:12" ht="27" customHeight="1" thickBot="1" x14ac:dyDescent="0.45">
      <c r="A81" s="97" t="s">
        <v>6</v>
      </c>
      <c r="B81" s="506">
        <v>99.66</v>
      </c>
    </row>
    <row r="82" spans="1:12" s="13" customFormat="1" ht="27" customHeight="1" thickBot="1" x14ac:dyDescent="0.45">
      <c r="A82" s="97" t="s">
        <v>49</v>
      </c>
      <c r="B82" s="507">
        <v>0</v>
      </c>
      <c r="C82" s="535" t="s">
        <v>50</v>
      </c>
      <c r="D82" s="536"/>
      <c r="E82" s="536"/>
      <c r="F82" s="536"/>
      <c r="G82" s="537"/>
      <c r="I82" s="99"/>
      <c r="J82" s="99"/>
      <c r="K82" s="99"/>
      <c r="L82" s="99"/>
    </row>
    <row r="83" spans="1:12" s="13" customFormat="1" ht="19.5" customHeight="1" thickBot="1" x14ac:dyDescent="0.35">
      <c r="A83" s="97" t="s">
        <v>51</v>
      </c>
      <c r="B83" s="100">
        <f>B81-B82</f>
        <v>99.66</v>
      </c>
      <c r="C83" s="101"/>
      <c r="D83" s="101"/>
      <c r="E83" s="101"/>
      <c r="F83" s="101"/>
      <c r="G83" s="102"/>
      <c r="I83" s="99"/>
      <c r="J83" s="99"/>
      <c r="K83" s="99"/>
      <c r="L83" s="99"/>
    </row>
    <row r="84" spans="1:12" s="13" customFormat="1" ht="27" customHeight="1" thickBot="1" x14ac:dyDescent="0.45">
      <c r="A84" s="97" t="s">
        <v>52</v>
      </c>
      <c r="B84" s="103">
        <v>1</v>
      </c>
      <c r="C84" s="538" t="s">
        <v>111</v>
      </c>
      <c r="D84" s="539"/>
      <c r="E84" s="539"/>
      <c r="F84" s="539"/>
      <c r="G84" s="539"/>
      <c r="H84" s="540"/>
      <c r="I84" s="99"/>
      <c r="J84" s="99"/>
      <c r="K84" s="99"/>
      <c r="L84" s="99"/>
    </row>
    <row r="85" spans="1:12" s="13" customFormat="1" ht="27" customHeight="1" x14ac:dyDescent="0.4">
      <c r="A85" s="97" t="s">
        <v>54</v>
      </c>
      <c r="B85" s="103">
        <v>1</v>
      </c>
      <c r="C85" s="538" t="s">
        <v>112</v>
      </c>
      <c r="D85" s="539"/>
      <c r="E85" s="539"/>
      <c r="F85" s="539"/>
      <c r="G85" s="539"/>
      <c r="H85" s="540"/>
      <c r="I85" s="99"/>
      <c r="J85" s="99"/>
      <c r="K85" s="99"/>
      <c r="L85" s="99"/>
    </row>
    <row r="86" spans="1:12" s="13" customFormat="1" ht="18.75" x14ac:dyDescent="0.3">
      <c r="A86" s="97"/>
      <c r="B86" s="106"/>
      <c r="C86" s="107"/>
      <c r="D86" s="107"/>
      <c r="E86" s="107"/>
      <c r="F86" s="107"/>
      <c r="G86" s="107"/>
      <c r="H86" s="107"/>
      <c r="I86" s="99"/>
      <c r="J86" s="99"/>
      <c r="K86" s="99"/>
      <c r="L86" s="99"/>
    </row>
    <row r="87" spans="1:12" s="13" customFormat="1" ht="18.75" x14ac:dyDescent="0.3">
      <c r="A87" s="97" t="s">
        <v>56</v>
      </c>
      <c r="B87" s="108">
        <f>B84/B85</f>
        <v>1</v>
      </c>
      <c r="C87" s="88" t="s">
        <v>57</v>
      </c>
      <c r="D87" s="88"/>
      <c r="E87" s="88"/>
      <c r="F87" s="88"/>
      <c r="G87" s="88"/>
      <c r="I87" s="99"/>
      <c r="J87" s="99"/>
      <c r="K87" s="99"/>
      <c r="L87" s="99"/>
    </row>
    <row r="88" spans="1:12" ht="19.5" customHeight="1" thickBot="1" x14ac:dyDescent="0.35">
      <c r="A88" s="95"/>
      <c r="B88" s="95"/>
    </row>
    <row r="89" spans="1:12" ht="27" customHeight="1" thickBot="1" x14ac:dyDescent="0.45">
      <c r="A89" s="109" t="s">
        <v>58</v>
      </c>
      <c r="B89" s="508">
        <v>50</v>
      </c>
      <c r="D89" s="190" t="s">
        <v>59</v>
      </c>
      <c r="E89" s="191"/>
      <c r="F89" s="541" t="s">
        <v>60</v>
      </c>
      <c r="G89" s="543"/>
    </row>
    <row r="90" spans="1:12" ht="27" customHeight="1" thickBot="1" x14ac:dyDescent="0.45">
      <c r="A90" s="111" t="s">
        <v>61</v>
      </c>
      <c r="B90" s="509">
        <v>4</v>
      </c>
      <c r="C90" s="192" t="s">
        <v>62</v>
      </c>
      <c r="D90" s="114" t="s">
        <v>63</v>
      </c>
      <c r="E90" s="115" t="s">
        <v>64</v>
      </c>
      <c r="F90" s="114" t="s">
        <v>63</v>
      </c>
      <c r="G90" s="193" t="s">
        <v>64</v>
      </c>
      <c r="I90" s="117" t="s">
        <v>65</v>
      </c>
    </row>
    <row r="91" spans="1:12" ht="26.25" customHeight="1" x14ac:dyDescent="0.4">
      <c r="A91" s="111" t="s">
        <v>66</v>
      </c>
      <c r="B91" s="509">
        <v>50</v>
      </c>
      <c r="C91" s="194">
        <v>1</v>
      </c>
      <c r="D91" s="510">
        <v>7690758</v>
      </c>
      <c r="E91" s="119">
        <f>IF(ISBLANK(D91),"-",$D$101/$D$98*D91)</f>
        <v>7625113.1719492935</v>
      </c>
      <c r="F91" s="513">
        <v>8918359</v>
      </c>
      <c r="G91" s="120">
        <f>IF(ISBLANK(F91),"-",$D$101/$F$98*F91)</f>
        <v>7707825.03751342</v>
      </c>
      <c r="I91" s="121"/>
    </row>
    <row r="92" spans="1:12" ht="26.25" customHeight="1" x14ac:dyDescent="0.4">
      <c r="A92" s="111" t="s">
        <v>67</v>
      </c>
      <c r="B92" s="112">
        <v>1</v>
      </c>
      <c r="C92" s="179">
        <v>2</v>
      </c>
      <c r="D92" s="511">
        <v>7809143</v>
      </c>
      <c r="E92" s="124">
        <f>IF(ISBLANK(D92),"-",$D$101/$D$98*D92)</f>
        <v>7742487.6911918987</v>
      </c>
      <c r="F92" s="514">
        <v>8979951</v>
      </c>
      <c r="G92" s="125">
        <f>IF(ISBLANK(F92),"-",$D$101/$F$98*F92)</f>
        <v>7761056.843915307</v>
      </c>
      <c r="I92" s="552">
        <f>ABS((F96/D96*D95)-F95)/D95</f>
        <v>2.0391351350004461E-2</v>
      </c>
    </row>
    <row r="93" spans="1:12" ht="26.25" customHeight="1" x14ac:dyDescent="0.4">
      <c r="A93" s="111" t="s">
        <v>68</v>
      </c>
      <c r="B93" s="112">
        <v>1</v>
      </c>
      <c r="C93" s="179">
        <v>3</v>
      </c>
      <c r="D93" s="511">
        <v>7712842</v>
      </c>
      <c r="E93" s="124">
        <f>IF(ISBLANK(D93),"-",$D$101/$D$98*D93)</f>
        <v>7647008.6729245326</v>
      </c>
      <c r="F93" s="514">
        <v>9204143</v>
      </c>
      <c r="G93" s="125">
        <f>IF(ISBLANK(F93),"-",$D$101/$F$98*F93)</f>
        <v>7954818.1301351385</v>
      </c>
      <c r="I93" s="552"/>
    </row>
    <row r="94" spans="1:12" ht="27" customHeight="1" thickBot="1" x14ac:dyDescent="0.45">
      <c r="A94" s="111" t="s">
        <v>69</v>
      </c>
      <c r="B94" s="112">
        <v>1</v>
      </c>
      <c r="C94" s="195">
        <v>4</v>
      </c>
      <c r="D94" s="512"/>
      <c r="E94" s="128" t="str">
        <f>IF(ISBLANK(D94),"-",$D$101/$D$98*D94)</f>
        <v>-</v>
      </c>
      <c r="F94" s="515"/>
      <c r="G94" s="129" t="str">
        <f>IF(ISBLANK(F94),"-",$D$101/$F$98*F94)</f>
        <v>-</v>
      </c>
      <c r="I94" s="130"/>
    </row>
    <row r="95" spans="1:12" ht="27" customHeight="1" thickBot="1" x14ac:dyDescent="0.45">
      <c r="A95" s="111" t="s">
        <v>70</v>
      </c>
      <c r="B95" s="112">
        <v>1</v>
      </c>
      <c r="C95" s="196" t="s">
        <v>71</v>
      </c>
      <c r="D95" s="197">
        <f>AVERAGE(D91:D94)</f>
        <v>7737581</v>
      </c>
      <c r="E95" s="133">
        <f>AVERAGE(E91:E94)</f>
        <v>7671536.5120219076</v>
      </c>
      <c r="F95" s="198">
        <f>AVERAGE(F91:F94)</f>
        <v>9034151</v>
      </c>
      <c r="G95" s="199">
        <f>AVERAGE(G91:G94)</f>
        <v>7807900.0038546212</v>
      </c>
    </row>
    <row r="96" spans="1:12" ht="26.25" customHeight="1" x14ac:dyDescent="0.4">
      <c r="A96" s="111" t="s">
        <v>72</v>
      </c>
      <c r="B96" s="98">
        <v>1</v>
      </c>
      <c r="C96" s="200" t="s">
        <v>113</v>
      </c>
      <c r="D96" s="516">
        <v>22.49</v>
      </c>
      <c r="E96" s="126"/>
      <c r="F96" s="517">
        <v>25.8</v>
      </c>
    </row>
    <row r="97" spans="1:10" ht="26.25" customHeight="1" x14ac:dyDescent="0.4">
      <c r="A97" s="111" t="s">
        <v>74</v>
      </c>
      <c r="B97" s="98">
        <v>1</v>
      </c>
      <c r="C97" s="201" t="s">
        <v>114</v>
      </c>
      <c r="D97" s="202">
        <f>D96*$B$87</f>
        <v>22.49</v>
      </c>
      <c r="E97" s="139"/>
      <c r="F97" s="138">
        <f>F96*$B$87</f>
        <v>25.8</v>
      </c>
    </row>
    <row r="98" spans="1:10" ht="19.5" customHeight="1" thickBot="1" x14ac:dyDescent="0.35">
      <c r="A98" s="111" t="s">
        <v>76</v>
      </c>
      <c r="B98" s="203">
        <f>(B97/B96)*(B95/B94)*(B93/B92)*(B91/B90)*B89</f>
        <v>625</v>
      </c>
      <c r="C98" s="201" t="s">
        <v>115</v>
      </c>
      <c r="D98" s="204">
        <f>D97*$B$83/100</f>
        <v>22.413533999999999</v>
      </c>
      <c r="E98" s="142"/>
      <c r="F98" s="141">
        <f>F97*$B$83/100</f>
        <v>25.71228</v>
      </c>
    </row>
    <row r="99" spans="1:10" ht="19.5" customHeight="1" x14ac:dyDescent="0.3">
      <c r="A99" s="548" t="s">
        <v>78</v>
      </c>
      <c r="B99" s="566"/>
      <c r="C99" s="201" t="s">
        <v>116</v>
      </c>
      <c r="D99" s="205">
        <f>D98/$B$98</f>
        <v>3.5861654399999998E-2</v>
      </c>
      <c r="E99" s="142"/>
      <c r="F99" s="145">
        <f>F98/$B$98</f>
        <v>4.1139648000000001E-2</v>
      </c>
      <c r="G99" s="206"/>
      <c r="H99" s="135"/>
    </row>
    <row r="100" spans="1:10" ht="19.5" customHeight="1" x14ac:dyDescent="0.3">
      <c r="A100" s="550"/>
      <c r="B100" s="567"/>
      <c r="C100" s="201" t="s">
        <v>80</v>
      </c>
      <c r="D100" s="207">
        <f>$B$56/$B$116</f>
        <v>3.5555555555555556E-2</v>
      </c>
      <c r="F100" s="149"/>
      <c r="G100" s="208"/>
      <c r="H100" s="135"/>
    </row>
    <row r="101" spans="1:10" ht="18.75" x14ac:dyDescent="0.3">
      <c r="C101" s="201" t="s">
        <v>81</v>
      </c>
      <c r="D101" s="202">
        <f>D100*$B$98</f>
        <v>22.222222222222221</v>
      </c>
      <c r="F101" s="149"/>
      <c r="G101" s="206"/>
      <c r="H101" s="135"/>
    </row>
    <row r="102" spans="1:10" ht="19.5" customHeight="1" x14ac:dyDescent="0.3">
      <c r="C102" s="209" t="s">
        <v>82</v>
      </c>
      <c r="D102" s="210">
        <f>D101/B34</f>
        <v>22.222222222222221</v>
      </c>
      <c r="F102" s="153"/>
      <c r="G102" s="206"/>
      <c r="H102" s="135"/>
      <c r="J102" s="211"/>
    </row>
    <row r="103" spans="1:10" ht="18.75" x14ac:dyDescent="0.3">
      <c r="C103" s="212" t="s">
        <v>117</v>
      </c>
      <c r="D103" s="213">
        <f>AVERAGE(E91:E94,G91:G94)</f>
        <v>7739718.2579382658</v>
      </c>
      <c r="F103" s="153"/>
      <c r="G103" s="214"/>
      <c r="H103" s="135"/>
      <c r="J103" s="215"/>
    </row>
    <row r="104" spans="1:10" ht="18.75" x14ac:dyDescent="0.3">
      <c r="C104" s="182" t="s">
        <v>84</v>
      </c>
      <c r="D104" s="216">
        <f>STDEV(E91:E94,G91:G94)/D103</f>
        <v>1.5230425361011065E-2</v>
      </c>
      <c r="F104" s="153"/>
      <c r="G104" s="206"/>
      <c r="H104" s="135"/>
      <c r="J104" s="215"/>
    </row>
    <row r="105" spans="1:10" ht="19.5" customHeight="1" x14ac:dyDescent="0.3">
      <c r="C105" s="184" t="s">
        <v>20</v>
      </c>
      <c r="D105" s="217">
        <f>COUNT(E91:E94,G91:G94)</f>
        <v>6</v>
      </c>
      <c r="F105" s="153"/>
      <c r="G105" s="206"/>
      <c r="H105" s="135"/>
      <c r="J105" s="215"/>
    </row>
    <row r="106" spans="1:10" ht="19.5" customHeight="1" x14ac:dyDescent="0.3">
      <c r="A106" s="157"/>
      <c r="B106" s="157"/>
      <c r="C106" s="157"/>
      <c r="D106" s="157"/>
      <c r="E106" s="157"/>
    </row>
    <row r="107" spans="1:10" ht="26.25" customHeight="1" x14ac:dyDescent="0.4">
      <c r="A107" s="109" t="s">
        <v>118</v>
      </c>
      <c r="B107" s="110">
        <v>900</v>
      </c>
      <c r="C107" s="218" t="s">
        <v>119</v>
      </c>
      <c r="D107" s="219" t="s">
        <v>63</v>
      </c>
      <c r="E107" s="220" t="s">
        <v>120</v>
      </c>
      <c r="F107" s="221" t="s">
        <v>121</v>
      </c>
    </row>
    <row r="108" spans="1:10" ht="26.25" customHeight="1" x14ac:dyDescent="0.4">
      <c r="A108" s="111" t="s">
        <v>122</v>
      </c>
      <c r="B108" s="112">
        <v>10</v>
      </c>
      <c r="C108" s="222">
        <v>1</v>
      </c>
      <c r="D108" s="223">
        <v>7878168</v>
      </c>
      <c r="E108" s="254">
        <f t="shared" ref="E108:E113" si="1">IF(ISBLANK(D108),"-",D108/$D$103*$D$100*$B$116)</f>
        <v>162.86211435502284</v>
      </c>
      <c r="F108" s="224">
        <f t="shared" ref="F108:F113" si="2">IF(ISBLANK(D108), "-", E108/$B$56)</f>
        <v>1.0178882147188928</v>
      </c>
    </row>
    <row r="109" spans="1:10" ht="26.25" customHeight="1" x14ac:dyDescent="0.4">
      <c r="A109" s="111" t="s">
        <v>95</v>
      </c>
      <c r="B109" s="112">
        <v>50</v>
      </c>
      <c r="C109" s="222">
        <v>2</v>
      </c>
      <c r="D109" s="223">
        <v>7794794</v>
      </c>
      <c r="E109" s="255">
        <f t="shared" si="1"/>
        <v>161.13855807617276</v>
      </c>
      <c r="F109" s="225">
        <f t="shared" si="2"/>
        <v>1.0071159879760798</v>
      </c>
    </row>
    <row r="110" spans="1:10" ht="26.25" customHeight="1" x14ac:dyDescent="0.4">
      <c r="A110" s="111" t="s">
        <v>96</v>
      </c>
      <c r="B110" s="112">
        <v>1</v>
      </c>
      <c r="C110" s="222">
        <v>3</v>
      </c>
      <c r="D110" s="223">
        <v>7800512</v>
      </c>
      <c r="E110" s="255">
        <f t="shared" si="1"/>
        <v>161.25676392934599</v>
      </c>
      <c r="F110" s="225">
        <f t="shared" si="2"/>
        <v>1.0078547745584125</v>
      </c>
    </row>
    <row r="111" spans="1:10" ht="26.25" customHeight="1" x14ac:dyDescent="0.4">
      <c r="A111" s="111" t="s">
        <v>97</v>
      </c>
      <c r="B111" s="112">
        <v>1</v>
      </c>
      <c r="C111" s="222">
        <v>4</v>
      </c>
      <c r="D111" s="223">
        <v>7937806</v>
      </c>
      <c r="E111" s="255">
        <f t="shared" si="1"/>
        <v>164.09498610590512</v>
      </c>
      <c r="F111" s="225">
        <f t="shared" si="2"/>
        <v>1.0255936631619069</v>
      </c>
    </row>
    <row r="112" spans="1:10" ht="26.25" customHeight="1" x14ac:dyDescent="0.4">
      <c r="A112" s="111" t="s">
        <v>98</v>
      </c>
      <c r="B112" s="112">
        <v>1</v>
      </c>
      <c r="C112" s="222">
        <v>5</v>
      </c>
      <c r="D112" s="223">
        <v>7813553</v>
      </c>
      <c r="E112" s="255">
        <f t="shared" si="1"/>
        <v>161.52635513802599</v>
      </c>
      <c r="F112" s="225">
        <f t="shared" si="2"/>
        <v>1.0095397196126625</v>
      </c>
    </row>
    <row r="113" spans="1:10" ht="26.25" customHeight="1" x14ac:dyDescent="0.4">
      <c r="A113" s="111" t="s">
        <v>100</v>
      </c>
      <c r="B113" s="112">
        <v>1</v>
      </c>
      <c r="C113" s="226">
        <v>6</v>
      </c>
      <c r="D113" s="227">
        <v>7743244</v>
      </c>
      <c r="E113" s="256">
        <f t="shared" si="1"/>
        <v>160.0728862099468</v>
      </c>
      <c r="F113" s="228">
        <f t="shared" si="2"/>
        <v>1.0004555388121674</v>
      </c>
    </row>
    <row r="114" spans="1:10" ht="26.25" customHeight="1" x14ac:dyDescent="0.4">
      <c r="A114" s="111" t="s">
        <v>101</v>
      </c>
      <c r="B114" s="112">
        <v>1</v>
      </c>
      <c r="C114" s="222"/>
      <c r="D114" s="179"/>
      <c r="E114" s="87"/>
      <c r="F114" s="229"/>
    </row>
    <row r="115" spans="1:10" ht="26.25" customHeight="1" x14ac:dyDescent="0.4">
      <c r="A115" s="111" t="s">
        <v>102</v>
      </c>
      <c r="B115" s="112">
        <v>1</v>
      </c>
      <c r="C115" s="222"/>
      <c r="D115" s="230" t="s">
        <v>71</v>
      </c>
      <c r="E115" s="258">
        <f>AVERAGE(E108:E113)</f>
        <v>161.82527730240324</v>
      </c>
      <c r="F115" s="231">
        <f>AVERAGE(F108:F113)</f>
        <v>1.0114079831400202</v>
      </c>
    </row>
    <row r="116" spans="1:10" ht="27" customHeight="1" x14ac:dyDescent="0.4">
      <c r="A116" s="111" t="s">
        <v>103</v>
      </c>
      <c r="B116" s="140">
        <f>(B115/B114)*(B113/B112)*(B111/B110)*(B109/B108)*B107</f>
        <v>4500</v>
      </c>
      <c r="C116" s="232"/>
      <c r="D116" s="196" t="s">
        <v>84</v>
      </c>
      <c r="E116" s="233">
        <f>STDEV(E108:E113)/E115</f>
        <v>8.8181456818854E-3</v>
      </c>
      <c r="F116" s="233">
        <f>STDEV(F108:F113)/F115</f>
        <v>8.8181456818853809E-3</v>
      </c>
      <c r="I116" s="87"/>
    </row>
    <row r="117" spans="1:10" ht="27" customHeight="1" x14ac:dyDescent="0.4">
      <c r="A117" s="548" t="s">
        <v>78</v>
      </c>
      <c r="B117" s="549"/>
      <c r="C117" s="234"/>
      <c r="D117" s="235" t="s">
        <v>20</v>
      </c>
      <c r="E117" s="236">
        <f>COUNT(E108:E113)</f>
        <v>6</v>
      </c>
      <c r="F117" s="236">
        <f>COUNT(F108:F113)</f>
        <v>6</v>
      </c>
      <c r="I117" s="87"/>
      <c r="J117" s="215"/>
    </row>
    <row r="118" spans="1:10" ht="19.5" customHeight="1" x14ac:dyDescent="0.3">
      <c r="A118" s="550"/>
      <c r="B118" s="551"/>
      <c r="C118" s="87"/>
      <c r="D118" s="87"/>
      <c r="E118" s="87"/>
      <c r="F118" s="179"/>
      <c r="G118" s="87"/>
      <c r="H118" s="87"/>
      <c r="I118" s="87"/>
    </row>
    <row r="119" spans="1:10" ht="18.75" x14ac:dyDescent="0.3">
      <c r="A119" s="245"/>
      <c r="B119" s="107"/>
      <c r="C119" s="87"/>
      <c r="D119" s="87"/>
      <c r="E119" s="87"/>
      <c r="F119" s="179"/>
      <c r="G119" s="87"/>
      <c r="H119" s="87"/>
      <c r="I119" s="87"/>
    </row>
    <row r="120" spans="1:10" ht="26.25" customHeight="1" x14ac:dyDescent="0.4">
      <c r="A120" s="96" t="s">
        <v>106</v>
      </c>
      <c r="B120" s="186" t="s">
        <v>123</v>
      </c>
      <c r="C120" s="563" t="str">
        <f>B20</f>
        <v>Sulfamethoxazole BP &amp; Trimethoprim BP</v>
      </c>
      <c r="D120" s="563"/>
      <c r="E120" s="187" t="s">
        <v>124</v>
      </c>
      <c r="F120" s="187"/>
      <c r="G120" s="188">
        <f>F115</f>
        <v>1.0114079831400202</v>
      </c>
      <c r="H120" s="87"/>
      <c r="I120" s="87"/>
    </row>
    <row r="121" spans="1:10" ht="19.5" customHeight="1" x14ac:dyDescent="0.3">
      <c r="A121" s="237"/>
      <c r="B121" s="237"/>
      <c r="C121" s="238"/>
      <c r="D121" s="238"/>
      <c r="E121" s="238"/>
      <c r="F121" s="238"/>
      <c r="G121" s="238"/>
      <c r="H121" s="238"/>
    </row>
    <row r="122" spans="1:10" ht="18.75" x14ac:dyDescent="0.3">
      <c r="B122" s="565" t="s">
        <v>26</v>
      </c>
      <c r="C122" s="565"/>
      <c r="E122" s="192" t="s">
        <v>27</v>
      </c>
      <c r="F122" s="239"/>
      <c r="G122" s="565" t="s">
        <v>28</v>
      </c>
      <c r="H122" s="565"/>
    </row>
    <row r="123" spans="1:10" ht="69.95" customHeight="1" x14ac:dyDescent="0.3">
      <c r="A123" s="240" t="s">
        <v>29</v>
      </c>
      <c r="B123" s="241"/>
      <c r="C123" s="241"/>
      <c r="E123" s="241"/>
      <c r="F123" s="87"/>
      <c r="G123" s="242"/>
      <c r="H123" s="242"/>
    </row>
    <row r="124" spans="1:10" ht="69.95" customHeight="1" x14ac:dyDescent="0.3">
      <c r="A124" s="240" t="s">
        <v>30</v>
      </c>
      <c r="B124" s="243"/>
      <c r="C124" s="243"/>
      <c r="E124" s="243"/>
      <c r="F124" s="87"/>
      <c r="G124" s="244"/>
      <c r="H124" s="244"/>
    </row>
    <row r="125" spans="1:10" ht="18.75" x14ac:dyDescent="0.3">
      <c r="A125" s="178"/>
      <c r="B125" s="178"/>
      <c r="C125" s="179"/>
      <c r="D125" s="179"/>
      <c r="E125" s="179"/>
      <c r="F125" s="183"/>
      <c r="G125" s="179"/>
      <c r="H125" s="179"/>
      <c r="I125" s="87"/>
    </row>
    <row r="126" spans="1:10" ht="18.75" x14ac:dyDescent="0.3">
      <c r="A126" s="178"/>
      <c r="B126" s="178"/>
      <c r="C126" s="179"/>
      <c r="D126" s="179"/>
      <c r="E126" s="179"/>
      <c r="F126" s="183"/>
      <c r="G126" s="179"/>
      <c r="H126" s="179"/>
      <c r="I126" s="87"/>
    </row>
    <row r="127" spans="1:10" ht="18.75" x14ac:dyDescent="0.3">
      <c r="A127" s="178"/>
      <c r="B127" s="178"/>
      <c r="C127" s="179"/>
      <c r="D127" s="179"/>
      <c r="E127" s="179"/>
      <c r="F127" s="183"/>
      <c r="G127" s="179"/>
      <c r="H127" s="179"/>
      <c r="I127" s="87"/>
    </row>
    <row r="128" spans="1:10" ht="18.75" x14ac:dyDescent="0.3">
      <c r="A128" s="178"/>
      <c r="B128" s="178"/>
      <c r="C128" s="179"/>
      <c r="D128" s="179"/>
      <c r="E128" s="179"/>
      <c r="F128" s="183"/>
      <c r="G128" s="179"/>
      <c r="H128" s="179"/>
      <c r="I128" s="87"/>
    </row>
    <row r="129" spans="1:9" ht="18.75" x14ac:dyDescent="0.3">
      <c r="A129" s="178"/>
      <c r="B129" s="178"/>
      <c r="C129" s="179"/>
      <c r="D129" s="179"/>
      <c r="E129" s="179"/>
      <c r="F129" s="183"/>
      <c r="G129" s="179"/>
      <c r="H129" s="179"/>
      <c r="I129" s="87"/>
    </row>
    <row r="130" spans="1:9" ht="18.75" x14ac:dyDescent="0.3">
      <c r="A130" s="178"/>
      <c r="B130" s="178"/>
      <c r="C130" s="179"/>
      <c r="D130" s="179"/>
      <c r="E130" s="179"/>
      <c r="F130" s="183"/>
      <c r="G130" s="179"/>
      <c r="H130" s="179"/>
      <c r="I130" s="87"/>
    </row>
    <row r="131" spans="1:9" ht="18.75" x14ac:dyDescent="0.3">
      <c r="A131" s="178"/>
      <c r="B131" s="178"/>
      <c r="C131" s="179"/>
      <c r="D131" s="179"/>
      <c r="E131" s="179"/>
      <c r="F131" s="183"/>
      <c r="G131" s="179"/>
      <c r="H131" s="179"/>
      <c r="I131" s="87"/>
    </row>
    <row r="132" spans="1:9" ht="18.75" x14ac:dyDescent="0.3">
      <c r="A132" s="178"/>
      <c r="B132" s="178"/>
      <c r="C132" s="179"/>
      <c r="D132" s="179"/>
      <c r="E132" s="179"/>
      <c r="F132" s="183"/>
      <c r="G132" s="179"/>
      <c r="H132" s="179"/>
      <c r="I132" s="87"/>
    </row>
    <row r="133" spans="1:9" ht="18.75" x14ac:dyDescent="0.3">
      <c r="A133" s="178"/>
      <c r="B133" s="178"/>
      <c r="C133" s="179"/>
      <c r="D133" s="179"/>
      <c r="E133" s="179"/>
      <c r="F133" s="183"/>
      <c r="G133" s="179"/>
      <c r="H133" s="179"/>
      <c r="I133" s="87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120:D120"/>
    <mergeCell ref="B122:C122"/>
    <mergeCell ref="G122:H122"/>
    <mergeCell ref="C82:G82"/>
    <mergeCell ref="C84:H84"/>
    <mergeCell ref="C85:H85"/>
    <mergeCell ref="F89:G89"/>
    <mergeCell ref="A99:B100"/>
    <mergeCell ref="B79:C79"/>
    <mergeCell ref="B80:C80"/>
    <mergeCell ref="A1:I7"/>
    <mergeCell ref="A8:I14"/>
    <mergeCell ref="A117:B118"/>
    <mergeCell ref="I92:I93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B26:C26"/>
    <mergeCell ref="C29:G29"/>
    <mergeCell ref="C31:H31"/>
    <mergeCell ref="C32:H32"/>
    <mergeCell ref="D36:E36"/>
    <mergeCell ref="F36:G36"/>
    <mergeCell ref="B27:C27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B110" zoomScale="70" zoomScaleNormal="40" zoomScaleSheetLayoutView="70" zoomScalePageLayoutView="55" workbookViewId="0">
      <selection activeCell="B123" sqref="B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6" t="s">
        <v>45</v>
      </c>
      <c r="B1" s="546"/>
      <c r="C1" s="546"/>
      <c r="D1" s="546"/>
      <c r="E1" s="546"/>
      <c r="F1" s="546"/>
      <c r="G1" s="546"/>
      <c r="H1" s="546"/>
      <c r="I1" s="546"/>
    </row>
    <row r="2" spans="1:9" ht="18.75" customHeight="1" x14ac:dyDescent="0.25">
      <c r="A2" s="546"/>
      <c r="B2" s="546"/>
      <c r="C2" s="546"/>
      <c r="D2" s="546"/>
      <c r="E2" s="546"/>
      <c r="F2" s="546"/>
      <c r="G2" s="546"/>
      <c r="H2" s="546"/>
      <c r="I2" s="546"/>
    </row>
    <row r="3" spans="1:9" ht="18.75" customHeight="1" x14ac:dyDescent="0.25">
      <c r="A3" s="546"/>
      <c r="B3" s="546"/>
      <c r="C3" s="546"/>
      <c r="D3" s="546"/>
      <c r="E3" s="546"/>
      <c r="F3" s="546"/>
      <c r="G3" s="546"/>
      <c r="H3" s="546"/>
      <c r="I3" s="546"/>
    </row>
    <row r="4" spans="1:9" ht="18.75" customHeight="1" x14ac:dyDescent="0.25">
      <c r="A4" s="546"/>
      <c r="B4" s="546"/>
      <c r="C4" s="546"/>
      <c r="D4" s="546"/>
      <c r="E4" s="546"/>
      <c r="F4" s="546"/>
      <c r="G4" s="546"/>
      <c r="H4" s="546"/>
      <c r="I4" s="546"/>
    </row>
    <row r="5" spans="1:9" ht="18.75" customHeight="1" x14ac:dyDescent="0.25">
      <c r="A5" s="546"/>
      <c r="B5" s="546"/>
      <c r="C5" s="546"/>
      <c r="D5" s="546"/>
      <c r="E5" s="546"/>
      <c r="F5" s="546"/>
      <c r="G5" s="546"/>
      <c r="H5" s="546"/>
      <c r="I5" s="546"/>
    </row>
    <row r="6" spans="1:9" ht="18.75" customHeight="1" x14ac:dyDescent="0.25">
      <c r="A6" s="546"/>
      <c r="B6" s="546"/>
      <c r="C6" s="546"/>
      <c r="D6" s="546"/>
      <c r="E6" s="546"/>
      <c r="F6" s="546"/>
      <c r="G6" s="546"/>
      <c r="H6" s="546"/>
      <c r="I6" s="546"/>
    </row>
    <row r="7" spans="1:9" ht="18.75" customHeight="1" x14ac:dyDescent="0.25">
      <c r="A7" s="546"/>
      <c r="B7" s="546"/>
      <c r="C7" s="546"/>
      <c r="D7" s="546"/>
      <c r="E7" s="546"/>
      <c r="F7" s="546"/>
      <c r="G7" s="546"/>
      <c r="H7" s="546"/>
      <c r="I7" s="546"/>
    </row>
    <row r="8" spans="1:9" x14ac:dyDescent="0.25">
      <c r="A8" s="547" t="s">
        <v>46</v>
      </c>
      <c r="B8" s="547"/>
      <c r="C8" s="547"/>
      <c r="D8" s="547"/>
      <c r="E8" s="547"/>
      <c r="F8" s="547"/>
      <c r="G8" s="547"/>
      <c r="H8" s="547"/>
      <c r="I8" s="547"/>
    </row>
    <row r="9" spans="1:9" x14ac:dyDescent="0.25">
      <c r="A9" s="547"/>
      <c r="B9" s="547"/>
      <c r="C9" s="547"/>
      <c r="D9" s="547"/>
      <c r="E9" s="547"/>
      <c r="F9" s="547"/>
      <c r="G9" s="547"/>
      <c r="H9" s="547"/>
      <c r="I9" s="547"/>
    </row>
    <row r="10" spans="1:9" x14ac:dyDescent="0.25">
      <c r="A10" s="547"/>
      <c r="B10" s="547"/>
      <c r="C10" s="547"/>
      <c r="D10" s="547"/>
      <c r="E10" s="547"/>
      <c r="F10" s="547"/>
      <c r="G10" s="547"/>
      <c r="H10" s="547"/>
      <c r="I10" s="547"/>
    </row>
    <row r="11" spans="1:9" x14ac:dyDescent="0.25">
      <c r="A11" s="547"/>
      <c r="B11" s="547"/>
      <c r="C11" s="547"/>
      <c r="D11" s="547"/>
      <c r="E11" s="547"/>
      <c r="F11" s="547"/>
      <c r="G11" s="547"/>
      <c r="H11" s="547"/>
      <c r="I11" s="547"/>
    </row>
    <row r="12" spans="1:9" x14ac:dyDescent="0.25">
      <c r="A12" s="547"/>
      <c r="B12" s="547"/>
      <c r="C12" s="547"/>
      <c r="D12" s="547"/>
      <c r="E12" s="547"/>
      <c r="F12" s="547"/>
      <c r="G12" s="547"/>
      <c r="H12" s="547"/>
      <c r="I12" s="547"/>
    </row>
    <row r="13" spans="1:9" x14ac:dyDescent="0.25">
      <c r="A13" s="547"/>
      <c r="B13" s="547"/>
      <c r="C13" s="547"/>
      <c r="D13" s="547"/>
      <c r="E13" s="547"/>
      <c r="F13" s="547"/>
      <c r="G13" s="547"/>
      <c r="H13" s="547"/>
      <c r="I13" s="547"/>
    </row>
    <row r="14" spans="1:9" x14ac:dyDescent="0.25">
      <c r="A14" s="547"/>
      <c r="B14" s="547"/>
      <c r="C14" s="547"/>
      <c r="D14" s="547"/>
      <c r="E14" s="547"/>
      <c r="F14" s="547"/>
      <c r="G14" s="547"/>
      <c r="H14" s="547"/>
      <c r="I14" s="547"/>
    </row>
    <row r="15" spans="1:9" ht="19.5" customHeight="1" x14ac:dyDescent="0.3">
      <c r="A15" s="260"/>
    </row>
    <row r="16" spans="1:9" ht="19.5" customHeight="1" x14ac:dyDescent="0.3">
      <c r="A16" s="528" t="s">
        <v>31</v>
      </c>
      <c r="B16" s="529"/>
      <c r="C16" s="529"/>
      <c r="D16" s="529"/>
      <c r="E16" s="529"/>
      <c r="F16" s="529"/>
      <c r="G16" s="529"/>
      <c r="H16" s="530"/>
    </row>
    <row r="17" spans="1:14" ht="20.25" customHeight="1" x14ac:dyDescent="0.25">
      <c r="A17" s="531" t="s">
        <v>47</v>
      </c>
      <c r="B17" s="531"/>
      <c r="C17" s="531"/>
      <c r="D17" s="531"/>
      <c r="E17" s="531"/>
      <c r="F17" s="531"/>
      <c r="G17" s="531"/>
      <c r="H17" s="531"/>
    </row>
    <row r="18" spans="1:14" ht="26.25" customHeight="1" x14ac:dyDescent="0.4">
      <c r="A18" s="262" t="s">
        <v>33</v>
      </c>
      <c r="B18" s="532" t="s">
        <v>5</v>
      </c>
      <c r="C18" s="532"/>
      <c r="D18" s="420"/>
      <c r="E18" s="263"/>
      <c r="F18" s="264"/>
      <c r="G18" s="264"/>
      <c r="H18" s="264"/>
    </row>
    <row r="19" spans="1:14" ht="26.25" customHeight="1" x14ac:dyDescent="0.4">
      <c r="A19" s="262" t="s">
        <v>34</v>
      </c>
      <c r="B19" s="265" t="s">
        <v>7</v>
      </c>
      <c r="C19" s="433">
        <v>29</v>
      </c>
      <c r="D19" s="264"/>
      <c r="E19" s="264"/>
      <c r="F19" s="264"/>
      <c r="G19" s="264"/>
      <c r="H19" s="264"/>
    </row>
    <row r="20" spans="1:14" ht="26.25" customHeight="1" x14ac:dyDescent="0.4">
      <c r="A20" s="262" t="s">
        <v>35</v>
      </c>
      <c r="B20" s="533" t="s">
        <v>9</v>
      </c>
      <c r="C20" s="533"/>
      <c r="D20" s="264"/>
      <c r="E20" s="264"/>
      <c r="F20" s="264"/>
      <c r="G20" s="264"/>
      <c r="H20" s="264"/>
    </row>
    <row r="21" spans="1:14" ht="26.25" customHeight="1" x14ac:dyDescent="0.4">
      <c r="A21" s="262" t="s">
        <v>36</v>
      </c>
      <c r="B21" s="533" t="s">
        <v>11</v>
      </c>
      <c r="C21" s="533"/>
      <c r="D21" s="533"/>
      <c r="E21" s="533"/>
      <c r="F21" s="533"/>
      <c r="G21" s="533"/>
      <c r="H21" s="533"/>
      <c r="I21" s="266"/>
    </row>
    <row r="22" spans="1:14" ht="26.25" customHeight="1" x14ac:dyDescent="0.4">
      <c r="A22" s="262" t="s">
        <v>37</v>
      </c>
      <c r="B22" s="267"/>
      <c r="C22" s="264"/>
      <c r="D22" s="264"/>
      <c r="E22" s="264"/>
      <c r="F22" s="264"/>
      <c r="G22" s="264"/>
      <c r="H22" s="264"/>
    </row>
    <row r="23" spans="1:14" ht="26.25" customHeight="1" x14ac:dyDescent="0.4">
      <c r="A23" s="262" t="s">
        <v>38</v>
      </c>
      <c r="B23" s="267"/>
      <c r="C23" s="264"/>
      <c r="D23" s="264"/>
      <c r="E23" s="264"/>
      <c r="F23" s="264"/>
      <c r="G23" s="264"/>
      <c r="H23" s="264"/>
    </row>
    <row r="24" spans="1:14" ht="18.75" x14ac:dyDescent="0.3">
      <c r="A24" s="262"/>
      <c r="B24" s="268"/>
    </row>
    <row r="25" spans="1:14" ht="18.75" x14ac:dyDescent="0.3">
      <c r="A25" s="269" t="s">
        <v>1</v>
      </c>
      <c r="B25" s="268"/>
    </row>
    <row r="26" spans="1:14" ht="26.25" customHeight="1" x14ac:dyDescent="0.4">
      <c r="A26" s="270" t="s">
        <v>4</v>
      </c>
      <c r="B26" s="568" t="s">
        <v>125</v>
      </c>
      <c r="C26" s="568"/>
    </row>
    <row r="27" spans="1:14" ht="26.25" customHeight="1" x14ac:dyDescent="0.4">
      <c r="A27" s="271" t="s">
        <v>48</v>
      </c>
      <c r="B27" s="569" t="s">
        <v>128</v>
      </c>
      <c r="C27" s="569"/>
    </row>
    <row r="28" spans="1:14" ht="27" customHeight="1" thickBot="1" x14ac:dyDescent="0.45">
      <c r="A28" s="271" t="s">
        <v>6</v>
      </c>
      <c r="B28" s="461">
        <v>99.58</v>
      </c>
    </row>
    <row r="29" spans="1:14" s="13" customFormat="1" ht="27" customHeight="1" thickBot="1" x14ac:dyDescent="0.45">
      <c r="A29" s="271" t="s">
        <v>49</v>
      </c>
      <c r="B29" s="462">
        <v>0</v>
      </c>
      <c r="C29" s="535" t="s">
        <v>50</v>
      </c>
      <c r="D29" s="536"/>
      <c r="E29" s="536"/>
      <c r="F29" s="536"/>
      <c r="G29" s="537"/>
      <c r="I29" s="272"/>
      <c r="J29" s="272"/>
      <c r="K29" s="272"/>
      <c r="L29" s="272"/>
    </row>
    <row r="30" spans="1:14" s="13" customFormat="1" ht="19.5" customHeight="1" thickBot="1" x14ac:dyDescent="0.35">
      <c r="A30" s="271" t="s">
        <v>51</v>
      </c>
      <c r="B30" s="273">
        <f>B28-B29</f>
        <v>99.58</v>
      </c>
      <c r="C30" s="274"/>
      <c r="D30" s="274"/>
      <c r="E30" s="274"/>
      <c r="F30" s="274"/>
      <c r="G30" s="275"/>
      <c r="I30" s="272"/>
      <c r="J30" s="272"/>
      <c r="K30" s="272"/>
      <c r="L30" s="272"/>
    </row>
    <row r="31" spans="1:14" s="13" customFormat="1" ht="27" customHeight="1" thickBot="1" x14ac:dyDescent="0.45">
      <c r="A31" s="271" t="s">
        <v>52</v>
      </c>
      <c r="B31" s="276">
        <v>1</v>
      </c>
      <c r="C31" s="538" t="s">
        <v>53</v>
      </c>
      <c r="D31" s="539"/>
      <c r="E31" s="539"/>
      <c r="F31" s="539"/>
      <c r="G31" s="539"/>
      <c r="H31" s="540"/>
      <c r="I31" s="272"/>
      <c r="J31" s="272"/>
      <c r="K31" s="272"/>
      <c r="L31" s="272"/>
    </row>
    <row r="32" spans="1:14" s="13" customFormat="1" ht="27" customHeight="1" x14ac:dyDescent="0.4">
      <c r="A32" s="271" t="s">
        <v>54</v>
      </c>
      <c r="B32" s="276">
        <v>1</v>
      </c>
      <c r="C32" s="538" t="s">
        <v>55</v>
      </c>
      <c r="D32" s="539"/>
      <c r="E32" s="539"/>
      <c r="F32" s="539"/>
      <c r="G32" s="539"/>
      <c r="H32" s="540"/>
      <c r="I32" s="272"/>
      <c r="J32" s="272"/>
      <c r="K32" s="272"/>
      <c r="L32" s="277"/>
      <c r="M32" s="277"/>
      <c r="N32" s="278"/>
    </row>
    <row r="33" spans="1:14" s="13" customFormat="1" ht="17.25" customHeight="1" x14ac:dyDescent="0.3">
      <c r="A33" s="271"/>
      <c r="B33" s="279"/>
      <c r="C33" s="280"/>
      <c r="D33" s="280"/>
      <c r="E33" s="280"/>
      <c r="F33" s="280"/>
      <c r="G33" s="280"/>
      <c r="H33" s="280"/>
      <c r="I33" s="272"/>
      <c r="J33" s="272"/>
      <c r="K33" s="272"/>
      <c r="L33" s="277"/>
      <c r="M33" s="277"/>
      <c r="N33" s="278"/>
    </row>
    <row r="34" spans="1:14" s="13" customFormat="1" ht="18.75" x14ac:dyDescent="0.3">
      <c r="A34" s="271" t="s">
        <v>56</v>
      </c>
      <c r="B34" s="281">
        <f>B31/B32</f>
        <v>1</v>
      </c>
      <c r="C34" s="261" t="s">
        <v>57</v>
      </c>
      <c r="D34" s="261"/>
      <c r="E34" s="261"/>
      <c r="F34" s="261"/>
      <c r="G34" s="261"/>
      <c r="I34" s="272"/>
      <c r="J34" s="272"/>
      <c r="K34" s="272"/>
      <c r="L34" s="277"/>
      <c r="M34" s="277"/>
      <c r="N34" s="278"/>
    </row>
    <row r="35" spans="1:14" s="13" customFormat="1" ht="19.5" customHeight="1" thickBot="1" x14ac:dyDescent="0.35">
      <c r="A35" s="271"/>
      <c r="B35" s="273"/>
      <c r="G35" s="261"/>
      <c r="I35" s="272"/>
      <c r="J35" s="272"/>
      <c r="K35" s="272"/>
      <c r="L35" s="277"/>
      <c r="M35" s="277"/>
      <c r="N35" s="278"/>
    </row>
    <row r="36" spans="1:14" s="13" customFormat="1" ht="27" customHeight="1" thickBot="1" x14ac:dyDescent="0.45">
      <c r="A36" s="282" t="s">
        <v>58</v>
      </c>
      <c r="B36" s="463">
        <v>50</v>
      </c>
      <c r="C36" s="261"/>
      <c r="D36" s="541" t="s">
        <v>59</v>
      </c>
      <c r="E36" s="542"/>
      <c r="F36" s="541" t="s">
        <v>60</v>
      </c>
      <c r="G36" s="543"/>
      <c r="J36" s="272"/>
      <c r="K36" s="272"/>
      <c r="L36" s="277"/>
      <c r="M36" s="277"/>
      <c r="N36" s="278"/>
    </row>
    <row r="37" spans="1:14" s="13" customFormat="1" ht="27" customHeight="1" thickBot="1" x14ac:dyDescent="0.45">
      <c r="A37" s="284" t="s">
        <v>61</v>
      </c>
      <c r="B37" s="464">
        <v>10</v>
      </c>
      <c r="C37" s="286" t="s">
        <v>62</v>
      </c>
      <c r="D37" s="287" t="s">
        <v>63</v>
      </c>
      <c r="E37" s="288" t="s">
        <v>64</v>
      </c>
      <c r="F37" s="287" t="s">
        <v>63</v>
      </c>
      <c r="G37" s="289" t="s">
        <v>64</v>
      </c>
      <c r="I37" s="290" t="s">
        <v>65</v>
      </c>
      <c r="J37" s="272"/>
      <c r="K37" s="272"/>
      <c r="L37" s="277"/>
      <c r="M37" s="277"/>
      <c r="N37" s="278"/>
    </row>
    <row r="38" spans="1:14" s="13" customFormat="1" ht="26.25" customHeight="1" x14ac:dyDescent="0.4">
      <c r="A38" s="284" t="s">
        <v>66</v>
      </c>
      <c r="B38" s="464">
        <v>20</v>
      </c>
      <c r="C38" s="291">
        <v>1</v>
      </c>
      <c r="D38" s="465">
        <v>143613996</v>
      </c>
      <c r="E38" s="292">
        <f>IF(ISBLANK(D38),"-",$D$48/$D$45*D38)</f>
        <v>120308420.28699894</v>
      </c>
      <c r="F38" s="468">
        <v>148838748</v>
      </c>
      <c r="G38" s="293">
        <f>IF(ISBLANK(F38),"-",$D$48/$F$45*F38)</f>
        <v>124490583.92986095</v>
      </c>
      <c r="I38" s="294"/>
      <c r="J38" s="272"/>
      <c r="K38" s="272"/>
      <c r="L38" s="277"/>
      <c r="M38" s="277"/>
      <c r="N38" s="278"/>
    </row>
    <row r="39" spans="1:14" s="13" customFormat="1" ht="26.25" customHeight="1" x14ac:dyDescent="0.4">
      <c r="A39" s="284" t="s">
        <v>67</v>
      </c>
      <c r="B39" s="464">
        <v>1</v>
      </c>
      <c r="C39" s="295">
        <v>2</v>
      </c>
      <c r="D39" s="466">
        <v>143819663</v>
      </c>
      <c r="E39" s="297">
        <f>IF(ISBLANK(D39),"-",$D$48/$D$45*D39)</f>
        <v>120480711.7945423</v>
      </c>
      <c r="F39" s="469">
        <v>148408629</v>
      </c>
      <c r="G39" s="298">
        <f>IF(ISBLANK(F39),"-",$D$48/$F$45*F39)</f>
        <v>124130827.03732564</v>
      </c>
      <c r="I39" s="552">
        <f>ABS((F43/D43*D42)-F42)/D42</f>
        <v>3.5357247838297481E-2</v>
      </c>
      <c r="J39" s="272"/>
      <c r="K39" s="272"/>
      <c r="L39" s="277"/>
      <c r="M39" s="277"/>
      <c r="N39" s="278"/>
    </row>
    <row r="40" spans="1:14" ht="26.25" customHeight="1" x14ac:dyDescent="0.4">
      <c r="A40" s="284" t="s">
        <v>68</v>
      </c>
      <c r="B40" s="464">
        <v>1</v>
      </c>
      <c r="C40" s="295">
        <v>3</v>
      </c>
      <c r="D40" s="466">
        <v>143343393</v>
      </c>
      <c r="E40" s="297">
        <f>IF(ISBLANK(D40),"-",$D$48/$D$45*D40)</f>
        <v>120081730.54671122</v>
      </c>
      <c r="F40" s="469">
        <v>149434557</v>
      </c>
      <c r="G40" s="298">
        <f>IF(ISBLANK(F40),"-",$D$48/$F$45*F40)</f>
        <v>124988926.00353028</v>
      </c>
      <c r="I40" s="552"/>
      <c r="L40" s="277"/>
      <c r="M40" s="277"/>
      <c r="N40" s="299"/>
    </row>
    <row r="41" spans="1:14" ht="27" customHeight="1" thickBot="1" x14ac:dyDescent="0.45">
      <c r="A41" s="284" t="s">
        <v>69</v>
      </c>
      <c r="B41" s="464">
        <v>1</v>
      </c>
      <c r="C41" s="300">
        <v>4</v>
      </c>
      <c r="D41" s="467"/>
      <c r="E41" s="301" t="str">
        <f>IF(ISBLANK(D41),"-",$D$48/$D$45*D41)</f>
        <v>-</v>
      </c>
      <c r="F41" s="470"/>
      <c r="G41" s="302" t="str">
        <f>IF(ISBLANK(F41),"-",$D$48/$F$45*F41)</f>
        <v>-</v>
      </c>
      <c r="I41" s="303"/>
      <c r="L41" s="277"/>
      <c r="M41" s="277"/>
      <c r="N41" s="299"/>
    </row>
    <row r="42" spans="1:14" ht="27" customHeight="1" thickBot="1" x14ac:dyDescent="0.45">
      <c r="A42" s="284" t="s">
        <v>70</v>
      </c>
      <c r="B42" s="464">
        <v>1</v>
      </c>
      <c r="C42" s="304" t="s">
        <v>71</v>
      </c>
      <c r="D42" s="305">
        <f>AVERAGE(D38:D41)</f>
        <v>143592350.66666666</v>
      </c>
      <c r="E42" s="306">
        <f>AVERAGE(E38:E41)</f>
        <v>120290287.54275082</v>
      </c>
      <c r="F42" s="305">
        <f>AVERAGE(F38:F41)</f>
        <v>148893978</v>
      </c>
      <c r="G42" s="307">
        <f>AVERAGE(G38:G41)</f>
        <v>124536778.99023895</v>
      </c>
      <c r="H42" s="308"/>
    </row>
    <row r="43" spans="1:14" ht="26.25" customHeight="1" x14ac:dyDescent="0.4">
      <c r="A43" s="284" t="s">
        <v>72</v>
      </c>
      <c r="B43" s="464">
        <v>1</v>
      </c>
      <c r="C43" s="309" t="s">
        <v>73</v>
      </c>
      <c r="D43" s="471">
        <v>19.18</v>
      </c>
      <c r="E43" s="299"/>
      <c r="F43" s="472">
        <v>19.21</v>
      </c>
      <c r="H43" s="308"/>
    </row>
    <row r="44" spans="1:14" ht="26.25" customHeight="1" x14ac:dyDescent="0.4">
      <c r="A44" s="284" t="s">
        <v>74</v>
      </c>
      <c r="B44" s="464">
        <v>1</v>
      </c>
      <c r="C44" s="310" t="s">
        <v>75</v>
      </c>
      <c r="D44" s="311">
        <f>D43*$B$34</f>
        <v>19.18</v>
      </c>
      <c r="E44" s="312"/>
      <c r="F44" s="311">
        <f>F43*$B$34</f>
        <v>19.21</v>
      </c>
      <c r="H44" s="308"/>
    </row>
    <row r="45" spans="1:14" ht="19.5" customHeight="1" thickBot="1" x14ac:dyDescent="0.35">
      <c r="A45" s="284" t="s">
        <v>76</v>
      </c>
      <c r="B45" s="313">
        <f>(B44/B43)*(B42/B41)*(B40/B39)*(B38/B37)*B36</f>
        <v>100</v>
      </c>
      <c r="C45" s="310" t="s">
        <v>77</v>
      </c>
      <c r="D45" s="314">
        <f>D44*$B$30/100</f>
        <v>19.099443999999998</v>
      </c>
      <c r="E45" s="315"/>
      <c r="F45" s="314">
        <f>F44*$B$30/100</f>
        <v>19.129318000000001</v>
      </c>
      <c r="H45" s="308"/>
    </row>
    <row r="46" spans="1:14" ht="19.5" customHeight="1" thickBot="1" x14ac:dyDescent="0.35">
      <c r="A46" s="548" t="s">
        <v>78</v>
      </c>
      <c r="B46" s="549"/>
      <c r="C46" s="310" t="s">
        <v>79</v>
      </c>
      <c r="D46" s="316">
        <f>D45/$B$45</f>
        <v>0.19099443999999999</v>
      </c>
      <c r="E46" s="317"/>
      <c r="F46" s="318">
        <f>F45/$B$45</f>
        <v>0.19129318000000001</v>
      </c>
      <c r="H46" s="308"/>
    </row>
    <row r="47" spans="1:14" ht="27" customHeight="1" thickBot="1" x14ac:dyDescent="0.45">
      <c r="A47" s="550"/>
      <c r="B47" s="551"/>
      <c r="C47" s="319" t="s">
        <v>80</v>
      </c>
      <c r="D47" s="473">
        <v>0.16</v>
      </c>
      <c r="E47" s="320"/>
      <c r="F47" s="317"/>
      <c r="H47" s="308"/>
    </row>
    <row r="48" spans="1:14" ht="18.75" x14ac:dyDescent="0.3">
      <c r="C48" s="321" t="s">
        <v>81</v>
      </c>
      <c r="D48" s="314">
        <f>D47*$B$45</f>
        <v>16</v>
      </c>
      <c r="F48" s="322"/>
      <c r="H48" s="308"/>
    </row>
    <row r="49" spans="1:12" ht="19.5" customHeight="1" thickBot="1" x14ac:dyDescent="0.35">
      <c r="C49" s="323" t="s">
        <v>82</v>
      </c>
      <c r="D49" s="324">
        <f>D48/B34</f>
        <v>16</v>
      </c>
      <c r="F49" s="322"/>
      <c r="H49" s="308"/>
    </row>
    <row r="50" spans="1:12" ht="18.75" x14ac:dyDescent="0.3">
      <c r="C50" s="282" t="s">
        <v>83</v>
      </c>
      <c r="D50" s="325">
        <f>AVERAGE(E38:E41,G38:G41)</f>
        <v>122413533.26649489</v>
      </c>
      <c r="F50" s="326"/>
      <c r="H50" s="308"/>
    </row>
    <row r="51" spans="1:12" ht="18.75" x14ac:dyDescent="0.3">
      <c r="C51" s="284" t="s">
        <v>84</v>
      </c>
      <c r="D51" s="327">
        <f>STDEV(E38:E41,G38:G41)/D50</f>
        <v>1.9158247034240222E-2</v>
      </c>
      <c r="F51" s="326"/>
      <c r="H51" s="308"/>
    </row>
    <row r="52" spans="1:12" ht="19.5" customHeight="1" x14ac:dyDescent="0.3">
      <c r="C52" s="328" t="s">
        <v>20</v>
      </c>
      <c r="D52" s="329">
        <f>COUNT(E38:E41,G38:G41)</f>
        <v>6</v>
      </c>
      <c r="F52" s="326"/>
    </row>
    <row r="54" spans="1:12" ht="18.75" x14ac:dyDescent="0.3">
      <c r="A54" s="330" t="s">
        <v>1</v>
      </c>
      <c r="B54" s="331" t="s">
        <v>85</v>
      </c>
    </row>
    <row r="55" spans="1:12" ht="18.75" x14ac:dyDescent="0.3">
      <c r="A55" s="261" t="s">
        <v>86</v>
      </c>
      <c r="B55" s="332" t="str">
        <f>B21</f>
        <v>Sulphamethoxazole 800mg Trimethoprim 160 per tablets</v>
      </c>
    </row>
    <row r="56" spans="1:12" ht="26.25" customHeight="1" x14ac:dyDescent="0.4">
      <c r="A56" s="333" t="s">
        <v>87</v>
      </c>
      <c r="B56" s="334">
        <v>800</v>
      </c>
      <c r="C56" s="261" t="str">
        <f>B20</f>
        <v>Sulfamethoxazole BP &amp; Trimethoprim BP</v>
      </c>
      <c r="H56" s="335"/>
    </row>
    <row r="57" spans="1:12" ht="18.75" x14ac:dyDescent="0.3">
      <c r="A57" s="332" t="s">
        <v>88</v>
      </c>
      <c r="B57" s="421">
        <f>Uniformity!C46</f>
        <v>1035.0360000000001</v>
      </c>
      <c r="H57" s="335"/>
    </row>
    <row r="58" spans="1:12" ht="19.5" customHeight="1" thickBot="1" x14ac:dyDescent="0.35">
      <c r="H58" s="335"/>
    </row>
    <row r="59" spans="1:12" s="13" customFormat="1" ht="27" customHeight="1" thickBot="1" x14ac:dyDescent="0.45">
      <c r="A59" s="282" t="s">
        <v>89</v>
      </c>
      <c r="B59" s="474">
        <v>100</v>
      </c>
      <c r="C59" s="261"/>
      <c r="D59" s="336" t="s">
        <v>90</v>
      </c>
      <c r="E59" s="337" t="s">
        <v>62</v>
      </c>
      <c r="F59" s="337" t="s">
        <v>63</v>
      </c>
      <c r="G59" s="337" t="s">
        <v>91</v>
      </c>
      <c r="H59" s="286" t="s">
        <v>92</v>
      </c>
      <c r="L59" s="272"/>
    </row>
    <row r="60" spans="1:12" s="13" customFormat="1" ht="26.25" customHeight="1" x14ac:dyDescent="0.4">
      <c r="A60" s="284" t="s">
        <v>93</v>
      </c>
      <c r="B60" s="475">
        <v>5</v>
      </c>
      <c r="C60" s="553" t="s">
        <v>94</v>
      </c>
      <c r="D60" s="556">
        <v>212.53</v>
      </c>
      <c r="E60" s="338">
        <v>1</v>
      </c>
      <c r="F60" s="339">
        <v>120894245</v>
      </c>
      <c r="G60" s="422">
        <f>IF(ISBLANK(F60),"-",(F60/$D$50*$D$47*$B$68)*($B$57/$D$60))</f>
        <v>769.54033831106278</v>
      </c>
      <c r="H60" s="340">
        <f t="shared" ref="H60:H71" si="0">IF(ISBLANK(F60),"-",G60/$B$56)</f>
        <v>0.96192542288882843</v>
      </c>
      <c r="L60" s="272"/>
    </row>
    <row r="61" spans="1:12" s="13" customFormat="1" ht="26.25" customHeight="1" x14ac:dyDescent="0.4">
      <c r="A61" s="284" t="s">
        <v>95</v>
      </c>
      <c r="B61" s="475">
        <v>50</v>
      </c>
      <c r="C61" s="554"/>
      <c r="D61" s="557"/>
      <c r="E61" s="341">
        <v>2</v>
      </c>
      <c r="F61" s="296">
        <v>120619331</v>
      </c>
      <c r="G61" s="423">
        <f>IF(ISBLANK(F61),"-",(F61/$D$50*$D$47*$B$68)*($B$57/$D$60))</f>
        <v>767.79040048262073</v>
      </c>
      <c r="H61" s="342">
        <f t="shared" si="0"/>
        <v>0.95973800060327585</v>
      </c>
      <c r="L61" s="272"/>
    </row>
    <row r="62" spans="1:12" s="13" customFormat="1" ht="26.25" customHeight="1" x14ac:dyDescent="0.4">
      <c r="A62" s="284" t="s">
        <v>96</v>
      </c>
      <c r="B62" s="475">
        <v>1</v>
      </c>
      <c r="C62" s="554"/>
      <c r="D62" s="557"/>
      <c r="E62" s="341">
        <v>3</v>
      </c>
      <c r="F62" s="343">
        <v>120340008</v>
      </c>
      <c r="G62" s="423">
        <f>IF(ISBLANK(F62),"-",(F62/$D$50*$D$47*$B$68)*($B$57/$D$60))</f>
        <v>766.0123976015235</v>
      </c>
      <c r="H62" s="342">
        <f t="shared" si="0"/>
        <v>0.95751549700190441</v>
      </c>
      <c r="L62" s="272"/>
    </row>
    <row r="63" spans="1:12" ht="27" customHeight="1" thickBot="1" x14ac:dyDescent="0.45">
      <c r="A63" s="284" t="s">
        <v>97</v>
      </c>
      <c r="B63" s="475">
        <v>1</v>
      </c>
      <c r="C63" s="564"/>
      <c r="D63" s="558"/>
      <c r="E63" s="344">
        <v>4</v>
      </c>
      <c r="F63" s="345"/>
      <c r="G63" s="423" t="str">
        <f>IF(ISBLANK(F63),"-",(F63/$D$50*$D$47*$B$68)*($B$57/$D$60))</f>
        <v>-</v>
      </c>
      <c r="H63" s="342" t="str">
        <f t="shared" si="0"/>
        <v>-</v>
      </c>
    </row>
    <row r="64" spans="1:12" ht="26.25" customHeight="1" x14ac:dyDescent="0.4">
      <c r="A64" s="284" t="s">
        <v>98</v>
      </c>
      <c r="B64" s="475">
        <v>1</v>
      </c>
      <c r="C64" s="553" t="s">
        <v>99</v>
      </c>
      <c r="D64" s="556">
        <v>237.08</v>
      </c>
      <c r="E64" s="338">
        <v>1</v>
      </c>
      <c r="F64" s="339">
        <v>135209334</v>
      </c>
      <c r="G64" s="424">
        <f>IF(ISBLANK(F64),"-",(F64/$D$50*$D$47*$B$68)*($B$57/$D$64))</f>
        <v>771.53877967574851</v>
      </c>
      <c r="H64" s="346">
        <f t="shared" si="0"/>
        <v>0.96442347459468569</v>
      </c>
    </row>
    <row r="65" spans="1:8" ht="26.25" customHeight="1" x14ac:dyDescent="0.4">
      <c r="A65" s="284" t="s">
        <v>100</v>
      </c>
      <c r="B65" s="475">
        <v>1</v>
      </c>
      <c r="C65" s="554"/>
      <c r="D65" s="557"/>
      <c r="E65" s="341">
        <v>2</v>
      </c>
      <c r="F65" s="296">
        <v>135475596</v>
      </c>
      <c r="G65" s="425">
        <f>IF(ISBLANK(F65),"-",(F65/$D$50*$D$47*$B$68)*($B$57/$D$64))</f>
        <v>773.05813823241465</v>
      </c>
      <c r="H65" s="347">
        <f t="shared" si="0"/>
        <v>0.96632267279051831</v>
      </c>
    </row>
    <row r="66" spans="1:8" ht="26.25" customHeight="1" x14ac:dyDescent="0.4">
      <c r="A66" s="284" t="s">
        <v>101</v>
      </c>
      <c r="B66" s="475">
        <v>1</v>
      </c>
      <c r="C66" s="554"/>
      <c r="D66" s="557"/>
      <c r="E66" s="341">
        <v>3</v>
      </c>
      <c r="F66" s="296">
        <v>134952326</v>
      </c>
      <c r="G66" s="425">
        <f>IF(ISBLANK(F66),"-",(F66/$D$50*$D$47*$B$68)*($B$57/$D$64))</f>
        <v>770.07222679200379</v>
      </c>
      <c r="H66" s="347">
        <f t="shared" si="0"/>
        <v>0.96259028349000475</v>
      </c>
    </row>
    <row r="67" spans="1:8" ht="27" customHeight="1" thickBot="1" x14ac:dyDescent="0.45">
      <c r="A67" s="284" t="s">
        <v>102</v>
      </c>
      <c r="B67" s="475">
        <v>1</v>
      </c>
      <c r="C67" s="564"/>
      <c r="D67" s="558"/>
      <c r="E67" s="344">
        <v>4</v>
      </c>
      <c r="F67" s="345"/>
      <c r="G67" s="426" t="str">
        <f>IF(ISBLANK(F67),"-",(F67/$D$50*$D$47*$B$68)*($B$57/$D$64))</f>
        <v>-</v>
      </c>
      <c r="H67" s="348" t="str">
        <f t="shared" si="0"/>
        <v>-</v>
      </c>
    </row>
    <row r="68" spans="1:8" ht="26.25" customHeight="1" x14ac:dyDescent="0.4">
      <c r="A68" s="284" t="s">
        <v>103</v>
      </c>
      <c r="B68" s="349">
        <f>(B67/B66)*(B65/B64)*(B63/B62)*(B61/B60)*B59</f>
        <v>1000</v>
      </c>
      <c r="C68" s="553" t="s">
        <v>104</v>
      </c>
      <c r="D68" s="556">
        <v>230.49</v>
      </c>
      <c r="E68" s="338">
        <v>1</v>
      </c>
      <c r="F68" s="339">
        <v>131371120</v>
      </c>
      <c r="G68" s="424">
        <f>IF(ISBLANK(F68),"-",(F68/$D$50*$D$47*$B$68)*($B$57/$D$68))</f>
        <v>771.07002304089792</v>
      </c>
      <c r="H68" s="342">
        <f t="shared" si="0"/>
        <v>0.96383752880112239</v>
      </c>
    </row>
    <row r="69" spans="1:8" ht="27" customHeight="1" thickBot="1" x14ac:dyDescent="0.45">
      <c r="A69" s="328" t="s">
        <v>105</v>
      </c>
      <c r="B69" s="350">
        <f>(D47*B68)/B56*B57</f>
        <v>207.00720000000001</v>
      </c>
      <c r="C69" s="554"/>
      <c r="D69" s="557"/>
      <c r="E69" s="341">
        <v>2</v>
      </c>
      <c r="F69" s="296">
        <v>131683204</v>
      </c>
      <c r="G69" s="425">
        <f>IF(ISBLANK(F69),"-",(F69/$D$50*$D$47*$B$68)*($B$57/$D$68))</f>
        <v>772.90176975258544</v>
      </c>
      <c r="H69" s="342">
        <f t="shared" si="0"/>
        <v>0.96612721219073183</v>
      </c>
    </row>
    <row r="70" spans="1:8" ht="26.25" customHeight="1" x14ac:dyDescent="0.4">
      <c r="A70" s="559" t="s">
        <v>78</v>
      </c>
      <c r="B70" s="560"/>
      <c r="C70" s="554"/>
      <c r="D70" s="557"/>
      <c r="E70" s="341">
        <v>3</v>
      </c>
      <c r="F70" s="296">
        <v>131067794</v>
      </c>
      <c r="G70" s="425">
        <f>IF(ISBLANK(F70),"-",(F70/$D$50*$D$47*$B$68)*($B$57/$D$68))</f>
        <v>769.28968055916471</v>
      </c>
      <c r="H70" s="342">
        <f t="shared" si="0"/>
        <v>0.96161210069895586</v>
      </c>
    </row>
    <row r="71" spans="1:8" ht="27" customHeight="1" x14ac:dyDescent="0.4">
      <c r="A71" s="561"/>
      <c r="B71" s="562"/>
      <c r="C71" s="555"/>
      <c r="D71" s="558"/>
      <c r="E71" s="344">
        <v>4</v>
      </c>
      <c r="F71" s="345"/>
      <c r="G71" s="426" t="str">
        <f>IF(ISBLANK(F71),"-",(F71/$D$50*$D$47*$B$68)*($B$57/$D$68))</f>
        <v>-</v>
      </c>
      <c r="H71" s="351" t="str">
        <f t="shared" si="0"/>
        <v>-</v>
      </c>
    </row>
    <row r="72" spans="1:8" ht="26.25" customHeight="1" x14ac:dyDescent="0.4">
      <c r="A72" s="352"/>
      <c r="B72" s="352"/>
      <c r="C72" s="352"/>
      <c r="D72" s="352"/>
      <c r="E72" s="352"/>
      <c r="F72" s="354" t="s">
        <v>71</v>
      </c>
      <c r="G72" s="431">
        <f>AVERAGE(G60:G71)</f>
        <v>770.14152827200223</v>
      </c>
      <c r="H72" s="355">
        <f>AVERAGE(H60:H71)</f>
        <v>0.96267691034000313</v>
      </c>
    </row>
    <row r="73" spans="1:8" ht="26.25" customHeight="1" x14ac:dyDescent="0.4">
      <c r="C73" s="352"/>
      <c r="D73" s="352"/>
      <c r="E73" s="352"/>
      <c r="F73" s="356" t="s">
        <v>84</v>
      </c>
      <c r="G73" s="427">
        <f>STDEV(G60:G71)/G72</f>
        <v>2.9966565160399225E-3</v>
      </c>
      <c r="H73" s="427">
        <f>STDEV(H60:H71)/H72</f>
        <v>2.9966565160399316E-3</v>
      </c>
    </row>
    <row r="74" spans="1:8" ht="27" customHeight="1" x14ac:dyDescent="0.4">
      <c r="A74" s="352"/>
      <c r="B74" s="352"/>
      <c r="C74" s="353"/>
      <c r="D74" s="353"/>
      <c r="E74" s="357"/>
      <c r="F74" s="358" t="s">
        <v>20</v>
      </c>
      <c r="G74" s="359">
        <f>COUNT(G60:G71)</f>
        <v>9</v>
      </c>
      <c r="H74" s="359">
        <f>COUNT(H60:H71)</f>
        <v>9</v>
      </c>
    </row>
    <row r="76" spans="1:8" ht="26.25" customHeight="1" x14ac:dyDescent="0.4">
      <c r="A76" s="270" t="s">
        <v>106</v>
      </c>
      <c r="B76" s="360" t="s">
        <v>107</v>
      </c>
      <c r="C76" s="563" t="str">
        <f>B20</f>
        <v>Sulfamethoxazole BP &amp; Trimethoprim BP</v>
      </c>
      <c r="D76" s="563"/>
      <c r="E76" s="361" t="s">
        <v>108</v>
      </c>
      <c r="F76" s="361"/>
      <c r="G76" s="362">
        <f>H72</f>
        <v>0.96267691034000313</v>
      </c>
      <c r="H76" s="363"/>
    </row>
    <row r="77" spans="1:8" ht="18.75" x14ac:dyDescent="0.3">
      <c r="A77" s="269" t="s">
        <v>109</v>
      </c>
      <c r="B77" s="269" t="s">
        <v>110</v>
      </c>
    </row>
    <row r="78" spans="1:8" ht="18.75" x14ac:dyDescent="0.3">
      <c r="A78" s="269"/>
      <c r="B78" s="269"/>
    </row>
    <row r="79" spans="1:8" ht="26.25" customHeight="1" x14ac:dyDescent="0.4">
      <c r="A79" s="270" t="s">
        <v>4</v>
      </c>
      <c r="B79" s="570" t="s">
        <v>125</v>
      </c>
      <c r="C79" s="570"/>
    </row>
    <row r="80" spans="1:8" ht="26.25" customHeight="1" x14ac:dyDescent="0.4">
      <c r="A80" s="271" t="s">
        <v>48</v>
      </c>
      <c r="B80" s="570" t="s">
        <v>128</v>
      </c>
      <c r="C80" s="570"/>
    </row>
    <row r="81" spans="1:12" ht="27" customHeight="1" thickBot="1" x14ac:dyDescent="0.45">
      <c r="A81" s="271" t="s">
        <v>6</v>
      </c>
      <c r="B81" s="476">
        <v>99.58</v>
      </c>
    </row>
    <row r="82" spans="1:12" s="13" customFormat="1" ht="27" customHeight="1" thickBot="1" x14ac:dyDescent="0.45">
      <c r="A82" s="271" t="s">
        <v>49</v>
      </c>
      <c r="B82" s="477">
        <v>0</v>
      </c>
      <c r="C82" s="535" t="s">
        <v>50</v>
      </c>
      <c r="D82" s="536"/>
      <c r="E82" s="536"/>
      <c r="F82" s="536"/>
      <c r="G82" s="537"/>
      <c r="I82" s="272"/>
      <c r="J82" s="272"/>
      <c r="K82" s="272"/>
      <c r="L82" s="272"/>
    </row>
    <row r="83" spans="1:12" s="13" customFormat="1" ht="19.5" customHeight="1" thickBot="1" x14ac:dyDescent="0.35">
      <c r="A83" s="271" t="s">
        <v>51</v>
      </c>
      <c r="B83" s="273">
        <f>B81-B82</f>
        <v>99.58</v>
      </c>
      <c r="C83" s="274"/>
      <c r="D83" s="274"/>
      <c r="E83" s="274"/>
      <c r="F83" s="274"/>
      <c r="G83" s="275"/>
      <c r="I83" s="272"/>
      <c r="J83" s="272"/>
      <c r="K83" s="272"/>
      <c r="L83" s="272"/>
    </row>
    <row r="84" spans="1:12" s="13" customFormat="1" ht="27" customHeight="1" thickBot="1" x14ac:dyDescent="0.45">
      <c r="A84" s="271" t="s">
        <v>52</v>
      </c>
      <c r="B84" s="276">
        <v>1</v>
      </c>
      <c r="C84" s="538" t="s">
        <v>111</v>
      </c>
      <c r="D84" s="539"/>
      <c r="E84" s="539"/>
      <c r="F84" s="539"/>
      <c r="G84" s="539"/>
      <c r="H84" s="540"/>
      <c r="I84" s="272"/>
      <c r="J84" s="272"/>
      <c r="K84" s="272"/>
      <c r="L84" s="272"/>
    </row>
    <row r="85" spans="1:12" s="13" customFormat="1" ht="27" customHeight="1" x14ac:dyDescent="0.4">
      <c r="A85" s="271" t="s">
        <v>54</v>
      </c>
      <c r="B85" s="276">
        <v>1</v>
      </c>
      <c r="C85" s="538" t="s">
        <v>112</v>
      </c>
      <c r="D85" s="539"/>
      <c r="E85" s="539"/>
      <c r="F85" s="539"/>
      <c r="G85" s="539"/>
      <c r="H85" s="540"/>
      <c r="I85" s="272"/>
      <c r="J85" s="272"/>
      <c r="K85" s="272"/>
      <c r="L85" s="272"/>
    </row>
    <row r="86" spans="1:12" s="13" customFormat="1" ht="18.75" x14ac:dyDescent="0.3">
      <c r="A86" s="271"/>
      <c r="B86" s="279"/>
      <c r="C86" s="280"/>
      <c r="D86" s="280"/>
      <c r="E86" s="280"/>
      <c r="F86" s="280"/>
      <c r="G86" s="280"/>
      <c r="H86" s="280"/>
      <c r="I86" s="272"/>
      <c r="J86" s="272"/>
      <c r="K86" s="272"/>
      <c r="L86" s="272"/>
    </row>
    <row r="87" spans="1:12" s="13" customFormat="1" ht="18.75" x14ac:dyDescent="0.3">
      <c r="A87" s="271" t="s">
        <v>56</v>
      </c>
      <c r="B87" s="281">
        <f>B84/B85</f>
        <v>1</v>
      </c>
      <c r="C87" s="261" t="s">
        <v>57</v>
      </c>
      <c r="D87" s="261"/>
      <c r="E87" s="261"/>
      <c r="F87" s="261"/>
      <c r="G87" s="261"/>
      <c r="I87" s="272"/>
      <c r="J87" s="272"/>
      <c r="K87" s="272"/>
      <c r="L87" s="272"/>
    </row>
    <row r="88" spans="1:12" ht="19.5" customHeight="1" thickBot="1" x14ac:dyDescent="0.35">
      <c r="A88" s="269"/>
      <c r="B88" s="269"/>
    </row>
    <row r="89" spans="1:12" ht="27" customHeight="1" thickBot="1" x14ac:dyDescent="0.45">
      <c r="A89" s="282" t="s">
        <v>58</v>
      </c>
      <c r="B89" s="479">
        <v>50</v>
      </c>
      <c r="D89" s="364" t="s">
        <v>59</v>
      </c>
      <c r="E89" s="365"/>
      <c r="F89" s="541" t="s">
        <v>60</v>
      </c>
      <c r="G89" s="543"/>
    </row>
    <row r="90" spans="1:12" ht="27" customHeight="1" thickBot="1" x14ac:dyDescent="0.45">
      <c r="A90" s="284" t="s">
        <v>61</v>
      </c>
      <c r="B90" s="480">
        <v>10</v>
      </c>
      <c r="C90" s="366" t="s">
        <v>62</v>
      </c>
      <c r="D90" s="287" t="s">
        <v>63</v>
      </c>
      <c r="E90" s="288" t="s">
        <v>64</v>
      </c>
      <c r="F90" s="287" t="s">
        <v>63</v>
      </c>
      <c r="G90" s="367" t="s">
        <v>64</v>
      </c>
      <c r="I90" s="290" t="s">
        <v>65</v>
      </c>
    </row>
    <row r="91" spans="1:12" ht="26.25" customHeight="1" x14ac:dyDescent="0.4">
      <c r="A91" s="284" t="s">
        <v>66</v>
      </c>
      <c r="B91" s="480">
        <v>50</v>
      </c>
      <c r="C91" s="368">
        <v>1</v>
      </c>
      <c r="D91" s="481">
        <v>114211386</v>
      </c>
      <c r="E91" s="292">
        <f>IF(ISBLANK(D91),"-",$D$101/$D$98*D91)</f>
        <v>104093750.82924348</v>
      </c>
      <c r="F91" s="484">
        <v>87837048</v>
      </c>
      <c r="G91" s="293">
        <f>IF(ISBLANK(F91),"-",$D$101/$F$98*F91)</f>
        <v>104458678.48801897</v>
      </c>
      <c r="I91" s="294"/>
    </row>
    <row r="92" spans="1:12" ht="26.25" customHeight="1" x14ac:dyDescent="0.4">
      <c r="A92" s="284" t="s">
        <v>67</v>
      </c>
      <c r="B92" s="480">
        <v>1</v>
      </c>
      <c r="C92" s="353">
        <v>2</v>
      </c>
      <c r="D92" s="482">
        <v>116052689</v>
      </c>
      <c r="E92" s="297">
        <f>IF(ISBLANK(D92),"-",$D$101/$D$98*D92)</f>
        <v>105771938.46355814</v>
      </c>
      <c r="F92" s="485">
        <v>88443545</v>
      </c>
      <c r="G92" s="298">
        <f>IF(ISBLANK(F92),"-",$D$101/$F$98*F92)</f>
        <v>105179944.47508799</v>
      </c>
      <c r="I92" s="552">
        <f>ABS((F96/D96*D95)-F95)/D95</f>
        <v>7.8524935774761193E-3</v>
      </c>
    </row>
    <row r="93" spans="1:12" ht="26.25" customHeight="1" x14ac:dyDescent="0.4">
      <c r="A93" s="284" t="s">
        <v>68</v>
      </c>
      <c r="B93" s="480">
        <v>1</v>
      </c>
      <c r="C93" s="353">
        <v>3</v>
      </c>
      <c r="D93" s="482">
        <v>114323278</v>
      </c>
      <c r="E93" s="297">
        <f>IF(ISBLANK(D93),"-",$D$101/$D$98*D93)</f>
        <v>104195730.66133995</v>
      </c>
      <c r="F93" s="485">
        <v>90512746</v>
      </c>
      <c r="G93" s="298">
        <f>IF(ISBLANK(F93),"-",$D$101/$F$98*F93)</f>
        <v>107640705.70178685</v>
      </c>
      <c r="I93" s="552"/>
    </row>
    <row r="94" spans="1:12" ht="27" customHeight="1" thickBot="1" x14ac:dyDescent="0.45">
      <c r="A94" s="284" t="s">
        <v>69</v>
      </c>
      <c r="B94" s="480">
        <v>1</v>
      </c>
      <c r="C94" s="369">
        <v>4</v>
      </c>
      <c r="D94" s="483"/>
      <c r="E94" s="301" t="str">
        <f>IF(ISBLANK(D94),"-",$D$101/$D$98*D94)</f>
        <v>-</v>
      </c>
      <c r="F94" s="486"/>
      <c r="G94" s="302" t="str">
        <f>IF(ISBLANK(F94),"-",$D$101/$F$98*F94)</f>
        <v>-</v>
      </c>
      <c r="I94" s="303"/>
    </row>
    <row r="95" spans="1:12" ht="27" customHeight="1" thickBot="1" x14ac:dyDescent="0.45">
      <c r="A95" s="284" t="s">
        <v>70</v>
      </c>
      <c r="B95" s="480">
        <v>1</v>
      </c>
      <c r="C95" s="370" t="s">
        <v>71</v>
      </c>
      <c r="D95" s="371">
        <f>AVERAGE(D91:D94)</f>
        <v>114862451</v>
      </c>
      <c r="E95" s="306">
        <f>AVERAGE(E91:E94)</f>
        <v>104687139.98471385</v>
      </c>
      <c r="F95" s="372">
        <f>AVERAGE(F91:F94)</f>
        <v>88931113</v>
      </c>
      <c r="G95" s="373">
        <f>AVERAGE(G91:G94)</f>
        <v>105759776.22163127</v>
      </c>
    </row>
    <row r="96" spans="1:12" ht="26.25" customHeight="1" x14ac:dyDescent="0.4">
      <c r="A96" s="284" t="s">
        <v>72</v>
      </c>
      <c r="B96" s="478">
        <v>1</v>
      </c>
      <c r="C96" s="374" t="s">
        <v>113</v>
      </c>
      <c r="D96" s="487">
        <v>48.97</v>
      </c>
      <c r="E96" s="299"/>
      <c r="F96" s="488">
        <v>37.53</v>
      </c>
    </row>
    <row r="97" spans="1:10" ht="26.25" customHeight="1" x14ac:dyDescent="0.4">
      <c r="A97" s="284" t="s">
        <v>74</v>
      </c>
      <c r="B97" s="478">
        <v>1</v>
      </c>
      <c r="C97" s="375" t="s">
        <v>114</v>
      </c>
      <c r="D97" s="376">
        <f>D96*$B$87</f>
        <v>48.97</v>
      </c>
      <c r="E97" s="312"/>
      <c r="F97" s="311">
        <f>F96*$B$87</f>
        <v>37.53</v>
      </c>
    </row>
    <row r="98" spans="1:10" ht="19.5" customHeight="1" thickBot="1" x14ac:dyDescent="0.35">
      <c r="A98" s="284" t="s">
        <v>76</v>
      </c>
      <c r="B98" s="377">
        <f>(B97/B96)*(B95/B94)*(B93/B92)*(B91/B90)*B89</f>
        <v>250</v>
      </c>
      <c r="C98" s="375" t="s">
        <v>115</v>
      </c>
      <c r="D98" s="378">
        <f>D97*$B$83/100</f>
        <v>48.764326000000004</v>
      </c>
      <c r="E98" s="315"/>
      <c r="F98" s="314">
        <f>F97*$B$83/100</f>
        <v>37.372374000000001</v>
      </c>
    </row>
    <row r="99" spans="1:10" ht="19.5" customHeight="1" thickBot="1" x14ac:dyDescent="0.35">
      <c r="A99" s="548" t="s">
        <v>78</v>
      </c>
      <c r="B99" s="566"/>
      <c r="C99" s="375" t="s">
        <v>116</v>
      </c>
      <c r="D99" s="379">
        <f>D98/$B$98</f>
        <v>0.19505730400000001</v>
      </c>
      <c r="E99" s="315"/>
      <c r="F99" s="318">
        <f>F98/$B$98</f>
        <v>0.149489496</v>
      </c>
      <c r="G99" s="380"/>
      <c r="H99" s="308"/>
    </row>
    <row r="100" spans="1:10" ht="19.5" customHeight="1" x14ac:dyDescent="0.3">
      <c r="A100" s="550"/>
      <c r="B100" s="567"/>
      <c r="C100" s="375" t="s">
        <v>80</v>
      </c>
      <c r="D100" s="381">
        <f>$B$56/$B$116</f>
        <v>0.17777777777777778</v>
      </c>
      <c r="F100" s="322"/>
      <c r="G100" s="382"/>
      <c r="H100" s="308"/>
    </row>
    <row r="101" spans="1:10" ht="18.75" x14ac:dyDescent="0.3">
      <c r="C101" s="375" t="s">
        <v>81</v>
      </c>
      <c r="D101" s="376">
        <f>D100*$B$98</f>
        <v>44.444444444444443</v>
      </c>
      <c r="F101" s="322"/>
      <c r="G101" s="380"/>
      <c r="H101" s="308"/>
    </row>
    <row r="102" spans="1:10" ht="19.5" customHeight="1" x14ac:dyDescent="0.3">
      <c r="C102" s="383" t="s">
        <v>82</v>
      </c>
      <c r="D102" s="384">
        <f>D101/B34</f>
        <v>44.444444444444443</v>
      </c>
      <c r="F102" s="326"/>
      <c r="G102" s="380"/>
      <c r="H102" s="308"/>
      <c r="J102" s="385"/>
    </row>
    <row r="103" spans="1:10" ht="18.75" x14ac:dyDescent="0.3">
      <c r="C103" s="386" t="s">
        <v>117</v>
      </c>
      <c r="D103" s="387">
        <f>AVERAGE(E91:E94,G91:G94)</f>
        <v>105223458.10317256</v>
      </c>
      <c r="F103" s="326"/>
      <c r="G103" s="388"/>
      <c r="H103" s="308"/>
      <c r="J103" s="389"/>
    </row>
    <row r="104" spans="1:10" ht="18.75" x14ac:dyDescent="0.3">
      <c r="C104" s="356" t="s">
        <v>84</v>
      </c>
      <c r="D104" s="390">
        <f>STDEV(E91:E94,G91:G94)/D103</f>
        <v>1.2795057885743182E-2</v>
      </c>
      <c r="F104" s="326"/>
      <c r="G104" s="380"/>
      <c r="H104" s="308"/>
      <c r="J104" s="389"/>
    </row>
    <row r="105" spans="1:10" ht="19.5" customHeight="1" x14ac:dyDescent="0.3">
      <c r="C105" s="358" t="s">
        <v>20</v>
      </c>
      <c r="D105" s="391">
        <f>COUNT(E91:E94,G91:G94)</f>
        <v>6</v>
      </c>
      <c r="F105" s="326"/>
      <c r="G105" s="380"/>
      <c r="H105" s="308"/>
      <c r="J105" s="389"/>
    </row>
    <row r="106" spans="1:10" ht="19.5" customHeight="1" x14ac:dyDescent="0.3">
      <c r="A106" s="330"/>
      <c r="B106" s="330"/>
      <c r="C106" s="330"/>
      <c r="D106" s="330"/>
      <c r="E106" s="330"/>
    </row>
    <row r="107" spans="1:10" ht="26.25" customHeight="1" x14ac:dyDescent="0.4">
      <c r="A107" s="282" t="s">
        <v>118</v>
      </c>
      <c r="B107" s="283">
        <v>900</v>
      </c>
      <c r="C107" s="392" t="s">
        <v>119</v>
      </c>
      <c r="D107" s="393" t="s">
        <v>63</v>
      </c>
      <c r="E107" s="394" t="s">
        <v>120</v>
      </c>
      <c r="F107" s="395" t="s">
        <v>121</v>
      </c>
    </row>
    <row r="108" spans="1:10" ht="26.25" customHeight="1" x14ac:dyDescent="0.4">
      <c r="A108" s="284" t="s">
        <v>122</v>
      </c>
      <c r="B108" s="285">
        <v>10</v>
      </c>
      <c r="C108" s="396">
        <v>1</v>
      </c>
      <c r="D108" s="397">
        <v>105486113</v>
      </c>
      <c r="E108" s="428">
        <f t="shared" ref="E108:E113" si="1">IF(ISBLANK(D108),"-",D108/$D$103*$D$100*$B$116)</f>
        <v>801.99693035421751</v>
      </c>
      <c r="F108" s="398">
        <f t="shared" ref="F108:F113" si="2">IF(ISBLANK(D108), "-", E108/$B$56)</f>
        <v>1.002496162942772</v>
      </c>
    </row>
    <row r="109" spans="1:10" ht="26.25" customHeight="1" x14ac:dyDescent="0.4">
      <c r="A109" s="284" t="s">
        <v>95</v>
      </c>
      <c r="B109" s="285">
        <v>50</v>
      </c>
      <c r="C109" s="396">
        <v>2</v>
      </c>
      <c r="D109" s="397">
        <v>105973123</v>
      </c>
      <c r="E109" s="429">
        <f t="shared" si="1"/>
        <v>805.6996028098024</v>
      </c>
      <c r="F109" s="399">
        <f t="shared" si="2"/>
        <v>1.0071245035122529</v>
      </c>
    </row>
    <row r="110" spans="1:10" ht="26.25" customHeight="1" x14ac:dyDescent="0.4">
      <c r="A110" s="284" t="s">
        <v>96</v>
      </c>
      <c r="B110" s="285">
        <v>1</v>
      </c>
      <c r="C110" s="396">
        <v>3</v>
      </c>
      <c r="D110" s="397">
        <v>105264734</v>
      </c>
      <c r="E110" s="429">
        <f t="shared" si="1"/>
        <v>800.31381517065881</v>
      </c>
      <c r="F110" s="399">
        <f t="shared" si="2"/>
        <v>1.0003922689633236</v>
      </c>
    </row>
    <row r="111" spans="1:10" ht="26.25" customHeight="1" x14ac:dyDescent="0.4">
      <c r="A111" s="284" t="s">
        <v>97</v>
      </c>
      <c r="B111" s="285">
        <v>1</v>
      </c>
      <c r="C111" s="396">
        <v>4</v>
      </c>
      <c r="D111" s="397">
        <v>108652141</v>
      </c>
      <c r="E111" s="429">
        <f t="shared" si="1"/>
        <v>826.06782144312797</v>
      </c>
      <c r="F111" s="399">
        <f t="shared" si="2"/>
        <v>1.03258477680391</v>
      </c>
    </row>
    <row r="112" spans="1:10" ht="26.25" customHeight="1" x14ac:dyDescent="0.4">
      <c r="A112" s="284" t="s">
        <v>98</v>
      </c>
      <c r="B112" s="285">
        <v>1</v>
      </c>
      <c r="C112" s="396">
        <v>5</v>
      </c>
      <c r="D112" s="397">
        <v>107723202</v>
      </c>
      <c r="E112" s="429">
        <f t="shared" si="1"/>
        <v>819.00522139750558</v>
      </c>
      <c r="F112" s="399">
        <f t="shared" si="2"/>
        <v>1.023756526746882</v>
      </c>
    </row>
    <row r="113" spans="1:10" ht="26.25" customHeight="1" x14ac:dyDescent="0.4">
      <c r="A113" s="284" t="s">
        <v>100</v>
      </c>
      <c r="B113" s="285">
        <v>1</v>
      </c>
      <c r="C113" s="400">
        <v>6</v>
      </c>
      <c r="D113" s="401">
        <v>105787414</v>
      </c>
      <c r="E113" s="430">
        <f t="shared" si="1"/>
        <v>804.28768190662947</v>
      </c>
      <c r="F113" s="402">
        <f t="shared" si="2"/>
        <v>1.0053596023832869</v>
      </c>
    </row>
    <row r="114" spans="1:10" ht="26.25" customHeight="1" x14ac:dyDescent="0.4">
      <c r="A114" s="284" t="s">
        <v>101</v>
      </c>
      <c r="B114" s="285">
        <v>1</v>
      </c>
      <c r="C114" s="396"/>
      <c r="D114" s="353"/>
      <c r="E114" s="260"/>
      <c r="F114" s="403"/>
    </row>
    <row r="115" spans="1:10" ht="26.25" customHeight="1" x14ac:dyDescent="0.4">
      <c r="A115" s="284" t="s">
        <v>102</v>
      </c>
      <c r="B115" s="285">
        <v>1</v>
      </c>
      <c r="C115" s="396"/>
      <c r="D115" s="404" t="s">
        <v>71</v>
      </c>
      <c r="E115" s="432">
        <f>AVERAGE(E108:E113)</f>
        <v>809.56184551365686</v>
      </c>
      <c r="F115" s="405">
        <f>AVERAGE(F108:F113)</f>
        <v>1.0119523068920713</v>
      </c>
    </row>
    <row r="116" spans="1:10" ht="27" customHeight="1" x14ac:dyDescent="0.4">
      <c r="A116" s="284" t="s">
        <v>103</v>
      </c>
      <c r="B116" s="313">
        <f>(B115/B114)*(B113/B112)*(B111/B110)*(B109/B108)*B107</f>
        <v>4500</v>
      </c>
      <c r="C116" s="406"/>
      <c r="D116" s="370" t="s">
        <v>84</v>
      </c>
      <c r="E116" s="407">
        <f>STDEV(E108:E113)/E115</f>
        <v>1.292121080491924E-2</v>
      </c>
      <c r="F116" s="407">
        <f>STDEV(F108:F113)/F115</f>
        <v>1.292121080491924E-2</v>
      </c>
      <c r="I116" s="260"/>
    </row>
    <row r="117" spans="1:10" ht="27" customHeight="1" x14ac:dyDescent="0.4">
      <c r="A117" s="548" t="s">
        <v>78</v>
      </c>
      <c r="B117" s="549"/>
      <c r="C117" s="408"/>
      <c r="D117" s="409" t="s">
        <v>20</v>
      </c>
      <c r="E117" s="410">
        <f>COUNT(E108:E113)</f>
        <v>6</v>
      </c>
      <c r="F117" s="410">
        <f>COUNT(F108:F113)</f>
        <v>6</v>
      </c>
      <c r="I117" s="260"/>
      <c r="J117" s="389"/>
    </row>
    <row r="118" spans="1:10" ht="19.5" customHeight="1" x14ac:dyDescent="0.3">
      <c r="A118" s="550"/>
      <c r="B118" s="551"/>
      <c r="C118" s="260"/>
      <c r="D118" s="260"/>
      <c r="E118" s="260"/>
      <c r="F118" s="353"/>
      <c r="G118" s="260"/>
      <c r="H118" s="260"/>
      <c r="I118" s="260"/>
    </row>
    <row r="119" spans="1:10" ht="18.75" x14ac:dyDescent="0.3">
      <c r="A119" s="419"/>
      <c r="B119" s="280"/>
      <c r="C119" s="260"/>
      <c r="D119" s="260"/>
      <c r="E119" s="260"/>
      <c r="F119" s="353"/>
      <c r="G119" s="260"/>
      <c r="H119" s="260"/>
      <c r="I119" s="260"/>
    </row>
    <row r="120" spans="1:10" ht="26.25" customHeight="1" x14ac:dyDescent="0.4">
      <c r="A120" s="270" t="s">
        <v>106</v>
      </c>
      <c r="B120" s="360" t="s">
        <v>123</v>
      </c>
      <c r="C120" s="563" t="str">
        <f>B20</f>
        <v>Sulfamethoxazole BP &amp; Trimethoprim BP</v>
      </c>
      <c r="D120" s="563"/>
      <c r="E120" s="361" t="s">
        <v>124</v>
      </c>
      <c r="F120" s="361"/>
      <c r="G120" s="362">
        <f>F115</f>
        <v>1.0119523068920713</v>
      </c>
      <c r="H120" s="260"/>
      <c r="I120" s="260"/>
    </row>
    <row r="121" spans="1:10" ht="19.5" customHeight="1" x14ac:dyDescent="0.3">
      <c r="A121" s="411"/>
      <c r="B121" s="411"/>
      <c r="C121" s="412"/>
      <c r="D121" s="412"/>
      <c r="E121" s="412"/>
      <c r="F121" s="412"/>
      <c r="G121" s="412"/>
      <c r="H121" s="412"/>
    </row>
    <row r="122" spans="1:10" ht="18.75" x14ac:dyDescent="0.3">
      <c r="B122" s="565" t="s">
        <v>26</v>
      </c>
      <c r="C122" s="565"/>
      <c r="E122" s="366" t="s">
        <v>27</v>
      </c>
      <c r="F122" s="413"/>
      <c r="G122" s="565" t="s">
        <v>28</v>
      </c>
      <c r="H122" s="565"/>
    </row>
    <row r="123" spans="1:10" ht="69.95" customHeight="1" x14ac:dyDescent="0.3">
      <c r="A123" s="414" t="s">
        <v>29</v>
      </c>
      <c r="B123" s="415"/>
      <c r="C123" s="415"/>
      <c r="E123" s="415"/>
      <c r="F123" s="260"/>
      <c r="G123" s="416"/>
      <c r="H123" s="416"/>
    </row>
    <row r="124" spans="1:10" ht="69.95" customHeight="1" x14ac:dyDescent="0.3">
      <c r="A124" s="414" t="s">
        <v>30</v>
      </c>
      <c r="B124" s="417"/>
      <c r="C124" s="417"/>
      <c r="E124" s="417"/>
      <c r="F124" s="260"/>
      <c r="G124" s="418"/>
      <c r="H124" s="418"/>
    </row>
    <row r="125" spans="1:10" ht="18.75" x14ac:dyDescent="0.3">
      <c r="A125" s="352"/>
      <c r="B125" s="352"/>
      <c r="C125" s="353"/>
      <c r="D125" s="353"/>
      <c r="E125" s="353"/>
      <c r="F125" s="357"/>
      <c r="G125" s="353"/>
      <c r="H125" s="353"/>
      <c r="I125" s="260"/>
    </row>
    <row r="126" spans="1:10" ht="18.75" x14ac:dyDescent="0.3">
      <c r="A126" s="352"/>
      <c r="B126" s="352"/>
      <c r="C126" s="353"/>
      <c r="D126" s="353"/>
      <c r="E126" s="353"/>
      <c r="F126" s="357"/>
      <c r="G126" s="353"/>
      <c r="H126" s="353"/>
      <c r="I126" s="260"/>
    </row>
    <row r="127" spans="1:10" ht="18.75" x14ac:dyDescent="0.3">
      <c r="A127" s="352"/>
      <c r="B127" s="352"/>
      <c r="C127" s="353"/>
      <c r="D127" s="353"/>
      <c r="E127" s="353"/>
      <c r="F127" s="357"/>
      <c r="G127" s="353"/>
      <c r="H127" s="353"/>
      <c r="I127" s="260"/>
    </row>
    <row r="128" spans="1:10" ht="18.75" x14ac:dyDescent="0.3">
      <c r="A128" s="352"/>
      <c r="B128" s="352"/>
      <c r="C128" s="353"/>
      <c r="D128" s="353"/>
      <c r="E128" s="353"/>
      <c r="F128" s="357"/>
      <c r="G128" s="353"/>
      <c r="H128" s="353"/>
      <c r="I128" s="260"/>
    </row>
    <row r="129" spans="1:9" ht="18.75" x14ac:dyDescent="0.3">
      <c r="A129" s="352"/>
      <c r="B129" s="352"/>
      <c r="C129" s="353"/>
      <c r="D129" s="353"/>
      <c r="E129" s="353"/>
      <c r="F129" s="357"/>
      <c r="G129" s="353"/>
      <c r="H129" s="353"/>
      <c r="I129" s="260"/>
    </row>
    <row r="130" spans="1:9" ht="18.75" x14ac:dyDescent="0.3">
      <c r="A130" s="352"/>
      <c r="B130" s="352"/>
      <c r="C130" s="353"/>
      <c r="D130" s="353"/>
      <c r="E130" s="353"/>
      <c r="F130" s="357"/>
      <c r="G130" s="353"/>
      <c r="H130" s="353"/>
      <c r="I130" s="260"/>
    </row>
    <row r="131" spans="1:9" ht="18.75" x14ac:dyDescent="0.3">
      <c r="A131" s="352"/>
      <c r="B131" s="352"/>
      <c r="C131" s="353"/>
      <c r="D131" s="353"/>
      <c r="E131" s="353"/>
      <c r="F131" s="357"/>
      <c r="G131" s="353"/>
      <c r="H131" s="353"/>
      <c r="I131" s="260"/>
    </row>
    <row r="132" spans="1:9" ht="18.75" x14ac:dyDescent="0.3">
      <c r="A132" s="352"/>
      <c r="B132" s="352"/>
      <c r="C132" s="353"/>
      <c r="D132" s="353"/>
      <c r="E132" s="353"/>
      <c r="F132" s="357"/>
      <c r="G132" s="353"/>
      <c r="H132" s="353"/>
      <c r="I132" s="260"/>
    </row>
    <row r="133" spans="1:9" ht="18.75" x14ac:dyDescent="0.3">
      <c r="A133" s="352"/>
      <c r="B133" s="352"/>
      <c r="C133" s="353"/>
      <c r="D133" s="353"/>
      <c r="E133" s="353"/>
      <c r="F133" s="357"/>
      <c r="G133" s="353"/>
      <c r="H133" s="353"/>
      <c r="I133" s="26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120:D120"/>
    <mergeCell ref="B122:C122"/>
    <mergeCell ref="G122:H122"/>
    <mergeCell ref="C82:G82"/>
    <mergeCell ref="C84:H84"/>
    <mergeCell ref="C85:H85"/>
    <mergeCell ref="F89:G89"/>
    <mergeCell ref="A99:B100"/>
    <mergeCell ref="B79:C79"/>
    <mergeCell ref="B80:C80"/>
    <mergeCell ref="A1:I7"/>
    <mergeCell ref="A8:I14"/>
    <mergeCell ref="A117:B118"/>
    <mergeCell ref="I92:I93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B26:C26"/>
    <mergeCell ref="C29:G29"/>
    <mergeCell ref="C31:H31"/>
    <mergeCell ref="C32:H32"/>
    <mergeCell ref="D36:E36"/>
    <mergeCell ref="F36:G36"/>
    <mergeCell ref="B27:C27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SULFAMETHOXAZOLE SST</vt:lpstr>
      <vt:lpstr>TRIMETHOPRIM SST</vt:lpstr>
      <vt:lpstr>Uniformity</vt:lpstr>
      <vt:lpstr>TRIMETHOPRIM</vt:lpstr>
      <vt:lpstr>SULFAMETHOXAZOLE</vt:lpstr>
      <vt:lpstr>SULFAMETHOXAZOLE!Print_Area</vt:lpstr>
      <vt:lpstr>'SULFAMETHOXAZOLE SST'!Print_Area</vt:lpstr>
      <vt:lpstr>TRIMETHOPRIM!Print_Area</vt:lpstr>
      <vt:lpstr>'TRIMETHOPRIM SST'!Print_Area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2016-03-23T08:24:42Z</cp:lastPrinted>
  <dcterms:created xsi:type="dcterms:W3CDTF">2005-07-05T10:19:27Z</dcterms:created>
  <dcterms:modified xsi:type="dcterms:W3CDTF">2016-04-01T08:15:29Z</dcterms:modified>
</cp:coreProperties>
</file>