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720" yWindow="780" windowWidth="20535" windowHeight="9120" activeTab="4"/>
  </bookViews>
  <sheets>
    <sheet name="SST-3TC" sheetId="5" r:id="rId1"/>
    <sheet name="SST-TDF" sheetId="6" r:id="rId2"/>
    <sheet name="Uniformity" sheetId="2" r:id="rId3"/>
    <sheet name="Lamivudine" sheetId="3" r:id="rId4"/>
    <sheet name="Tenofovir DF" sheetId="4" r:id="rId5"/>
  </sheets>
  <definedNames>
    <definedName name="_xlnm.Print_Area" localSheetId="3">Lamivudine!$A$1:$H$125</definedName>
    <definedName name="_xlnm.Print_Area" localSheetId="4">'Tenofovir DF'!$A$1:$H$126</definedName>
    <definedName name="_xlnm.Print_Area" localSheetId="2">Uniformity!$A$1:$F$44</definedName>
  </definedNames>
  <calcPr calcId="145621"/>
</workbook>
</file>

<file path=xl/calcChain.xml><?xml version="1.0" encoding="utf-8"?>
<calcChain xmlns="http://schemas.openxmlformats.org/spreadsheetml/2006/main">
  <c r="B39" i="6" l="1"/>
  <c r="E37" i="6"/>
  <c r="D37" i="6"/>
  <c r="C37" i="6"/>
  <c r="B37" i="6"/>
  <c r="B38" i="6" s="1"/>
  <c r="B18" i="6"/>
  <c r="E16" i="6"/>
  <c r="D16" i="6"/>
  <c r="C16" i="6"/>
  <c r="B16" i="6"/>
  <c r="B17" i="6" s="1"/>
  <c r="B7" i="6"/>
  <c r="B39" i="5"/>
  <c r="E37" i="5"/>
  <c r="D37" i="5"/>
  <c r="C37" i="5"/>
  <c r="B37" i="5"/>
  <c r="B38" i="5" s="1"/>
  <c r="B28" i="5"/>
  <c r="B18" i="5"/>
  <c r="E16" i="5"/>
  <c r="D16" i="5"/>
  <c r="C16" i="5"/>
  <c r="B16" i="5"/>
  <c r="B17" i="5" s="1"/>
  <c r="B7" i="5"/>
  <c r="B79" i="4"/>
  <c r="B79" i="3"/>
  <c r="C120" i="4"/>
  <c r="B116" i="4"/>
  <c r="D100" i="4" s="1"/>
  <c r="B98" i="4"/>
  <c r="F95" i="4"/>
  <c r="D95" i="4"/>
  <c r="B87" i="4"/>
  <c r="F97" i="4" s="1"/>
  <c r="B83" i="4"/>
  <c r="C76" i="4"/>
  <c r="B68" i="4"/>
  <c r="C56" i="4"/>
  <c r="B55" i="4"/>
  <c r="B45" i="4"/>
  <c r="D48" i="4" s="1"/>
  <c r="F42" i="4"/>
  <c r="D42" i="4"/>
  <c r="B34" i="4"/>
  <c r="B30" i="4"/>
  <c r="C120" i="3"/>
  <c r="B116" i="3"/>
  <c r="D100" i="3" s="1"/>
  <c r="B98" i="3"/>
  <c r="F95" i="3"/>
  <c r="D95" i="3"/>
  <c r="B87" i="3"/>
  <c r="D97" i="3" s="1"/>
  <c r="B83" i="3"/>
  <c r="C76" i="3"/>
  <c r="B68" i="3"/>
  <c r="C56" i="3"/>
  <c r="B55" i="3"/>
  <c r="B45" i="3"/>
  <c r="D48" i="3" s="1"/>
  <c r="F42" i="3"/>
  <c r="D42" i="3"/>
  <c r="B34" i="3"/>
  <c r="B30" i="3"/>
  <c r="C36" i="2"/>
  <c r="C39" i="2" s="1"/>
  <c r="C35" i="2"/>
  <c r="D23" i="2" l="1"/>
  <c r="D15" i="2"/>
  <c r="D31" i="2"/>
  <c r="D19" i="2"/>
  <c r="D27" i="2"/>
  <c r="D101" i="4"/>
  <c r="D102" i="4" s="1"/>
  <c r="I92" i="4"/>
  <c r="D97" i="4"/>
  <c r="D98" i="4" s="1"/>
  <c r="I39" i="4"/>
  <c r="D49" i="4"/>
  <c r="F44" i="4"/>
  <c r="F45" i="4" s="1"/>
  <c r="D44" i="4"/>
  <c r="D45" i="4" s="1"/>
  <c r="F98" i="4"/>
  <c r="D101" i="3"/>
  <c r="D102" i="3" s="1"/>
  <c r="I92" i="3"/>
  <c r="F97" i="3"/>
  <c r="D98" i="3"/>
  <c r="E92" i="3" s="1"/>
  <c r="I39" i="3"/>
  <c r="D49" i="3"/>
  <c r="F44" i="3"/>
  <c r="D44" i="3"/>
  <c r="D45" i="3" s="1"/>
  <c r="E94" i="3"/>
  <c r="F98" i="3"/>
  <c r="F45" i="3"/>
  <c r="D16" i="2"/>
  <c r="D20" i="2"/>
  <c r="D24" i="2"/>
  <c r="D28" i="2"/>
  <c r="D32" i="2"/>
  <c r="B39" i="2"/>
  <c r="D40" i="2"/>
  <c r="C40" i="2"/>
  <c r="D14" i="2"/>
  <c r="D18" i="2"/>
  <c r="D22" i="2"/>
  <c r="D26" i="2"/>
  <c r="D30" i="2"/>
  <c r="D39" i="2"/>
  <c r="B57" i="3"/>
  <c r="B57" i="4"/>
  <c r="D17" i="2"/>
  <c r="D21" i="2"/>
  <c r="D25" i="2"/>
  <c r="D29" i="2"/>
  <c r="D33" i="2"/>
  <c r="E41" i="4" l="1"/>
  <c r="E40" i="4"/>
  <c r="E38" i="4"/>
  <c r="E39" i="4"/>
  <c r="D46" i="4"/>
  <c r="E91" i="4"/>
  <c r="E93" i="4"/>
  <c r="D99" i="4"/>
  <c r="E92" i="4"/>
  <c r="E94" i="4"/>
  <c r="G94" i="4"/>
  <c r="G91" i="4"/>
  <c r="G93" i="4"/>
  <c r="F99" i="4"/>
  <c r="G92" i="4"/>
  <c r="G40" i="4"/>
  <c r="F46" i="4"/>
  <c r="G39" i="4"/>
  <c r="G41" i="4"/>
  <c r="G38" i="4"/>
  <c r="E91" i="3"/>
  <c r="E93" i="3"/>
  <c r="D99" i="3"/>
  <c r="E38" i="3"/>
  <c r="E41" i="3"/>
  <c r="E39" i="3"/>
  <c r="D46" i="3"/>
  <c r="E40" i="3"/>
  <c r="G93" i="3"/>
  <c r="F99" i="3"/>
  <c r="G92" i="3"/>
  <c r="G94" i="3"/>
  <c r="G91" i="3"/>
  <c r="G41" i="3"/>
  <c r="G38" i="3"/>
  <c r="G40" i="3"/>
  <c r="F46" i="3"/>
  <c r="G39" i="3"/>
  <c r="E95" i="3"/>
  <c r="B69" i="3"/>
  <c r="B69" i="4"/>
  <c r="G95" i="4" l="1"/>
  <c r="E42" i="4"/>
  <c r="D105" i="4"/>
  <c r="E95" i="4"/>
  <c r="D103" i="4"/>
  <c r="G42" i="4"/>
  <c r="D52" i="4"/>
  <c r="D50" i="4"/>
  <c r="D105" i="3"/>
  <c r="E42" i="3"/>
  <c r="D52" i="3"/>
  <c r="D50" i="3"/>
  <c r="G65" i="3" s="1"/>
  <c r="H65" i="3" s="1"/>
  <c r="G42" i="3"/>
  <c r="D103" i="3"/>
  <c r="G95" i="3"/>
  <c r="D51" i="4" l="1"/>
  <c r="G67" i="4"/>
  <c r="H67" i="4" s="1"/>
  <c r="G63" i="4"/>
  <c r="H63" i="4" s="1"/>
  <c r="G69" i="4"/>
  <c r="H69" i="4" s="1"/>
  <c r="G60" i="4"/>
  <c r="G71" i="4"/>
  <c r="H71" i="4" s="1"/>
  <c r="G62" i="4"/>
  <c r="H62" i="4" s="1"/>
  <c r="G64" i="4"/>
  <c r="H64" i="4" s="1"/>
  <c r="G70" i="4"/>
  <c r="H70" i="4" s="1"/>
  <c r="G61" i="4"/>
  <c r="H61" i="4" s="1"/>
  <c r="G68" i="4"/>
  <c r="H68" i="4" s="1"/>
  <c r="E113" i="4"/>
  <c r="F113" i="4" s="1"/>
  <c r="E111" i="4"/>
  <c r="F111" i="4" s="1"/>
  <c r="E109" i="4"/>
  <c r="F109" i="4" s="1"/>
  <c r="D104" i="4"/>
  <c r="E112" i="4"/>
  <c r="F112" i="4" s="1"/>
  <c r="E110" i="4"/>
  <c r="F110" i="4" s="1"/>
  <c r="E108" i="4"/>
  <c r="G64" i="3"/>
  <c r="H64" i="3" s="1"/>
  <c r="G68" i="3"/>
  <c r="H68" i="3" s="1"/>
  <c r="G71" i="3"/>
  <c r="H71" i="3" s="1"/>
  <c r="G62" i="3"/>
  <c r="H62" i="3" s="1"/>
  <c r="G63" i="3"/>
  <c r="H63" i="3" s="1"/>
  <c r="G70" i="3"/>
  <c r="H70" i="3" s="1"/>
  <c r="G67" i="3"/>
  <c r="H67" i="3" s="1"/>
  <c r="G69" i="3"/>
  <c r="H69" i="3" s="1"/>
  <c r="G61" i="3"/>
  <c r="H61" i="3" s="1"/>
  <c r="D51" i="3"/>
  <c r="G60" i="3"/>
  <c r="E112" i="3"/>
  <c r="F112" i="3" s="1"/>
  <c r="E110" i="3"/>
  <c r="F110" i="3" s="1"/>
  <c r="E108" i="3"/>
  <c r="E113" i="3"/>
  <c r="F113" i="3" s="1"/>
  <c r="E111" i="3"/>
  <c r="F111" i="3" s="1"/>
  <c r="E109" i="3"/>
  <c r="F109" i="3" s="1"/>
  <c r="D104" i="3"/>
  <c r="H72" i="3" l="1"/>
  <c r="H73" i="3" s="1"/>
  <c r="H60" i="4"/>
  <c r="G72" i="4"/>
  <c r="G73" i="4" s="1"/>
  <c r="G74" i="4"/>
  <c r="E115" i="4"/>
  <c r="E116" i="4" s="1"/>
  <c r="E117" i="4"/>
  <c r="F108" i="4"/>
  <c r="H60" i="3"/>
  <c r="G72" i="3"/>
  <c r="G73" i="3" s="1"/>
  <c r="G74" i="3"/>
  <c r="E115" i="3"/>
  <c r="E116" i="3" s="1"/>
  <c r="E117" i="3"/>
  <c r="F108" i="3"/>
  <c r="F117" i="4" l="1"/>
  <c r="F115" i="4"/>
  <c r="H74" i="4"/>
  <c r="H72" i="4"/>
  <c r="H74" i="3"/>
  <c r="F115" i="3"/>
  <c r="F117" i="3"/>
  <c r="G120" i="4" l="1"/>
  <c r="F116" i="4"/>
  <c r="G76" i="4"/>
  <c r="H73" i="4"/>
  <c r="G76" i="3"/>
  <c r="G120" i="3"/>
  <c r="F116" i="3"/>
</calcChain>
</file>

<file path=xl/sharedStrings.xml><?xml version="1.0" encoding="utf-8"?>
<sst xmlns="http://schemas.openxmlformats.org/spreadsheetml/2006/main" count="441" uniqueCount="136">
  <si>
    <t>HPLC System Suitability Report</t>
  </si>
  <si>
    <t>Analysis Data</t>
  </si>
  <si>
    <t>Assay</t>
  </si>
  <si>
    <t>Sample(s)</t>
  </si>
  <si>
    <t>Reference Substance:</t>
  </si>
  <si>
    <t>TENOF0VIR DISOPROXIL FUMARATE/ LAMIVUDINE TABLETS 300 mg/300 mg</t>
  </si>
  <si>
    <t>% age Purity:</t>
  </si>
  <si>
    <t>NDQB201601698</t>
  </si>
  <si>
    <t>Weight (mg):</t>
  </si>
  <si>
    <t xml:space="preserve">Tenofovir Disproxil Fumarate
Lamivudine </t>
  </si>
  <si>
    <t>Standard Conc (mg/mL):</t>
  </si>
  <si>
    <t>Each tablet contains: Te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</si>
  <si>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</si>
  <si>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</si>
  <si>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</si>
  <si>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</si>
  <si>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</si>
  <si>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</si>
  <si>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</si>
  <si>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</si>
  <si>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</si>
  <si>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</si>
  <si>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</si>
  <si>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</si>
  <si>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</si>
  <si>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</si>
  <si>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</si>
  <si>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</si>
  <si>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</si>
  <si>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</si>
  <si>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</si>
  <si>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</si>
  <si>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</si>
  <si>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</si>
  <si>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</si>
  <si>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</si>
  <si>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</si>
  <si>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</si>
  <si>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</si>
  <si>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</si>
  <si>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</si>
  <si>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</si>
  <si>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</si>
  <si>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</si>
  <si>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</si>
  <si>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</si>
  <si>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</si>
  <si>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</si>
  <si>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</si>
  <si>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</si>
  <si>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</si>
  <si>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</si>
  <si>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</si>
  <si>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</si>
  <si>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</si>
  <si>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</si>
  <si>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</si>
  <si>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</si>
  <si>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</si>
  <si>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</si>
  <si>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</si>
  <si>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</si>
  <si>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</si>
  <si>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</si>
  <si>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</si>
  <si>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</si>
  <si>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</si>
  <si>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</si>
  <si>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</si>
  <si>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</si>
  <si>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</si>
  <si>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</si>
  <si>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</si>
  <si>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</si>
  <si>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</si>
  <si>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</si>
  <si>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</si>
  <si>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</si>
  <si>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</si>
  <si>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</si>
  <si>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</si>
  <si>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</si>
  <si>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</si>
  <si>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</si>
  <si>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</si>
  <si>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</si>
  <si>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</si>
  <si>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</si>
  <si>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</si>
  <si>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</si>
  <si>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</si>
  <si>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</si>
  <si>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</si>
  <si>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</si>
  <si>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</si>
  <si>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</si>
  <si>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</si>
  <si>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</si>
  <si>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</si>
  <si>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</si>
  <si>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</si>
  <si>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</si>
  <si>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</si>
  <si>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</si>
  <si>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</si>
  <si>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</si>
  <si>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</si>
  <si>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</si>
  <si>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</si>
  <si>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</si>
  <si>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</si>
  <si>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</si>
  <si>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</si>
  <si>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</si>
  <si>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</si>
  <si>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</si>
  <si>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</si>
  <si>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</si>
  <si>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</si>
  <si>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</si>
  <si>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</si>
  <si>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</si>
  <si>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</si>
  <si>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</si>
  <si>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Lamivudine</t>
  </si>
  <si>
    <t>L3-9</t>
  </si>
  <si>
    <t>L3-8</t>
  </si>
  <si>
    <t>Tenofovir DF</t>
  </si>
  <si>
    <t>T11-6</t>
  </si>
  <si>
    <t>T11-7</t>
  </si>
  <si>
    <r>
      <t xml:space="preserve">The RSD of the peak areas for five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</si>
  <si>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1000</t>
    </r>
  </si>
  <si>
    <t>TENOFOVIR DISOPROXIL FUMARATE/  LAMIVUDINE TABLETS (300 mg/300 mg)</t>
  </si>
  <si>
    <t>TENOFOVIR DISOPROXIL FUMARATE/  LAMIVUDINE TABLETS (300 mg/300 mg )</t>
  </si>
  <si>
    <t>Dr. Sarah Mwangi</t>
  </si>
  <si>
    <t>25th February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</si>
</sst>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</numFmts>
  <fonts count="25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u/>
      <sz val="1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vertAlign val="superscript"/>
      <sz val="14"/>
      <color rgb="FF000000"/>
      <name val="Book Antiqua"/>
    </font>
    <font>
      <sz val="10"/>
      <color rgb="FF000000"/>
      <name val="Arial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4" fillId="2" borderId="0"/>
  </cellStyleXfs>
  <cellXfs count="502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5" fillId="2" borderId="1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7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2" fontId="13" fillId="7" borderId="27" xfId="0" applyNumberFormat="1" applyFont="1" applyFill="1" applyBorder="1" applyAlignment="1">
      <alignment horizontal="center"/>
    </xf>
    <xf numFmtId="0" fontId="14" fillId="2" borderId="0" xfId="0" applyFont="1" applyFill="1"/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7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2" fontId="13" fillId="7" borderId="27" xfId="0" applyNumberFormat="1" applyFont="1" applyFill="1" applyBorder="1" applyAlignment="1">
      <alignment horizontal="center"/>
    </xf>
    <xf numFmtId="0" fontId="14" fillId="2" borderId="0" xfId="0" applyFont="1" applyFill="1"/>
    <xf numFmtId="0" fontId="2" fillId="2" borderId="0" xfId="1" applyFont="1" applyFill="1"/>
    <xf numFmtId="0" fontId="4" fillId="2" borderId="0" xfId="1" applyFont="1" applyFill="1"/>
    <xf numFmtId="0" fontId="4" fillId="2" borderId="0" xfId="1" applyFont="1" applyFill="1" applyAlignment="1">
      <alignment horizontal="left"/>
    </xf>
    <xf numFmtId="0" fontId="5" fillId="2" borderId="0" xfId="1" applyFont="1" applyFill="1" applyAlignment="1">
      <alignment horizontal="left"/>
    </xf>
    <xf numFmtId="0" fontId="5" fillId="2" borderId="0" xfId="1" applyFont="1" applyFill="1" applyAlignment="1">
      <alignment horizontal="center"/>
    </xf>
    <xf numFmtId="0" fontId="6" fillId="2" borderId="0" xfId="1" applyFont="1" applyFill="1"/>
    <xf numFmtId="0" fontId="5" fillId="2" borderId="0" xfId="1" applyFont="1" applyFill="1"/>
    <xf numFmtId="2" fontId="5" fillId="2" borderId="0" xfId="1" applyNumberFormat="1" applyFont="1" applyFill="1" applyAlignment="1">
      <alignment horizontal="center"/>
    </xf>
    <xf numFmtId="164" fontId="5" fillId="2" borderId="0" xfId="1" applyNumberFormat="1" applyFont="1" applyFill="1" applyAlignment="1">
      <alignment horizontal="center"/>
    </xf>
    <xf numFmtId="0" fontId="5" fillId="2" borderId="1" xfId="1" applyFont="1" applyFill="1" applyBorder="1" applyAlignment="1">
      <alignment horizontal="center"/>
    </xf>
    <xf numFmtId="0" fontId="5" fillId="2" borderId="2" xfId="1" applyFont="1" applyFill="1" applyBorder="1" applyAlignment="1">
      <alignment horizontal="center"/>
    </xf>
    <xf numFmtId="0" fontId="6" fillId="2" borderId="3" xfId="1" applyFont="1" applyFill="1" applyBorder="1" applyAlignment="1">
      <alignment horizontal="center"/>
    </xf>
    <xf numFmtId="0" fontId="7" fillId="3" borderId="3" xfId="1" applyFont="1" applyFill="1" applyBorder="1" applyAlignment="1" applyProtection="1">
      <alignment horizontal="center"/>
      <protection locked="0"/>
    </xf>
    <xf numFmtId="2" fontId="7" fillId="3" borderId="3" xfId="1" applyNumberFormat="1" applyFont="1" applyFill="1" applyBorder="1" applyAlignment="1" applyProtection="1">
      <alignment horizontal="center"/>
      <protection locked="0"/>
    </xf>
    <xf numFmtId="2" fontId="7" fillId="3" borderId="4" xfId="1" applyNumberFormat="1" applyFont="1" applyFill="1" applyBorder="1" applyAlignment="1" applyProtection="1">
      <alignment horizontal="center"/>
      <protection locked="0"/>
    </xf>
    <xf numFmtId="0" fontId="7" fillId="3" borderId="5" xfId="1" applyFont="1" applyFill="1" applyBorder="1" applyAlignment="1" applyProtection="1">
      <alignment horizontal="center"/>
      <protection locked="0"/>
    </xf>
    <xf numFmtId="2" fontId="7" fillId="3" borderId="5" xfId="1" applyNumberFormat="1" applyFont="1" applyFill="1" applyBorder="1" applyAlignment="1" applyProtection="1">
      <alignment horizontal="center"/>
      <protection locked="0"/>
    </xf>
    <xf numFmtId="0" fontId="6" fillId="2" borderId="4" xfId="1" applyFont="1" applyFill="1" applyBorder="1"/>
    <xf numFmtId="1" fontId="5" fillId="4" borderId="2" xfId="1" applyNumberFormat="1" applyFont="1" applyFill="1" applyBorder="1" applyAlignment="1">
      <alignment horizontal="center"/>
    </xf>
    <xf numFmtId="1" fontId="5" fillId="4" borderId="1" xfId="1" applyNumberFormat="1" applyFont="1" applyFill="1" applyBorder="1" applyAlignment="1">
      <alignment horizontal="center"/>
    </xf>
    <xf numFmtId="2" fontId="5" fillId="4" borderId="1" xfId="1" applyNumberFormat="1" applyFont="1" applyFill="1" applyBorder="1" applyAlignment="1">
      <alignment horizontal="center"/>
    </xf>
    <xf numFmtId="0" fontId="6" fillId="2" borderId="3" xfId="1" applyFont="1" applyFill="1" applyBorder="1"/>
    <xf numFmtId="10" fontId="5" fillId="5" borderId="1" xfId="1" applyNumberFormat="1" applyFont="1" applyFill="1" applyBorder="1" applyAlignment="1">
      <alignment horizontal="center"/>
    </xf>
    <xf numFmtId="165" fontId="5" fillId="2" borderId="0" xfId="1" applyNumberFormat="1" applyFont="1" applyFill="1" applyAlignment="1">
      <alignment horizontal="center"/>
    </xf>
    <xf numFmtId="0" fontId="6" fillId="2" borderId="6" xfId="1" applyFont="1" applyFill="1" applyBorder="1"/>
    <xf numFmtId="0" fontId="6" fillId="2" borderId="5" xfId="1" applyFont="1" applyFill="1" applyBorder="1"/>
    <xf numFmtId="0" fontId="5" fillId="4" borderId="1" xfId="1" applyFont="1" applyFill="1" applyBorder="1" applyAlignment="1">
      <alignment horizontal="center"/>
    </xf>
    <xf numFmtId="0" fontId="5" fillId="2" borderId="7" xfId="1" applyFont="1" applyFill="1" applyBorder="1" applyAlignment="1">
      <alignment horizontal="center"/>
    </xf>
    <xf numFmtId="0" fontId="6" fillId="2" borderId="7" xfId="1" applyFont="1" applyFill="1" applyBorder="1"/>
    <xf numFmtId="0" fontId="6" fillId="2" borderId="8" xfId="1" applyFont="1" applyFill="1" applyBorder="1"/>
    <xf numFmtId="0" fontId="6" fillId="2" borderId="0" xfId="1" applyFont="1" applyFill="1" applyAlignment="1" applyProtection="1">
      <alignment horizontal="left"/>
      <protection locked="0"/>
    </xf>
    <xf numFmtId="0" fontId="6" fillId="2" borderId="0" xfId="1" applyFont="1" applyFill="1" applyProtection="1">
      <protection locked="0"/>
    </xf>
    <xf numFmtId="0" fontId="2" fillId="2" borderId="9" xfId="1" applyFont="1" applyFill="1" applyBorder="1"/>
    <xf numFmtId="0" fontId="2" fillId="2" borderId="0" xfId="1" applyFont="1" applyFill="1" applyAlignment="1">
      <alignment horizontal="center"/>
    </xf>
    <xf numFmtId="10" fontId="2" fillId="2" borderId="9" xfId="1" applyNumberFormat="1" applyFont="1" applyFill="1" applyBorder="1"/>
    <xf numFmtId="0" fontId="0" fillId="2" borderId="0" xfId="1" applyFont="1" applyFill="1"/>
    <xf numFmtId="0" fontId="1" fillId="2" borderId="10" xfId="1" applyFont="1" applyFill="1" applyBorder="1" applyAlignment="1">
      <alignment horizontal="center"/>
    </xf>
    <xf numFmtId="0" fontId="2" fillId="2" borderId="10" xfId="1" applyFont="1" applyFill="1" applyBorder="1" applyAlignment="1">
      <alignment horizontal="center"/>
    </xf>
    <xf numFmtId="0" fontId="1" fillId="2" borderId="0" xfId="1" applyFont="1" applyFill="1" applyAlignment="1">
      <alignment horizontal="right"/>
    </xf>
    <xf numFmtId="0" fontId="2" fillId="2" borderId="7" xfId="1" applyFont="1" applyFill="1" applyBorder="1"/>
    <xf numFmtId="0" fontId="1" fillId="2" borderId="11" xfId="1" applyFont="1" applyFill="1" applyBorder="1"/>
    <xf numFmtId="0" fontId="2" fillId="2" borderId="11" xfId="1" applyFont="1" applyFill="1" applyBorder="1"/>
    <xf numFmtId="0" fontId="3" fillId="2" borderId="0" xfId="1" applyFont="1" applyFill="1" applyAlignment="1">
      <alignment horizontal="center"/>
    </xf>
    <xf numFmtId="0" fontId="1" fillId="2" borderId="10" xfId="1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14" fillId="3" borderId="0" xfId="0" applyFont="1" applyFill="1" applyAlignment="1" applyProtection="1">
      <alignment horizontal="left"/>
      <protection locked="0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58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/>
      <protection locked="0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43" xfId="0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39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view="pageBreakPreview" zoomScale="60" workbookViewId="0">
      <selection activeCell="B3" sqref="B3"/>
    </sheetView>
  </sheetViews>
  <sheetFormatPr defaultRowHeight="13.5" x14ac:dyDescent="0.25"/>
  <cols>
    <col min="1" max="1" width="27.5703125" style="411" customWidth="1"/>
    <col min="2" max="2" width="20.42578125" style="411" customWidth="1"/>
    <col min="3" max="3" width="31.85546875" style="411" customWidth="1"/>
    <col min="4" max="4" width="25.85546875" style="411" customWidth="1"/>
    <col min="5" max="5" width="25.7109375" style="411" customWidth="1"/>
    <col min="6" max="6" width="23.140625" style="411" customWidth="1"/>
    <col min="7" max="7" width="28.42578125" style="411" customWidth="1"/>
    <col min="8" max="8" width="21.5703125" style="411" customWidth="1"/>
    <col min="9" max="9" width="9.140625" style="411" customWidth="1"/>
    <col min="10" max="16384" width="9.140625" style="446"/>
  </cols>
  <sheetData>
    <row r="1" spans="1:5" ht="18.75" customHeight="1" x14ac:dyDescent="0.3">
      <c r="A1" s="453" t="s">
        <v>0</v>
      </c>
      <c r="B1" s="453"/>
      <c r="C1" s="453"/>
      <c r="D1" s="453"/>
      <c r="E1" s="453"/>
    </row>
    <row r="2" spans="1:5" ht="16.5" customHeight="1" x14ac:dyDescent="0.3">
      <c r="A2" s="412" t="s">
        <v>1</v>
      </c>
      <c r="B2" s="413" t="s">
        <v>2</v>
      </c>
    </row>
    <row r="3" spans="1:5" ht="16.5" customHeight="1" x14ac:dyDescent="0.3">
      <c r="A3" s="414" t="s">
        <v>3</v>
      </c>
      <c r="B3" s="414" t="s">
        <v>132</v>
      </c>
      <c r="D3" s="415"/>
      <c r="E3" s="416"/>
    </row>
    <row r="4" spans="1:5" ht="16.5" customHeight="1" x14ac:dyDescent="0.3">
      <c r="A4" s="417" t="s">
        <v>4</v>
      </c>
      <c r="B4" s="414" t="s">
        <v>124</v>
      </c>
      <c r="C4" s="416"/>
      <c r="D4" s="416"/>
      <c r="E4" s="416"/>
    </row>
    <row r="5" spans="1:5" ht="16.5" customHeight="1" x14ac:dyDescent="0.3">
      <c r="A5" s="417" t="s">
        <v>6</v>
      </c>
      <c r="B5" s="418">
        <v>101.74</v>
      </c>
      <c r="C5" s="416"/>
      <c r="D5" s="416"/>
      <c r="E5" s="416"/>
    </row>
    <row r="6" spans="1:5" ht="16.5" customHeight="1" x14ac:dyDescent="0.3">
      <c r="A6" s="414" t="s">
        <v>8</v>
      </c>
      <c r="B6" s="418">
        <v>18.170000000000002</v>
      </c>
      <c r="C6" s="416"/>
      <c r="D6" s="416"/>
      <c r="E6" s="416"/>
    </row>
    <row r="7" spans="1:5" ht="16.5" customHeight="1" x14ac:dyDescent="0.3">
      <c r="A7" s="414" t="s">
        <v>10</v>
      </c>
      <c r="B7" s="419">
        <f>B6/50*10/25</f>
        <v>0.14536000000000002</v>
      </c>
      <c r="C7" s="416"/>
      <c r="D7" s="416"/>
      <c r="E7" s="416"/>
    </row>
    <row r="8" spans="1:5" ht="15.75" customHeight="1" x14ac:dyDescent="0.25">
      <c r="A8" s="416"/>
      <c r="B8" s="416"/>
      <c r="C8" s="416"/>
      <c r="D8" s="416"/>
      <c r="E8" s="416"/>
    </row>
    <row r="9" spans="1:5" ht="16.5" customHeight="1" x14ac:dyDescent="0.3">
      <c r="A9" s="420" t="s">
        <v>12</v>
      </c>
      <c r="B9" s="421" t="s">
        <v>13</v>
      </c>
      <c r="C9" s="420" t="s">
        <v>14</v>
      </c>
      <c r="D9" s="420" t="s">
        <v>15</v>
      </c>
      <c r="E9" s="420" t="s">
        <v>16</v>
      </c>
    </row>
    <row r="10" spans="1:5" ht="16.5" customHeight="1" x14ac:dyDescent="0.3">
      <c r="A10" s="422">
        <v>1</v>
      </c>
      <c r="B10" s="423">
        <v>112809068</v>
      </c>
      <c r="C10" s="423">
        <v>5589.9</v>
      </c>
      <c r="D10" s="424">
        <v>1</v>
      </c>
      <c r="E10" s="425">
        <v>4.3</v>
      </c>
    </row>
    <row r="11" spans="1:5" ht="16.5" customHeight="1" x14ac:dyDescent="0.3">
      <c r="A11" s="422">
        <v>2</v>
      </c>
      <c r="B11" s="423">
        <v>112874574</v>
      </c>
      <c r="C11" s="423">
        <v>5495.1</v>
      </c>
      <c r="D11" s="424">
        <v>1</v>
      </c>
      <c r="E11" s="424">
        <v>4.3</v>
      </c>
    </row>
    <row r="12" spans="1:5" ht="16.5" customHeight="1" x14ac:dyDescent="0.3">
      <c r="A12" s="422">
        <v>3</v>
      </c>
      <c r="B12" s="423">
        <v>112776419</v>
      </c>
      <c r="C12" s="423">
        <v>5502</v>
      </c>
      <c r="D12" s="424">
        <v>1</v>
      </c>
      <c r="E12" s="424">
        <v>4.3</v>
      </c>
    </row>
    <row r="13" spans="1:5" ht="16.5" customHeight="1" x14ac:dyDescent="0.3">
      <c r="A13" s="422">
        <v>4</v>
      </c>
      <c r="B13" s="423">
        <v>113003874</v>
      </c>
      <c r="C13" s="423">
        <v>5508.1</v>
      </c>
      <c r="D13" s="424">
        <v>1</v>
      </c>
      <c r="E13" s="424">
        <v>4.3</v>
      </c>
    </row>
    <row r="14" spans="1:5" ht="16.5" customHeight="1" x14ac:dyDescent="0.3">
      <c r="A14" s="422">
        <v>5</v>
      </c>
      <c r="B14" s="423">
        <v>113079717</v>
      </c>
      <c r="C14" s="423">
        <v>5532.5</v>
      </c>
      <c r="D14" s="424">
        <v>1</v>
      </c>
      <c r="E14" s="424">
        <v>4.3</v>
      </c>
    </row>
    <row r="15" spans="1:5" ht="16.5" customHeight="1" x14ac:dyDescent="0.3">
      <c r="A15" s="422">
        <v>6</v>
      </c>
      <c r="B15" s="426">
        <v>112741553</v>
      </c>
      <c r="C15" s="426">
        <v>5563.7</v>
      </c>
      <c r="D15" s="427">
        <v>1</v>
      </c>
      <c r="E15" s="427">
        <v>4.3</v>
      </c>
    </row>
    <row r="16" spans="1:5" ht="16.5" customHeight="1" x14ac:dyDescent="0.3">
      <c r="A16" s="428" t="s">
        <v>17</v>
      </c>
      <c r="B16" s="429">
        <f>AVERAGE(B10:B15)</f>
        <v>112880867.5</v>
      </c>
      <c r="C16" s="430">
        <f>AVERAGE(C10:C15)</f>
        <v>5531.8833333333323</v>
      </c>
      <c r="D16" s="431">
        <f>AVERAGE(D10:D15)</f>
        <v>1</v>
      </c>
      <c r="E16" s="431">
        <f>AVERAGE(E10:E15)</f>
        <v>4.3</v>
      </c>
    </row>
    <row r="17" spans="1:5" ht="16.5" customHeight="1" x14ac:dyDescent="0.3">
      <c r="A17" s="432" t="s">
        <v>18</v>
      </c>
      <c r="B17" s="433">
        <f>(STDEV(B10:B15)/B16)</f>
        <v>1.1897635345507771E-3</v>
      </c>
      <c r="C17" s="434"/>
      <c r="D17" s="434"/>
      <c r="E17" s="435"/>
    </row>
    <row r="18" spans="1:5" s="411" customFormat="1" ht="16.5" customHeight="1" x14ac:dyDescent="0.3">
      <c r="A18" s="436" t="s">
        <v>19</v>
      </c>
      <c r="B18" s="437">
        <f>COUNT(B10:B15)</f>
        <v>6</v>
      </c>
      <c r="C18" s="438"/>
      <c r="D18" s="439"/>
      <c r="E18" s="440"/>
    </row>
    <row r="19" spans="1:5" s="411" customFormat="1" ht="15.75" customHeight="1" x14ac:dyDescent="0.25">
      <c r="A19" s="416"/>
      <c r="B19" s="416"/>
      <c r="C19" s="416"/>
      <c r="D19" s="416"/>
      <c r="E19" s="416"/>
    </row>
    <row r="20" spans="1:5" s="411" customFormat="1" ht="16.5" customHeight="1" x14ac:dyDescent="0.3">
      <c r="A20" s="417" t="s">
        <v>20</v>
      </c>
      <c r="B20" s="441" t="s">
        <v>21</v>
      </c>
      <c r="C20" s="442"/>
      <c r="D20" s="442"/>
      <c r="E20" s="442"/>
    </row>
    <row r="21" spans="1:5" ht="16.5" customHeight="1" x14ac:dyDescent="0.3">
      <c r="A21" s="417"/>
      <c r="B21" s="441" t="s">
        <v>22</v>
      </c>
      <c r="C21" s="442"/>
      <c r="D21" s="442"/>
      <c r="E21" s="442"/>
    </row>
    <row r="22" spans="1:5" ht="16.5" customHeight="1" x14ac:dyDescent="0.3">
      <c r="A22" s="417"/>
      <c r="B22" s="441" t="s">
        <v>23</v>
      </c>
      <c r="C22" s="442"/>
      <c r="D22" s="442"/>
      <c r="E22" s="442"/>
    </row>
    <row r="23" spans="1:5" ht="15.75" customHeight="1" x14ac:dyDescent="0.25">
      <c r="A23" s="416"/>
      <c r="B23" s="416"/>
      <c r="C23" s="416"/>
      <c r="D23" s="416"/>
      <c r="E23" s="416"/>
    </row>
    <row r="24" spans="1:5" ht="16.5" customHeight="1" x14ac:dyDescent="0.3">
      <c r="A24" s="412" t="s">
        <v>1</v>
      </c>
      <c r="B24" s="413" t="s">
        <v>24</v>
      </c>
    </row>
    <row r="25" spans="1:5" ht="16.5" customHeight="1" x14ac:dyDescent="0.3">
      <c r="A25" s="417" t="s">
        <v>4</v>
      </c>
      <c r="B25" s="414" t="s">
        <v>124</v>
      </c>
      <c r="C25" s="416"/>
      <c r="D25" s="416"/>
      <c r="E25" s="416"/>
    </row>
    <row r="26" spans="1:5" ht="16.5" customHeight="1" x14ac:dyDescent="0.3">
      <c r="A26" s="417" t="s">
        <v>6</v>
      </c>
      <c r="B26" s="418">
        <v>99.9</v>
      </c>
      <c r="C26" s="416"/>
      <c r="D26" s="416"/>
      <c r="E26" s="416"/>
    </row>
    <row r="27" spans="1:5" ht="16.5" customHeight="1" x14ac:dyDescent="0.3">
      <c r="A27" s="414" t="s">
        <v>8</v>
      </c>
      <c r="B27" s="418">
        <v>17.05</v>
      </c>
      <c r="C27" s="416"/>
      <c r="D27" s="416"/>
      <c r="E27" s="416"/>
    </row>
    <row r="28" spans="1:5" ht="16.5" customHeight="1" x14ac:dyDescent="0.3">
      <c r="A28" s="414" t="s">
        <v>10</v>
      </c>
      <c r="B28" s="419">
        <f>B27/50</f>
        <v>0.34100000000000003</v>
      </c>
      <c r="C28" s="416"/>
      <c r="D28" s="416"/>
      <c r="E28" s="416"/>
    </row>
    <row r="29" spans="1:5" ht="15.75" customHeight="1" x14ac:dyDescent="0.25">
      <c r="A29" s="416"/>
      <c r="B29" s="416"/>
      <c r="C29" s="416"/>
      <c r="D29" s="416"/>
      <c r="E29" s="416"/>
    </row>
    <row r="30" spans="1:5" ht="16.5" customHeight="1" x14ac:dyDescent="0.3">
      <c r="A30" s="420" t="s">
        <v>12</v>
      </c>
      <c r="B30" s="421" t="s">
        <v>13</v>
      </c>
      <c r="C30" s="420" t="s">
        <v>14</v>
      </c>
      <c r="D30" s="420" t="s">
        <v>15</v>
      </c>
      <c r="E30" s="420" t="s">
        <v>16</v>
      </c>
    </row>
    <row r="31" spans="1:5" ht="16.5" customHeight="1" x14ac:dyDescent="0.3">
      <c r="A31" s="422">
        <v>1</v>
      </c>
      <c r="B31" s="423">
        <v>51124295</v>
      </c>
      <c r="C31" s="423">
        <v>1855.3</v>
      </c>
      <c r="D31" s="424">
        <v>1.4</v>
      </c>
      <c r="E31" s="425">
        <v>4</v>
      </c>
    </row>
    <row r="32" spans="1:5" ht="16.5" customHeight="1" x14ac:dyDescent="0.3">
      <c r="A32" s="422">
        <v>2</v>
      </c>
      <c r="B32" s="423">
        <v>50516546</v>
      </c>
      <c r="C32" s="423">
        <v>1932.9</v>
      </c>
      <c r="D32" s="424">
        <v>1.5</v>
      </c>
      <c r="E32" s="424">
        <v>4</v>
      </c>
    </row>
    <row r="33" spans="1:7" ht="16.5" customHeight="1" x14ac:dyDescent="0.3">
      <c r="A33" s="422">
        <v>3</v>
      </c>
      <c r="B33" s="423">
        <v>51420736</v>
      </c>
      <c r="C33" s="423">
        <v>1958.2</v>
      </c>
      <c r="D33" s="424">
        <v>1.5</v>
      </c>
      <c r="E33" s="424">
        <v>4</v>
      </c>
    </row>
    <row r="34" spans="1:7" ht="16.5" customHeight="1" x14ac:dyDescent="0.3">
      <c r="A34" s="422">
        <v>4</v>
      </c>
      <c r="B34" s="423">
        <v>51417287</v>
      </c>
      <c r="C34" s="423">
        <v>1914.3</v>
      </c>
      <c r="D34" s="424">
        <v>1.5</v>
      </c>
      <c r="E34" s="424">
        <v>4</v>
      </c>
    </row>
    <row r="35" spans="1:7" ht="16.5" customHeight="1" x14ac:dyDescent="0.3">
      <c r="A35" s="422">
        <v>5</v>
      </c>
      <c r="B35" s="423">
        <v>50799269</v>
      </c>
      <c r="C35" s="423">
        <v>1992.8</v>
      </c>
      <c r="D35" s="424">
        <v>1.5</v>
      </c>
      <c r="E35" s="424">
        <v>4</v>
      </c>
    </row>
    <row r="36" spans="1:7" ht="16.5" customHeight="1" x14ac:dyDescent="0.3">
      <c r="A36" s="422">
        <v>6</v>
      </c>
      <c r="B36" s="426"/>
      <c r="C36" s="426"/>
      <c r="D36" s="427"/>
      <c r="E36" s="427"/>
    </row>
    <row r="37" spans="1:7" ht="16.5" customHeight="1" x14ac:dyDescent="0.3">
      <c r="A37" s="428" t="s">
        <v>17</v>
      </c>
      <c r="B37" s="429">
        <f>AVERAGE(B31:B36)</f>
        <v>51055626.600000001</v>
      </c>
      <c r="C37" s="430">
        <f>AVERAGE(C31:C36)</f>
        <v>1930.7</v>
      </c>
      <c r="D37" s="431">
        <f>AVERAGE(D31:D36)</f>
        <v>1.48</v>
      </c>
      <c r="E37" s="431">
        <f>AVERAGE(E31:E36)</f>
        <v>4</v>
      </c>
    </row>
    <row r="38" spans="1:7" ht="16.5" customHeight="1" x14ac:dyDescent="0.3">
      <c r="A38" s="432" t="s">
        <v>18</v>
      </c>
      <c r="B38" s="433">
        <f>(STDEV(B31:B36)/B37)</f>
        <v>7.7431375881782168E-3</v>
      </c>
      <c r="C38" s="434"/>
      <c r="D38" s="434"/>
      <c r="E38" s="435"/>
    </row>
    <row r="39" spans="1:7" s="411" customFormat="1" ht="16.5" customHeight="1" x14ac:dyDescent="0.3">
      <c r="A39" s="436" t="s">
        <v>19</v>
      </c>
      <c r="B39" s="437">
        <f>COUNT(B31:B36)</f>
        <v>5</v>
      </c>
      <c r="C39" s="438"/>
      <c r="D39" s="439"/>
      <c r="E39" s="440"/>
    </row>
    <row r="40" spans="1:7" s="411" customFormat="1" ht="15.75" customHeight="1" x14ac:dyDescent="0.25">
      <c r="A40" s="416"/>
      <c r="B40" s="416"/>
      <c r="C40" s="416"/>
      <c r="D40" s="416"/>
      <c r="E40" s="416"/>
    </row>
    <row r="41" spans="1:7" s="411" customFormat="1" ht="16.5" customHeight="1" x14ac:dyDescent="0.3">
      <c r="A41" s="417" t="s">
        <v>20</v>
      </c>
      <c r="B41" s="441" t="s">
        <v>130</v>
      </c>
      <c r="C41" s="442"/>
      <c r="D41" s="442"/>
      <c r="E41" s="442"/>
    </row>
    <row r="42" spans="1:7" ht="16.5" customHeight="1" x14ac:dyDescent="0.3">
      <c r="A42" s="417"/>
      <c r="B42" s="441" t="s">
        <v>131</v>
      </c>
      <c r="C42" s="442"/>
      <c r="D42" s="442"/>
      <c r="E42" s="442"/>
    </row>
    <row r="43" spans="1:7" ht="16.5" customHeight="1" x14ac:dyDescent="0.3">
      <c r="A43" s="417"/>
      <c r="B43" s="441" t="s">
        <v>23</v>
      </c>
      <c r="C43" s="442"/>
      <c r="D43" s="442"/>
      <c r="E43" s="442"/>
    </row>
    <row r="44" spans="1:7" ht="14.25" customHeight="1" thickBot="1" x14ac:dyDescent="0.3">
      <c r="A44" s="443"/>
      <c r="B44" s="444"/>
      <c r="D44" s="445"/>
      <c r="F44" s="446"/>
      <c r="G44" s="446"/>
    </row>
    <row r="45" spans="1:7" ht="15" customHeight="1" x14ac:dyDescent="0.3">
      <c r="B45" s="454" t="s">
        <v>25</v>
      </c>
      <c r="C45" s="454"/>
      <c r="E45" s="447" t="s">
        <v>26</v>
      </c>
      <c r="F45" s="448"/>
      <c r="G45" s="447" t="s">
        <v>27</v>
      </c>
    </row>
    <row r="46" spans="1:7" ht="15" customHeight="1" x14ac:dyDescent="0.3">
      <c r="A46" s="449" t="s">
        <v>28</v>
      </c>
      <c r="B46" s="450"/>
      <c r="C46" s="450"/>
      <c r="E46" s="450"/>
      <c r="G46" s="450"/>
    </row>
    <row r="47" spans="1:7" ht="15" customHeight="1" x14ac:dyDescent="0.3">
      <c r="A47" s="449" t="s">
        <v>29</v>
      </c>
      <c r="B47" s="451"/>
      <c r="C47" s="451"/>
      <c r="E47" s="451"/>
      <c r="G47" s="452"/>
    </row>
  </sheetData>
  <sheetProtection formatCells="0" formatColumns="0" formatRows="0" insertColumns="0" insertRows="0" insertHyperlinks="0" deleteColumns="0" deleteRows="0" sort="0" autoFilter="0" pivotTables="0"/>
  <mergeCells count="2">
    <mergeCell ref="A1:E1"/>
    <mergeCell ref="B45:C45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view="pageBreakPreview" zoomScale="60" workbookViewId="0">
      <selection activeCell="B6" sqref="B6"/>
    </sheetView>
  </sheetViews>
  <sheetFormatPr defaultRowHeight="13.5" x14ac:dyDescent="0.25"/>
  <cols>
    <col min="1" max="1" width="27.5703125" style="411" customWidth="1"/>
    <col min="2" max="2" width="20.42578125" style="411" customWidth="1"/>
    <col min="3" max="3" width="31.85546875" style="411" customWidth="1"/>
    <col min="4" max="4" width="25.85546875" style="411" customWidth="1"/>
    <col min="5" max="5" width="25.7109375" style="411" customWidth="1"/>
    <col min="6" max="6" width="23.140625" style="411" customWidth="1"/>
    <col min="7" max="7" width="28.42578125" style="411" customWidth="1"/>
    <col min="8" max="8" width="21.5703125" style="411" customWidth="1"/>
    <col min="9" max="9" width="9.140625" style="411" customWidth="1"/>
    <col min="10" max="16384" width="9.140625" style="446"/>
  </cols>
  <sheetData>
    <row r="1" spans="1:5" ht="18.75" customHeight="1" x14ac:dyDescent="0.3">
      <c r="A1" s="453" t="s">
        <v>0</v>
      </c>
      <c r="B1" s="453"/>
      <c r="C1" s="453"/>
      <c r="D1" s="453"/>
      <c r="E1" s="453"/>
    </row>
    <row r="2" spans="1:5" ht="16.5" customHeight="1" x14ac:dyDescent="0.3">
      <c r="A2" s="412" t="s">
        <v>1</v>
      </c>
      <c r="B2" s="413" t="s">
        <v>2</v>
      </c>
    </row>
    <row r="3" spans="1:5" ht="16.5" customHeight="1" x14ac:dyDescent="0.3">
      <c r="A3" s="414" t="s">
        <v>3</v>
      </c>
      <c r="B3" s="414" t="s">
        <v>133</v>
      </c>
      <c r="D3" s="415"/>
      <c r="E3" s="416"/>
    </row>
    <row r="4" spans="1:5" ht="16.5" customHeight="1" x14ac:dyDescent="0.3">
      <c r="A4" s="417" t="s">
        <v>4</v>
      </c>
      <c r="B4" s="414" t="s">
        <v>127</v>
      </c>
      <c r="C4" s="416"/>
      <c r="D4" s="416"/>
      <c r="E4" s="416"/>
    </row>
    <row r="5" spans="1:5" ht="16.5" customHeight="1" x14ac:dyDescent="0.3">
      <c r="A5" s="417" t="s">
        <v>6</v>
      </c>
      <c r="B5" s="418">
        <v>98.8</v>
      </c>
      <c r="C5" s="416"/>
      <c r="D5" s="416"/>
      <c r="E5" s="416"/>
    </row>
    <row r="6" spans="1:5" ht="16.5" customHeight="1" x14ac:dyDescent="0.3">
      <c r="A6" s="414" t="s">
        <v>8</v>
      </c>
      <c r="B6" s="418">
        <v>22.96</v>
      </c>
      <c r="C6" s="416"/>
      <c r="D6" s="416"/>
      <c r="E6" s="416"/>
    </row>
    <row r="7" spans="1:5" ht="16.5" customHeight="1" x14ac:dyDescent="0.3">
      <c r="A7" s="414" t="s">
        <v>10</v>
      </c>
      <c r="B7" s="419">
        <f>B6/50*10/25</f>
        <v>0.18367999999999998</v>
      </c>
      <c r="C7" s="416"/>
      <c r="D7" s="416"/>
      <c r="E7" s="416"/>
    </row>
    <row r="8" spans="1:5" ht="15.75" customHeight="1" x14ac:dyDescent="0.25">
      <c r="A8" s="416"/>
      <c r="B8" s="416"/>
      <c r="C8" s="416"/>
      <c r="D8" s="416"/>
      <c r="E8" s="416"/>
    </row>
    <row r="9" spans="1:5" ht="16.5" customHeight="1" x14ac:dyDescent="0.3">
      <c r="A9" s="420" t="s">
        <v>12</v>
      </c>
      <c r="B9" s="421" t="s">
        <v>13</v>
      </c>
      <c r="C9" s="420" t="s">
        <v>14</v>
      </c>
      <c r="D9" s="420" t="s">
        <v>15</v>
      </c>
      <c r="E9" s="420" t="s">
        <v>16</v>
      </c>
    </row>
    <row r="10" spans="1:5" ht="16.5" customHeight="1" x14ac:dyDescent="0.3">
      <c r="A10" s="422">
        <v>1</v>
      </c>
      <c r="B10" s="423">
        <v>74050937</v>
      </c>
      <c r="C10" s="423">
        <v>43387.5</v>
      </c>
      <c r="D10" s="424">
        <v>1.1000000000000001</v>
      </c>
      <c r="E10" s="425">
        <v>16.399999999999999</v>
      </c>
    </row>
    <row r="11" spans="1:5" ht="16.5" customHeight="1" x14ac:dyDescent="0.3">
      <c r="A11" s="422">
        <v>2</v>
      </c>
      <c r="B11" s="423">
        <v>74082800</v>
      </c>
      <c r="C11" s="423">
        <v>42013.1</v>
      </c>
      <c r="D11" s="424">
        <v>1.1000000000000001</v>
      </c>
      <c r="E11" s="424">
        <v>16.399999999999999</v>
      </c>
    </row>
    <row r="12" spans="1:5" ht="16.5" customHeight="1" x14ac:dyDescent="0.3">
      <c r="A12" s="422">
        <v>3</v>
      </c>
      <c r="B12" s="423">
        <v>74035659</v>
      </c>
      <c r="C12" s="423">
        <v>42333.7</v>
      </c>
      <c r="D12" s="424">
        <v>1.1000000000000001</v>
      </c>
      <c r="E12" s="424">
        <v>16.399999999999999</v>
      </c>
    </row>
    <row r="13" spans="1:5" ht="16.5" customHeight="1" x14ac:dyDescent="0.3">
      <c r="A13" s="422">
        <v>4</v>
      </c>
      <c r="B13" s="423">
        <v>74121658</v>
      </c>
      <c r="C13" s="423">
        <v>41231.199999999997</v>
      </c>
      <c r="D13" s="424">
        <v>1.1000000000000001</v>
      </c>
      <c r="E13" s="424">
        <v>16.399999999999999</v>
      </c>
    </row>
    <row r="14" spans="1:5" ht="16.5" customHeight="1" x14ac:dyDescent="0.3">
      <c r="A14" s="422">
        <v>5</v>
      </c>
      <c r="B14" s="423">
        <v>74167837</v>
      </c>
      <c r="C14" s="423">
        <v>41066.300000000003</v>
      </c>
      <c r="D14" s="424">
        <v>1.1000000000000001</v>
      </c>
      <c r="E14" s="424">
        <v>16.399999999999999</v>
      </c>
    </row>
    <row r="15" spans="1:5" ht="16.5" customHeight="1" x14ac:dyDescent="0.3">
      <c r="A15" s="422">
        <v>6</v>
      </c>
      <c r="B15" s="426">
        <v>73979909</v>
      </c>
      <c r="C15" s="426">
        <v>40909</v>
      </c>
      <c r="D15" s="427">
        <v>1.1000000000000001</v>
      </c>
      <c r="E15" s="427">
        <v>16.399999999999999</v>
      </c>
    </row>
    <row r="16" spans="1:5" ht="16.5" customHeight="1" x14ac:dyDescent="0.3">
      <c r="A16" s="428" t="s">
        <v>17</v>
      </c>
      <c r="B16" s="429">
        <f>AVERAGE(B10:B15)</f>
        <v>74073133.333333328</v>
      </c>
      <c r="C16" s="430">
        <f>AVERAGE(C10:C15)</f>
        <v>41823.466666666667</v>
      </c>
      <c r="D16" s="431">
        <f>AVERAGE(D10:D15)</f>
        <v>1.0999999999999999</v>
      </c>
      <c r="E16" s="431">
        <f>AVERAGE(E10:E15)</f>
        <v>16.400000000000002</v>
      </c>
    </row>
    <row r="17" spans="1:5" ht="16.5" customHeight="1" x14ac:dyDescent="0.3">
      <c r="A17" s="432" t="s">
        <v>18</v>
      </c>
      <c r="B17" s="433">
        <f>(STDEV(B10:B15)/B16)</f>
        <v>8.9559472775765448E-4</v>
      </c>
      <c r="C17" s="434"/>
      <c r="D17" s="434"/>
      <c r="E17" s="435"/>
    </row>
    <row r="18" spans="1:5" s="411" customFormat="1" ht="16.5" customHeight="1" x14ac:dyDescent="0.3">
      <c r="A18" s="436" t="s">
        <v>19</v>
      </c>
      <c r="B18" s="437">
        <f>COUNT(B10:B15)</f>
        <v>6</v>
      </c>
      <c r="C18" s="438"/>
      <c r="D18" s="439"/>
      <c r="E18" s="440"/>
    </row>
    <row r="19" spans="1:5" s="411" customFormat="1" ht="15.75" customHeight="1" x14ac:dyDescent="0.25">
      <c r="A19" s="416"/>
      <c r="B19" s="416"/>
      <c r="C19" s="416"/>
      <c r="D19" s="416"/>
      <c r="E19" s="416"/>
    </row>
    <row r="20" spans="1:5" s="411" customFormat="1" ht="16.5" customHeight="1" x14ac:dyDescent="0.3">
      <c r="A20" s="417" t="s">
        <v>20</v>
      </c>
      <c r="B20" s="441" t="s">
        <v>21</v>
      </c>
      <c r="C20" s="442"/>
      <c r="D20" s="442"/>
      <c r="E20" s="442"/>
    </row>
    <row r="21" spans="1:5" ht="16.5" customHeight="1" x14ac:dyDescent="0.3">
      <c r="A21" s="417"/>
      <c r="B21" s="441" t="s">
        <v>22</v>
      </c>
      <c r="C21" s="442"/>
      <c r="D21" s="442"/>
      <c r="E21" s="442"/>
    </row>
    <row r="22" spans="1:5" ht="16.5" customHeight="1" x14ac:dyDescent="0.3">
      <c r="A22" s="417"/>
      <c r="B22" s="441" t="s">
        <v>23</v>
      </c>
      <c r="C22" s="442"/>
      <c r="D22" s="442"/>
      <c r="E22" s="442"/>
    </row>
    <row r="23" spans="1:5" ht="15.75" customHeight="1" x14ac:dyDescent="0.25">
      <c r="A23" s="416"/>
      <c r="B23" s="416"/>
      <c r="C23" s="416"/>
      <c r="D23" s="416"/>
      <c r="E23" s="416"/>
    </row>
    <row r="24" spans="1:5" ht="16.5" customHeight="1" x14ac:dyDescent="0.3">
      <c r="A24" s="412" t="s">
        <v>1</v>
      </c>
      <c r="B24" s="413" t="s">
        <v>24</v>
      </c>
    </row>
    <row r="25" spans="1:5" ht="16.5" customHeight="1" x14ac:dyDescent="0.3">
      <c r="A25" s="417" t="s">
        <v>4</v>
      </c>
      <c r="B25" s="414" t="s">
        <v>127</v>
      </c>
      <c r="C25" s="416"/>
      <c r="D25" s="416"/>
      <c r="E25" s="416"/>
    </row>
    <row r="26" spans="1:5" ht="16.5" customHeight="1" x14ac:dyDescent="0.3">
      <c r="A26" s="417" t="s">
        <v>6</v>
      </c>
      <c r="B26" s="418">
        <v>99.8</v>
      </c>
      <c r="C26" s="416"/>
      <c r="D26" s="416"/>
      <c r="E26" s="416"/>
    </row>
    <row r="27" spans="1:5" ht="16.5" customHeight="1" x14ac:dyDescent="0.3">
      <c r="A27" s="414" t="s">
        <v>8</v>
      </c>
      <c r="B27" s="418">
        <v>13.4</v>
      </c>
      <c r="C27" s="416"/>
      <c r="D27" s="416"/>
      <c r="E27" s="416"/>
    </row>
    <row r="28" spans="1:5" ht="16.5" customHeight="1" x14ac:dyDescent="0.3">
      <c r="A28" s="414" t="s">
        <v>10</v>
      </c>
      <c r="B28" s="419">
        <v>0.3</v>
      </c>
      <c r="C28" s="416"/>
      <c r="D28" s="416"/>
      <c r="E28" s="416"/>
    </row>
    <row r="29" spans="1:5" ht="15.75" customHeight="1" x14ac:dyDescent="0.25">
      <c r="A29" s="416"/>
      <c r="B29" s="416"/>
      <c r="C29" s="416"/>
      <c r="D29" s="416"/>
      <c r="E29" s="416"/>
    </row>
    <row r="30" spans="1:5" ht="16.5" customHeight="1" x14ac:dyDescent="0.3">
      <c r="A30" s="420" t="s">
        <v>12</v>
      </c>
      <c r="B30" s="421" t="s">
        <v>13</v>
      </c>
      <c r="C30" s="420" t="s">
        <v>14</v>
      </c>
      <c r="D30" s="420" t="s">
        <v>15</v>
      </c>
      <c r="E30" s="420" t="s">
        <v>16</v>
      </c>
    </row>
    <row r="31" spans="1:5" ht="16.5" customHeight="1" x14ac:dyDescent="0.3">
      <c r="A31" s="422">
        <v>1</v>
      </c>
      <c r="B31" s="423">
        <v>28472934</v>
      </c>
      <c r="C31" s="423">
        <v>25676</v>
      </c>
      <c r="D31" s="424">
        <v>1.5</v>
      </c>
      <c r="E31" s="425">
        <v>10.1</v>
      </c>
    </row>
    <row r="32" spans="1:5" ht="16.5" customHeight="1" x14ac:dyDescent="0.3">
      <c r="A32" s="422">
        <v>2</v>
      </c>
      <c r="B32" s="423">
        <v>28140184</v>
      </c>
      <c r="C32" s="423">
        <v>23716.7</v>
      </c>
      <c r="D32" s="424">
        <v>1.5</v>
      </c>
      <c r="E32" s="424">
        <v>10</v>
      </c>
    </row>
    <row r="33" spans="1:7" ht="16.5" customHeight="1" x14ac:dyDescent="0.3">
      <c r="A33" s="422">
        <v>3</v>
      </c>
      <c r="B33" s="423">
        <v>28741023</v>
      </c>
      <c r="C33" s="423">
        <v>25494.2</v>
      </c>
      <c r="D33" s="424">
        <v>1.5</v>
      </c>
      <c r="E33" s="424">
        <v>10.1</v>
      </c>
    </row>
    <row r="34" spans="1:7" ht="16.5" customHeight="1" x14ac:dyDescent="0.3">
      <c r="A34" s="422">
        <v>4</v>
      </c>
      <c r="B34" s="423">
        <v>28627743</v>
      </c>
      <c r="C34" s="423">
        <v>24569.7</v>
      </c>
      <c r="D34" s="424">
        <v>1.5</v>
      </c>
      <c r="E34" s="424">
        <v>10.1</v>
      </c>
    </row>
    <row r="35" spans="1:7" ht="16.5" customHeight="1" x14ac:dyDescent="0.3">
      <c r="A35" s="422">
        <v>5</v>
      </c>
      <c r="B35" s="423">
        <v>28461409</v>
      </c>
      <c r="C35" s="423">
        <v>24975.5</v>
      </c>
      <c r="D35" s="424">
        <v>1.6</v>
      </c>
      <c r="E35" s="424">
        <v>10.1</v>
      </c>
    </row>
    <row r="36" spans="1:7" ht="16.5" customHeight="1" x14ac:dyDescent="0.3">
      <c r="A36" s="422">
        <v>6</v>
      </c>
      <c r="B36" s="426"/>
      <c r="C36" s="426"/>
      <c r="D36" s="427"/>
      <c r="E36" s="427"/>
    </row>
    <row r="37" spans="1:7" ht="16.5" customHeight="1" x14ac:dyDescent="0.3">
      <c r="A37" s="428" t="s">
        <v>17</v>
      </c>
      <c r="B37" s="429">
        <f>AVERAGE(B31:B36)</f>
        <v>28488658.600000001</v>
      </c>
      <c r="C37" s="430">
        <f>AVERAGE(C31:C36)</f>
        <v>24886.42</v>
      </c>
      <c r="D37" s="431">
        <f>AVERAGE(D31:D36)</f>
        <v>1.52</v>
      </c>
      <c r="E37" s="431">
        <f>AVERAGE(E31:E36)</f>
        <v>10.080000000000002</v>
      </c>
    </row>
    <row r="38" spans="1:7" ht="16.5" customHeight="1" x14ac:dyDescent="0.3">
      <c r="A38" s="432" t="s">
        <v>18</v>
      </c>
      <c r="B38" s="433">
        <f>(STDEV(B31:B36)/B37)</f>
        <v>7.9553275151953359E-3</v>
      </c>
      <c r="C38" s="434"/>
      <c r="D38" s="434"/>
      <c r="E38" s="435"/>
    </row>
    <row r="39" spans="1:7" s="411" customFormat="1" ht="16.5" customHeight="1" x14ac:dyDescent="0.3">
      <c r="A39" s="436" t="s">
        <v>19</v>
      </c>
      <c r="B39" s="437">
        <f>COUNT(B31:B36)</f>
        <v>5</v>
      </c>
      <c r="C39" s="438"/>
      <c r="D39" s="439"/>
      <c r="E39" s="440"/>
    </row>
    <row r="40" spans="1:7" s="411" customFormat="1" ht="15.75" customHeight="1" x14ac:dyDescent="0.25">
      <c r="A40" s="416"/>
      <c r="B40" s="416"/>
      <c r="C40" s="416"/>
      <c r="D40" s="416"/>
      <c r="E40" s="416"/>
    </row>
    <row r="41" spans="1:7" s="411" customFormat="1" ht="16.5" customHeight="1" x14ac:dyDescent="0.3">
      <c r="A41" s="417" t="s">
        <v>20</v>
      </c>
      <c r="B41" s="441" t="s">
        <v>130</v>
      </c>
      <c r="C41" s="442"/>
      <c r="D41" s="442"/>
      <c r="E41" s="442"/>
    </row>
    <row r="42" spans="1:7" ht="16.5" customHeight="1" x14ac:dyDescent="0.3">
      <c r="A42" s="417"/>
      <c r="B42" s="441" t="s">
        <v>22</v>
      </c>
      <c r="C42" s="442"/>
      <c r="D42" s="442"/>
      <c r="E42" s="442"/>
    </row>
    <row r="43" spans="1:7" ht="16.5" customHeight="1" x14ac:dyDescent="0.3">
      <c r="A43" s="417"/>
      <c r="B43" s="441" t="s">
        <v>23</v>
      </c>
      <c r="C43" s="442"/>
      <c r="D43" s="442"/>
      <c r="E43" s="442"/>
    </row>
    <row r="44" spans="1:7" ht="14.25" customHeight="1" thickBot="1" x14ac:dyDescent="0.3">
      <c r="A44" s="443"/>
      <c r="B44" s="444"/>
      <c r="D44" s="445"/>
      <c r="F44" s="446"/>
      <c r="G44" s="446"/>
    </row>
    <row r="45" spans="1:7" ht="15" customHeight="1" x14ac:dyDescent="0.3">
      <c r="B45" s="454" t="s">
        <v>25</v>
      </c>
      <c r="C45" s="454"/>
      <c r="E45" s="447" t="s">
        <v>26</v>
      </c>
      <c r="F45" s="448"/>
      <c r="G45" s="447" t="s">
        <v>27</v>
      </c>
    </row>
    <row r="46" spans="1:7" ht="15" customHeight="1" x14ac:dyDescent="0.3">
      <c r="A46" s="449" t="s">
        <v>28</v>
      </c>
      <c r="B46" s="450"/>
      <c r="C46" s="450"/>
      <c r="E46" s="450"/>
      <c r="G46" s="450"/>
    </row>
    <row r="47" spans="1:7" ht="15" customHeight="1" x14ac:dyDescent="0.3">
      <c r="A47" s="449" t="s">
        <v>29</v>
      </c>
      <c r="B47" s="451"/>
      <c r="C47" s="451"/>
      <c r="E47" s="451"/>
      <c r="G47" s="452"/>
    </row>
  </sheetData>
  <sheetProtection formatCells="0" formatColumns="0" formatRows="0" insertColumns="0" insertRows="0" insertHyperlinks="0" deleteColumns="0" deleteRows="0" sort="0" autoFilter="0" pivotTables="0"/>
  <mergeCells count="2">
    <mergeCell ref="A1:E1"/>
    <mergeCell ref="B45:C45"/>
  </mergeCells>
  <pageMargins left="0.7" right="0.7" top="0.75" bottom="0.75" header="0.3" footer="0.3"/>
  <pageSetup scale="5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view="pageBreakPreview" topLeftCell="A25" workbookViewId="0">
      <selection activeCell="B43" sqref="B43:E43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" spans="1:7" ht="13.5" customHeight="1" thickBot="1" x14ac:dyDescent="0.35">
      <c r="A1" s="458" t="s">
        <v>30</v>
      </c>
      <c r="B1" s="459"/>
      <c r="C1" s="459"/>
      <c r="D1" s="459"/>
      <c r="E1" s="459"/>
      <c r="F1" s="460"/>
      <c r="G1" s="42"/>
    </row>
    <row r="2" spans="1:7" ht="16.5" customHeight="1" x14ac:dyDescent="0.3">
      <c r="A2" s="457" t="s">
        <v>31</v>
      </c>
      <c r="B2" s="457"/>
      <c r="C2" s="457"/>
      <c r="D2" s="457"/>
      <c r="E2" s="457"/>
      <c r="F2" s="457"/>
      <c r="G2" s="41"/>
    </row>
    <row r="4" spans="1:7" ht="16.5" customHeight="1" x14ac:dyDescent="0.3">
      <c r="A4" s="462" t="s">
        <v>32</v>
      </c>
      <c r="B4" s="462"/>
      <c r="C4" s="12" t="s">
        <v>5</v>
      </c>
    </row>
    <row r="5" spans="1:7" ht="16.5" customHeight="1" x14ac:dyDescent="0.3">
      <c r="A5" s="462" t="s">
        <v>33</v>
      </c>
      <c r="B5" s="462"/>
      <c r="C5" s="12" t="s">
        <v>7</v>
      </c>
    </row>
    <row r="6" spans="1:7" ht="16.5" customHeight="1" x14ac:dyDescent="0.3">
      <c r="A6" s="462" t="s">
        <v>34</v>
      </c>
      <c r="B6" s="462"/>
      <c r="C6" s="12" t="s">
        <v>9</v>
      </c>
    </row>
    <row r="7" spans="1:7" ht="16.5" customHeight="1" x14ac:dyDescent="0.3">
      <c r="A7" s="462" t="s">
        <v>35</v>
      </c>
      <c r="B7" s="462"/>
      <c r="C7" s="12" t="s">
        <v>11</v>
      </c>
    </row>
    <row r="8" spans="1:7" ht="16.5" customHeight="1" x14ac:dyDescent="0.3">
      <c r="A8" s="462" t="s">
        <v>36</v>
      </c>
      <c r="B8" s="462"/>
      <c r="C8" s="48">
        <v>42412</v>
      </c>
    </row>
    <row r="9" spans="1:7" ht="16.5" customHeight="1" x14ac:dyDescent="0.3">
      <c r="A9" s="462" t="s">
        <v>37</v>
      </c>
      <c r="B9" s="462"/>
      <c r="C9" s="48">
        <v>42425</v>
      </c>
    </row>
    <row r="10" spans="1:7" ht="16.5" customHeight="1" x14ac:dyDescent="0.3">
      <c r="A10" s="14"/>
      <c r="B10" s="14"/>
      <c r="C10" s="28"/>
    </row>
    <row r="11" spans="1:7" ht="16.5" customHeight="1" x14ac:dyDescent="0.3">
      <c r="A11" s="457" t="s">
        <v>1</v>
      </c>
      <c r="B11" s="457"/>
      <c r="C11" s="11" t="s">
        <v>38</v>
      </c>
      <c r="D11" s="18"/>
    </row>
    <row r="12" spans="1:7" ht="15.75" customHeight="1" x14ac:dyDescent="0.3">
      <c r="A12" s="461"/>
      <c r="B12" s="461"/>
      <c r="C12" s="9"/>
      <c r="D12" s="461"/>
      <c r="E12" s="461"/>
    </row>
    <row r="13" spans="1:7" ht="33.75" customHeight="1" x14ac:dyDescent="0.3">
      <c r="C13" s="37" t="s">
        <v>39</v>
      </c>
      <c r="D13" s="36" t="s">
        <v>40</v>
      </c>
      <c r="E13" s="4"/>
    </row>
    <row r="14" spans="1:7" ht="15.75" customHeight="1" x14ac:dyDescent="0.3">
      <c r="C14" s="46">
        <v>1100.33</v>
      </c>
      <c r="D14" s="38">
        <f t="shared" ref="D14:D33" si="0">(C14-$C$36)/$C$36</f>
        <v>-1.0709899464325242E-2</v>
      </c>
      <c r="E14" s="5"/>
    </row>
    <row r="15" spans="1:7" ht="15.75" customHeight="1" x14ac:dyDescent="0.3">
      <c r="C15" s="46">
        <v>1091.06</v>
      </c>
      <c r="D15" s="39">
        <f t="shared" si="0"/>
        <v>-1.9044416592791873E-2</v>
      </c>
      <c r="E15" s="5"/>
    </row>
    <row r="16" spans="1:7" ht="15.75" customHeight="1" x14ac:dyDescent="0.3">
      <c r="C16" s="46">
        <v>1099.1500000000001</v>
      </c>
      <c r="D16" s="39">
        <f t="shared" si="0"/>
        <v>-1.177081965975019E-2</v>
      </c>
      <c r="E16" s="5"/>
    </row>
    <row r="17" spans="3:5" ht="15.75" customHeight="1" x14ac:dyDescent="0.3">
      <c r="C17" s="46">
        <v>1111.97</v>
      </c>
      <c r="D17" s="39">
        <f t="shared" si="0"/>
        <v>-2.4455109589453962E-4</v>
      </c>
      <c r="E17" s="5"/>
    </row>
    <row r="18" spans="3:5" ht="15.75" customHeight="1" x14ac:dyDescent="0.3">
      <c r="C18" s="46">
        <v>1114.94</v>
      </c>
      <c r="D18" s="39">
        <f t="shared" si="0"/>
        <v>2.4257310908957701E-3</v>
      </c>
      <c r="E18" s="5"/>
    </row>
    <row r="19" spans="3:5" ht="15.75" customHeight="1" x14ac:dyDescent="0.3">
      <c r="C19" s="46">
        <v>1103.31</v>
      </c>
      <c r="D19" s="39">
        <f t="shared" si="0"/>
        <v>-8.0306264284211674E-3</v>
      </c>
      <c r="E19" s="5"/>
    </row>
    <row r="20" spans="3:5" ht="15.75" customHeight="1" x14ac:dyDescent="0.3">
      <c r="C20" s="46">
        <v>1107.45</v>
      </c>
      <c r="D20" s="39">
        <f t="shared" si="0"/>
        <v>-4.3084148953194687E-3</v>
      </c>
      <c r="E20" s="5"/>
    </row>
    <row r="21" spans="3:5" ht="15.75" customHeight="1" x14ac:dyDescent="0.3">
      <c r="C21" s="46">
        <v>1130.4000000000001</v>
      </c>
      <c r="D21" s="39">
        <f t="shared" si="0"/>
        <v>1.6325583820787318E-2</v>
      </c>
      <c r="E21" s="5"/>
    </row>
    <row r="22" spans="3:5" ht="15.75" customHeight="1" x14ac:dyDescent="0.3">
      <c r="C22" s="46">
        <v>1118.8900000000001</v>
      </c>
      <c r="D22" s="39">
        <f t="shared" si="0"/>
        <v>5.9771164908357516E-3</v>
      </c>
      <c r="E22" s="5"/>
    </row>
    <row r="23" spans="3:5" ht="15.75" customHeight="1" x14ac:dyDescent="0.3">
      <c r="C23" s="46">
        <v>1115.8699999999999</v>
      </c>
      <c r="D23" s="39">
        <f t="shared" si="0"/>
        <v>3.261880058476419E-3</v>
      </c>
      <c r="E23" s="5"/>
    </row>
    <row r="24" spans="3:5" ht="15.75" customHeight="1" x14ac:dyDescent="0.3">
      <c r="C24" s="46">
        <v>1095.46</v>
      </c>
      <c r="D24" s="39">
        <f t="shared" si="0"/>
        <v>-1.5088442982732108E-2</v>
      </c>
      <c r="E24" s="5"/>
    </row>
    <row r="25" spans="3:5" ht="15.75" customHeight="1" x14ac:dyDescent="0.3">
      <c r="C25" s="46">
        <v>1150.01</v>
      </c>
      <c r="D25" s="39">
        <f t="shared" si="0"/>
        <v>3.3956638932894127E-2</v>
      </c>
      <c r="E25" s="5"/>
    </row>
    <row r="26" spans="3:5" ht="15.75" customHeight="1" x14ac:dyDescent="0.3">
      <c r="C26" s="46">
        <v>1124.25</v>
      </c>
      <c r="D26" s="39">
        <f t="shared" si="0"/>
        <v>1.0796211615817456E-2</v>
      </c>
      <c r="E26" s="5"/>
    </row>
    <row r="27" spans="3:5" ht="15.75" customHeight="1" x14ac:dyDescent="0.3">
      <c r="C27" s="46">
        <v>1092.7</v>
      </c>
      <c r="D27" s="39">
        <f t="shared" si="0"/>
        <v>-1.7569917338133172E-2</v>
      </c>
      <c r="E27" s="5"/>
    </row>
    <row r="28" spans="3:5" ht="15.75" customHeight="1" x14ac:dyDescent="0.3">
      <c r="C28" s="46">
        <v>1127.3699999999999</v>
      </c>
      <c r="D28" s="39">
        <f t="shared" si="0"/>
        <v>1.3601356539314222E-2</v>
      </c>
      <c r="E28" s="5"/>
    </row>
    <row r="29" spans="3:5" ht="15.75" customHeight="1" x14ac:dyDescent="0.3">
      <c r="C29" s="46">
        <v>1124.74</v>
      </c>
      <c r="D29" s="39">
        <f t="shared" si="0"/>
        <v>1.1236763222392292E-2</v>
      </c>
      <c r="E29" s="5"/>
    </row>
    <row r="30" spans="3:5" ht="15.75" customHeight="1" x14ac:dyDescent="0.3">
      <c r="C30" s="46">
        <v>1119.1400000000001</v>
      </c>
      <c r="D30" s="39">
        <f t="shared" si="0"/>
        <v>6.2018877186800518E-3</v>
      </c>
      <c r="E30" s="5"/>
    </row>
    <row r="31" spans="3:5" ht="15.75" customHeight="1" x14ac:dyDescent="0.3">
      <c r="C31" s="46">
        <v>1088.07</v>
      </c>
      <c r="D31" s="39">
        <f t="shared" si="0"/>
        <v>-2.1732680477809709E-2</v>
      </c>
      <c r="E31" s="5"/>
    </row>
    <row r="32" spans="3:5" ht="15.75" customHeight="1" x14ac:dyDescent="0.3">
      <c r="C32" s="46">
        <v>1103.75</v>
      </c>
      <c r="D32" s="39">
        <f t="shared" si="0"/>
        <v>-7.6350290674151505E-3</v>
      </c>
      <c r="E32" s="5"/>
    </row>
    <row r="33" spans="1:7" ht="16.5" customHeight="1" x14ac:dyDescent="0.3">
      <c r="C33" s="47">
        <v>1125.98</v>
      </c>
      <c r="D33" s="40">
        <f t="shared" si="0"/>
        <v>1.2351628512500028E-2</v>
      </c>
      <c r="E33" s="5"/>
    </row>
    <row r="34" spans="1:7" ht="16.5" customHeight="1" x14ac:dyDescent="0.3">
      <c r="C34" s="6"/>
      <c r="D34" s="5"/>
      <c r="E34" s="7"/>
    </row>
    <row r="35" spans="1:7" ht="16.5" customHeight="1" x14ac:dyDescent="0.3">
      <c r="B35" s="33" t="s">
        <v>41</v>
      </c>
      <c r="C35" s="34">
        <f>SUM(C14:C34)</f>
        <v>22244.84</v>
      </c>
      <c r="D35" s="29"/>
      <c r="E35" s="6"/>
    </row>
    <row r="36" spans="1:7" ht="17.25" customHeight="1" x14ac:dyDescent="0.3">
      <c r="B36" s="33" t="s">
        <v>42</v>
      </c>
      <c r="C36" s="35">
        <f>AVERAGE(C14:C34)</f>
        <v>1112.242</v>
      </c>
      <c r="E36" s="8"/>
    </row>
    <row r="37" spans="1:7" ht="17.25" customHeight="1" x14ac:dyDescent="0.3">
      <c r="A37" s="12"/>
      <c r="B37" s="30"/>
      <c r="D37" s="10"/>
      <c r="E37" s="8"/>
    </row>
    <row r="38" spans="1:7" ht="33.75" customHeight="1" x14ac:dyDescent="0.3">
      <c r="B38" s="43" t="s">
        <v>42</v>
      </c>
      <c r="C38" s="36" t="s">
        <v>43</v>
      </c>
      <c r="D38" s="31"/>
      <c r="G38" s="10"/>
    </row>
    <row r="39" spans="1:7" ht="17.25" customHeight="1" x14ac:dyDescent="0.3">
      <c r="B39" s="455">
        <f>C36</f>
        <v>1112.242</v>
      </c>
      <c r="C39" s="44">
        <f>-IF(C36&lt;=80,10%,IF(C36&lt;250,7.5%,5%))</f>
        <v>-0.05</v>
      </c>
      <c r="D39" s="32">
        <f>IF(C36&lt;=80,C36*0.9,IF(C36&lt;250,C36*0.925,C36*0.95))</f>
        <v>1056.6298999999999</v>
      </c>
    </row>
    <row r="40" spans="1:7" ht="17.25" customHeight="1" x14ac:dyDescent="0.3">
      <c r="B40" s="456"/>
      <c r="C40" s="45">
        <f>IF(C36&lt;=80, 10%, IF(C36&lt;250, 7.5%, 5%))</f>
        <v>0.05</v>
      </c>
      <c r="D40" s="32">
        <f>IF(C36&lt;=80, C36*1.1, IF(C36&lt;250, C36*1.075, C36*1.05))</f>
        <v>1167.8541</v>
      </c>
    </row>
    <row r="41" spans="1:7" ht="16.5" customHeight="1" x14ac:dyDescent="0.3">
      <c r="A41" s="15"/>
      <c r="B41" s="16"/>
      <c r="C41" s="12"/>
      <c r="D41" s="17"/>
      <c r="E41" s="12"/>
      <c r="F41" s="18"/>
    </row>
    <row r="42" spans="1:7" ht="16.5" customHeight="1" x14ac:dyDescent="0.3">
      <c r="A42" s="12"/>
      <c r="B42" s="19" t="s">
        <v>25</v>
      </c>
      <c r="C42" s="19"/>
      <c r="D42" s="20" t="s">
        <v>26</v>
      </c>
      <c r="E42" s="21"/>
      <c r="F42" s="20" t="s">
        <v>27</v>
      </c>
    </row>
    <row r="43" spans="1:7" ht="34.5" customHeight="1" x14ac:dyDescent="0.3">
      <c r="A43" s="22" t="s">
        <v>28</v>
      </c>
      <c r="B43" s="24" t="s">
        <v>134</v>
      </c>
      <c r="C43" s="23"/>
      <c r="D43" s="24" t="s">
        <v>135</v>
      </c>
      <c r="E43" s="23"/>
      <c r="F43" s="24"/>
    </row>
    <row r="44" spans="1:7" ht="34.5" customHeight="1" x14ac:dyDescent="0.3">
      <c r="A44" s="22" t="s">
        <v>29</v>
      </c>
      <c r="B44" s="25"/>
      <c r="C44" s="26"/>
      <c r="D44" s="25"/>
      <c r="E44" s="13"/>
      <c r="F44" s="27"/>
    </row>
  </sheetData>
  <sheetProtection formatCells="0" formatColumns="0" formatRows="0" insertColumns="0" insertRows="0" insertHyperlinks="0" deleteColumns="0" deleteRows="0" sort="0" autoFilter="0" pivotTables="0"/>
  <mergeCells count="12">
    <mergeCell ref="B39:B40"/>
    <mergeCell ref="A2:F2"/>
    <mergeCell ref="A1:F1"/>
    <mergeCell ref="A12:B12"/>
    <mergeCell ref="D12:E12"/>
    <mergeCell ref="A4:B4"/>
    <mergeCell ref="A5:B5"/>
    <mergeCell ref="A6:B6"/>
    <mergeCell ref="A7:B7"/>
    <mergeCell ref="A8:B8"/>
    <mergeCell ref="A9:B9"/>
    <mergeCell ref="A11:B11"/>
  </mergeCells>
  <conditionalFormatting sqref="D14">
    <cfRule type="cellIs" dxfId="38" priority="1" operator="notBetween">
      <formula>IF(C36&lt;=80,-10.5%,IF(C36&lt;250,-7.5%,-5.5%))</formula>
      <formula>IF(C36&lt;=80,10.5%, IF(C36&lt;250,7.5%, C36*5.5%))</formula>
    </cfRule>
  </conditionalFormatting>
  <conditionalFormatting sqref="D15">
    <cfRule type="cellIs" dxfId="37" priority="2" operator="notBetween">
      <formula>IF(C36&lt;=80,-10.5%,IF(C36&lt;250,-7.5%,-5.5%))</formula>
      <formula>IF(C36&lt;=80,10.5%, IF(C36&lt;250,7.5%, C36*5.5%))</formula>
    </cfRule>
  </conditionalFormatting>
  <conditionalFormatting sqref="D16">
    <cfRule type="cellIs" dxfId="36" priority="3" operator="notBetween">
      <formula>IF(C36&lt;=80,-10.5%,IF(C36&lt;250,-7.5%,-5.5%))</formula>
      <formula>IF(C36&lt;=80,10.5%, IF(C36&lt;250,7.5%, C36*5.5%))</formula>
    </cfRule>
  </conditionalFormatting>
  <conditionalFormatting sqref="D17">
    <cfRule type="cellIs" dxfId="35" priority="4" operator="notBetween">
      <formula>IF(C36&lt;=80,-10.5%,IF(C36&lt;250,-7.5%,-5.5%))</formula>
      <formula>IF(C36&lt;=80,10.5%, IF(C36&lt;250,7.5%, C36*5.5%))</formula>
    </cfRule>
  </conditionalFormatting>
  <conditionalFormatting sqref="D18">
    <cfRule type="cellIs" dxfId="34" priority="5" operator="notBetween">
      <formula>IF(C36&lt;=80,-10.5%,IF(C36&lt;250,-7.5%,-5.5%))</formula>
      <formula>IF(C36&lt;=80,10.5%, IF(C36&lt;250,7.5%, C36*5.5%))</formula>
    </cfRule>
  </conditionalFormatting>
  <conditionalFormatting sqref="D19">
    <cfRule type="cellIs" dxfId="33" priority="6" operator="notBetween">
      <formula>IF(C36&lt;=80,-10.5%,IF(C36&lt;250,-7.5%,-5.5%))</formula>
      <formula>IF(C36&lt;=80,10.5%, IF(C36&lt;250,7.5%, C36*5.5%))</formula>
    </cfRule>
  </conditionalFormatting>
  <conditionalFormatting sqref="D20">
    <cfRule type="cellIs" dxfId="32" priority="7" operator="notBetween">
      <formula>IF(C36&lt;=80,-10.5%,IF(C36&lt;250,-7.5%,-5.5%))</formula>
      <formula>IF(C36&lt;=80,10.5%, IF(C36&lt;250,7.5%, C36*5.5%))</formula>
    </cfRule>
  </conditionalFormatting>
  <conditionalFormatting sqref="D21">
    <cfRule type="cellIs" dxfId="31" priority="8" operator="notBetween">
      <formula>IF(C36&lt;=80,-10.5%,IF(C36&lt;250,-7.5%,-5.5%))</formula>
      <formula>IF(C36&lt;=80,10.5%, IF(C36&lt;250,7.5%, C36*5.5%))</formula>
    </cfRule>
  </conditionalFormatting>
  <conditionalFormatting sqref="D22">
    <cfRule type="cellIs" dxfId="30" priority="9" operator="notBetween">
      <formula>IF(C36&lt;=80,-10.5%,IF(C36&lt;250,-7.5%,-5.5%))</formula>
      <formula>IF(C36&lt;=80,10.5%, IF(C36&lt;250,7.5%, C36*5.5%))</formula>
    </cfRule>
  </conditionalFormatting>
  <conditionalFormatting sqref="D23">
    <cfRule type="cellIs" dxfId="29" priority="10" operator="notBetween">
      <formula>IF(C36&lt;=80,-10.5%,IF(C36&lt;250,-7.5%,-5.5%))</formula>
      <formula>IF(C36&lt;=80,10.5%, IF(C36&lt;250,7.5%, C36*5.5%))</formula>
    </cfRule>
  </conditionalFormatting>
  <conditionalFormatting sqref="D24">
    <cfRule type="cellIs" dxfId="28" priority="11" operator="notBetween">
      <formula>IF(C36&lt;=80,-10.5%,IF(C36&lt;250,-7.5%,-5.5%))</formula>
      <formula>IF(C36&lt;=80,10.5%, IF(C36&lt;250,7.5%, C36*5.5%))</formula>
    </cfRule>
  </conditionalFormatting>
  <conditionalFormatting sqref="D25">
    <cfRule type="cellIs" dxfId="27" priority="12" operator="notBetween">
      <formula>IF(C36&lt;=80,-10.5%,IF(C36&lt;250,-7.5%,-5.5%))</formula>
      <formula>IF(C36&lt;=80,10.5%, IF(C36&lt;250,7.5%, C36*5.5%))</formula>
    </cfRule>
  </conditionalFormatting>
  <conditionalFormatting sqref="D26">
    <cfRule type="cellIs" dxfId="26" priority="13" operator="notBetween">
      <formula>IF(C36&lt;=80,-10.5%,IF(C36&lt;250,-7.5%,-5.5%))</formula>
      <formula>IF(C36&lt;=80,10.5%, IF(C36&lt;250,7.5%, C36*5.5%))</formula>
    </cfRule>
  </conditionalFormatting>
  <conditionalFormatting sqref="D27">
    <cfRule type="cellIs" dxfId="25" priority="14" operator="notBetween">
      <formula>IF(C36&lt;=80,-10.5%,IF(C36&lt;250,-7.5%,-5.5%))</formula>
      <formula>IF(C36&lt;=80,10.5%, IF(C36&lt;250,7.5%, C36*5.5%))</formula>
    </cfRule>
  </conditionalFormatting>
  <conditionalFormatting sqref="D28">
    <cfRule type="cellIs" dxfId="24" priority="15" operator="notBetween">
      <formula>IF(C36&lt;=80,-10.5%,IF(C36&lt;250,-7.5%,-5.5%))</formula>
      <formula>IF(C36&lt;=80,10.5%, IF(C36&lt;250,7.5%, C36*5.5%))</formula>
    </cfRule>
  </conditionalFormatting>
  <conditionalFormatting sqref="D29">
    <cfRule type="cellIs" dxfId="23" priority="16" operator="notBetween">
      <formula>IF(C36&lt;=80,-10.5%,IF(C36&lt;250,-7.5%,-5.5%))</formula>
      <formula>IF(C36&lt;=80,10.5%, IF(C36&lt;250,7.5%, C36*5.5%))</formula>
    </cfRule>
  </conditionalFormatting>
  <conditionalFormatting sqref="D30">
    <cfRule type="cellIs" dxfId="22" priority="17" operator="notBetween">
      <formula>IF(C36&lt;=80,-10.5%,IF(C36&lt;250,-7.5%,-5.5%))</formula>
      <formula>IF(C36&lt;=80,10.5%, IF(C36&lt;250,7.5%, C36*5.5%))</formula>
    </cfRule>
  </conditionalFormatting>
  <conditionalFormatting sqref="D31">
    <cfRule type="cellIs" dxfId="21" priority="18" operator="notBetween">
      <formula>IF(C36&lt;=80,-10.5%,IF(C36&lt;250,-7.5%,-5.5%))</formula>
      <formula>IF(C36&lt;=80,10.5%, IF(C36&lt;250,7.5%, C36*5.5%))</formula>
    </cfRule>
  </conditionalFormatting>
  <conditionalFormatting sqref="D32">
    <cfRule type="cellIs" dxfId="20" priority="19" operator="notBetween">
      <formula>IF(C36&lt;=80,-10.5%,IF(C36&lt;250,-7.5%,-5.5%))</formula>
      <formula>IF(C36&lt;=80,10.5%, IF(C36&lt;250,7.5%, C36*5.5%))</formula>
    </cfRule>
  </conditionalFormatting>
  <conditionalFormatting sqref="D33">
    <cfRule type="cellIs" dxfId="19" priority="20" operator="notBetween">
      <formula>IF(C36&lt;=80,-10.5%,IF(C36&lt;250,-7.5%,-5.5%))</formula>
      <formula>IF(C36&lt;=80,10.5%, IF(C36&lt;250,7.5%, C36*5.5%))</formula>
    </cfRule>
  </conditionalFormatting>
  <conditionalFormatting sqref="D34">
    <cfRule type="cellIs" dxfId="18" priority="21" operator="notBetween">
      <formula>IF(C36&lt;=80,-10.5%,IF(C36&lt;250,-7.5%,-5.5%))</formula>
      <formula>IF(C36&lt;=80,10.5%, IF(C36&lt;250,7.5%, C36*5.5%))</formula>
    </cfRule>
  </conditionalFormatting>
  <pageMargins left="0.75" right="0.75" top="1" bottom="1" header="0.5" footer="0.5"/>
  <pageSetup scale="6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BreakPreview" topLeftCell="A48" zoomScale="55" zoomScaleNormal="60" zoomScaleSheetLayoutView="55" zoomScalePageLayoutView="55" workbookViewId="0">
      <selection activeCell="G70" sqref="G70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491" t="s">
        <v>44</v>
      </c>
      <c r="B1" s="491"/>
      <c r="C1" s="491"/>
      <c r="D1" s="491"/>
      <c r="E1" s="491"/>
      <c r="F1" s="491"/>
      <c r="G1" s="491"/>
      <c r="H1" s="491"/>
      <c r="I1" s="491"/>
    </row>
    <row r="2" spans="1:9" ht="18.75" customHeight="1" x14ac:dyDescent="0.25">
      <c r="A2" s="491"/>
      <c r="B2" s="491"/>
      <c r="C2" s="491"/>
      <c r="D2" s="491"/>
      <c r="E2" s="491"/>
      <c r="F2" s="491"/>
      <c r="G2" s="491"/>
      <c r="H2" s="491"/>
      <c r="I2" s="491"/>
    </row>
    <row r="3" spans="1:9" ht="18.75" customHeight="1" x14ac:dyDescent="0.25">
      <c r="A3" s="491"/>
      <c r="B3" s="491"/>
      <c r="C3" s="491"/>
      <c r="D3" s="491"/>
      <c r="E3" s="491"/>
      <c r="F3" s="491"/>
      <c r="G3" s="491"/>
      <c r="H3" s="491"/>
      <c r="I3" s="491"/>
    </row>
    <row r="4" spans="1:9" ht="18.75" customHeight="1" x14ac:dyDescent="0.25">
      <c r="A4" s="491"/>
      <c r="B4" s="491"/>
      <c r="C4" s="491"/>
      <c r="D4" s="491"/>
      <c r="E4" s="491"/>
      <c r="F4" s="491"/>
      <c r="G4" s="491"/>
      <c r="H4" s="491"/>
      <c r="I4" s="491"/>
    </row>
    <row r="5" spans="1:9" ht="18.75" customHeight="1" x14ac:dyDescent="0.25">
      <c r="A5" s="491"/>
      <c r="B5" s="491"/>
      <c r="C5" s="491"/>
      <c r="D5" s="491"/>
      <c r="E5" s="491"/>
      <c r="F5" s="491"/>
      <c r="G5" s="491"/>
      <c r="H5" s="491"/>
      <c r="I5" s="491"/>
    </row>
    <row r="6" spans="1:9" ht="18.75" customHeight="1" x14ac:dyDescent="0.25">
      <c r="A6" s="491"/>
      <c r="B6" s="491"/>
      <c r="C6" s="491"/>
      <c r="D6" s="491"/>
      <c r="E6" s="491"/>
      <c r="F6" s="491"/>
      <c r="G6" s="491"/>
      <c r="H6" s="491"/>
      <c r="I6" s="491"/>
    </row>
    <row r="7" spans="1:9" ht="18.75" customHeight="1" x14ac:dyDescent="0.25">
      <c r="A7" s="491"/>
      <c r="B7" s="491"/>
      <c r="C7" s="491"/>
      <c r="D7" s="491"/>
      <c r="E7" s="491"/>
      <c r="F7" s="491"/>
      <c r="G7" s="491"/>
      <c r="H7" s="491"/>
      <c r="I7" s="491"/>
    </row>
    <row r="8" spans="1:9" x14ac:dyDescent="0.25">
      <c r="A8" s="492" t="s">
        <v>45</v>
      </c>
      <c r="B8" s="492"/>
      <c r="C8" s="492"/>
      <c r="D8" s="492"/>
      <c r="E8" s="492"/>
      <c r="F8" s="492"/>
      <c r="G8" s="492"/>
      <c r="H8" s="492"/>
      <c r="I8" s="492"/>
    </row>
    <row r="9" spans="1:9" x14ac:dyDescent="0.25">
      <c r="A9" s="492"/>
      <c r="B9" s="492"/>
      <c r="C9" s="492"/>
      <c r="D9" s="492"/>
      <c r="E9" s="492"/>
      <c r="F9" s="492"/>
      <c r="G9" s="492"/>
      <c r="H9" s="492"/>
      <c r="I9" s="492"/>
    </row>
    <row r="10" spans="1:9" x14ac:dyDescent="0.25">
      <c r="A10" s="492"/>
      <c r="B10" s="492"/>
      <c r="C10" s="492"/>
      <c r="D10" s="492"/>
      <c r="E10" s="492"/>
      <c r="F10" s="492"/>
      <c r="G10" s="492"/>
      <c r="H10" s="492"/>
      <c r="I10" s="492"/>
    </row>
    <row r="11" spans="1:9" x14ac:dyDescent="0.25">
      <c r="A11" s="492"/>
      <c r="B11" s="492"/>
      <c r="C11" s="492"/>
      <c r="D11" s="492"/>
      <c r="E11" s="492"/>
      <c r="F11" s="492"/>
      <c r="G11" s="492"/>
      <c r="H11" s="492"/>
      <c r="I11" s="492"/>
    </row>
    <row r="12" spans="1:9" x14ac:dyDescent="0.25">
      <c r="A12" s="492"/>
      <c r="B12" s="492"/>
      <c r="C12" s="492"/>
      <c r="D12" s="492"/>
      <c r="E12" s="492"/>
      <c r="F12" s="492"/>
      <c r="G12" s="492"/>
      <c r="H12" s="492"/>
      <c r="I12" s="492"/>
    </row>
    <row r="13" spans="1:9" x14ac:dyDescent="0.25">
      <c r="A13" s="492"/>
      <c r="B13" s="492"/>
      <c r="C13" s="492"/>
      <c r="D13" s="492"/>
      <c r="E13" s="492"/>
      <c r="F13" s="492"/>
      <c r="G13" s="492"/>
      <c r="H13" s="492"/>
      <c r="I13" s="492"/>
    </row>
    <row r="14" spans="1:9" x14ac:dyDescent="0.25">
      <c r="A14" s="492"/>
      <c r="B14" s="492"/>
      <c r="C14" s="492"/>
      <c r="D14" s="492"/>
      <c r="E14" s="492"/>
      <c r="F14" s="492"/>
      <c r="G14" s="492"/>
      <c r="H14" s="492"/>
      <c r="I14" s="492"/>
    </row>
    <row r="15" spans="1:9" ht="19.5" customHeight="1" x14ac:dyDescent="0.3">
      <c r="A15" s="49"/>
    </row>
    <row r="16" spans="1:9" ht="19.5" customHeight="1" x14ac:dyDescent="0.3">
      <c r="A16" s="464" t="s">
        <v>30</v>
      </c>
      <c r="B16" s="465"/>
      <c r="C16" s="465"/>
      <c r="D16" s="465"/>
      <c r="E16" s="465"/>
      <c r="F16" s="465"/>
      <c r="G16" s="465"/>
      <c r="H16" s="466"/>
    </row>
    <row r="17" spans="1:14" ht="20.25" customHeight="1" x14ac:dyDescent="0.25">
      <c r="A17" s="467" t="s">
        <v>46</v>
      </c>
      <c r="B17" s="467"/>
      <c r="C17" s="467"/>
      <c r="D17" s="467"/>
      <c r="E17" s="467"/>
      <c r="F17" s="467"/>
      <c r="G17" s="467"/>
      <c r="H17" s="467"/>
    </row>
    <row r="18" spans="1:14" ht="26.25" customHeight="1" x14ac:dyDescent="0.4">
      <c r="A18" s="51" t="s">
        <v>32</v>
      </c>
      <c r="B18" s="463" t="s">
        <v>5</v>
      </c>
      <c r="C18" s="463"/>
      <c r="D18" s="214"/>
      <c r="E18" s="52"/>
      <c r="F18" s="53"/>
      <c r="G18" s="53"/>
      <c r="H18" s="53"/>
    </row>
    <row r="19" spans="1:14" ht="26.25" customHeight="1" x14ac:dyDescent="0.4">
      <c r="A19" s="51" t="s">
        <v>33</v>
      </c>
      <c r="B19" s="54" t="s">
        <v>7</v>
      </c>
      <c r="C19" s="227">
        <v>29</v>
      </c>
      <c r="D19" s="53"/>
      <c r="E19" s="53"/>
      <c r="F19" s="53"/>
      <c r="G19" s="53"/>
      <c r="H19" s="53"/>
    </row>
    <row r="20" spans="1:14" ht="26.25" customHeight="1" x14ac:dyDescent="0.4">
      <c r="A20" s="51" t="s">
        <v>34</v>
      </c>
      <c r="B20" s="468" t="s">
        <v>9</v>
      </c>
      <c r="C20" s="468"/>
      <c r="D20" s="53"/>
      <c r="E20" s="53"/>
      <c r="F20" s="53"/>
      <c r="G20" s="53"/>
      <c r="H20" s="53"/>
    </row>
    <row r="21" spans="1:14" ht="26.25" customHeight="1" x14ac:dyDescent="0.4">
      <c r="A21" s="51" t="s">
        <v>35</v>
      </c>
      <c r="B21" s="468" t="s">
        <v>11</v>
      </c>
      <c r="C21" s="468"/>
      <c r="D21" s="468"/>
      <c r="E21" s="468"/>
      <c r="F21" s="468"/>
      <c r="G21" s="468"/>
      <c r="H21" s="468"/>
      <c r="I21" s="55"/>
    </row>
    <row r="22" spans="1:14" ht="26.25" customHeight="1" x14ac:dyDescent="0.4">
      <c r="A22" s="51" t="s">
        <v>36</v>
      </c>
      <c r="B22" s="56">
        <v>42412</v>
      </c>
      <c r="C22" s="53"/>
      <c r="D22" s="53"/>
      <c r="E22" s="53"/>
      <c r="F22" s="53"/>
      <c r="G22" s="53"/>
      <c r="H22" s="53"/>
    </row>
    <row r="23" spans="1:14" ht="26.25" customHeight="1" x14ac:dyDescent="0.4">
      <c r="A23" s="51" t="s">
        <v>37</v>
      </c>
      <c r="B23" s="56">
        <v>42425</v>
      </c>
      <c r="C23" s="53"/>
      <c r="D23" s="53"/>
      <c r="E23" s="53"/>
      <c r="F23" s="53"/>
      <c r="G23" s="53"/>
      <c r="H23" s="53"/>
    </row>
    <row r="24" spans="1:14" ht="18.75" x14ac:dyDescent="0.3">
      <c r="A24" s="51"/>
      <c r="B24" s="57"/>
    </row>
    <row r="25" spans="1:14" ht="18.75" x14ac:dyDescent="0.3">
      <c r="A25" s="58" t="s">
        <v>1</v>
      </c>
      <c r="B25" s="57"/>
    </row>
    <row r="26" spans="1:14" ht="26.25" customHeight="1" x14ac:dyDescent="0.4">
      <c r="A26" s="59" t="s">
        <v>4</v>
      </c>
      <c r="B26" s="463" t="s">
        <v>124</v>
      </c>
      <c r="C26" s="463"/>
    </row>
    <row r="27" spans="1:14" ht="26.25" customHeight="1" x14ac:dyDescent="0.4">
      <c r="A27" s="60" t="s">
        <v>47</v>
      </c>
      <c r="B27" s="469" t="s">
        <v>125</v>
      </c>
      <c r="C27" s="469"/>
    </row>
    <row r="28" spans="1:14" ht="27" customHeight="1" x14ac:dyDescent="0.4">
      <c r="A28" s="60" t="s">
        <v>6</v>
      </c>
      <c r="B28" s="338">
        <v>101.74</v>
      </c>
      <c r="C28" s="357"/>
    </row>
    <row r="29" spans="1:14" s="3" customFormat="1" ht="27" customHeight="1" x14ac:dyDescent="0.4">
      <c r="A29" s="60" t="s">
        <v>48</v>
      </c>
      <c r="B29" s="62">
        <v>0</v>
      </c>
      <c r="C29" s="470" t="s">
        <v>49</v>
      </c>
      <c r="D29" s="471"/>
      <c r="E29" s="471"/>
      <c r="F29" s="471"/>
      <c r="G29" s="472"/>
      <c r="I29" s="63"/>
      <c r="J29" s="63"/>
      <c r="K29" s="63"/>
      <c r="L29" s="63"/>
    </row>
    <row r="30" spans="1:14" s="3" customFormat="1" ht="19.5" customHeight="1" x14ac:dyDescent="0.3">
      <c r="A30" s="60" t="s">
        <v>50</v>
      </c>
      <c r="B30" s="64">
        <f>B28-B29</f>
        <v>101.74</v>
      </c>
      <c r="C30" s="65"/>
      <c r="D30" s="65"/>
      <c r="E30" s="65"/>
      <c r="F30" s="65"/>
      <c r="G30" s="66"/>
      <c r="I30" s="63"/>
      <c r="J30" s="63"/>
      <c r="K30" s="63"/>
      <c r="L30" s="63"/>
    </row>
    <row r="31" spans="1:14" s="3" customFormat="1" ht="27" customHeight="1" x14ac:dyDescent="0.4">
      <c r="A31" s="60" t="s">
        <v>51</v>
      </c>
      <c r="B31" s="67">
        <v>1</v>
      </c>
      <c r="C31" s="473" t="s">
        <v>52</v>
      </c>
      <c r="D31" s="474"/>
      <c r="E31" s="474"/>
      <c r="F31" s="474"/>
      <c r="G31" s="474"/>
      <c r="H31" s="475"/>
      <c r="I31" s="63"/>
      <c r="J31" s="63"/>
      <c r="K31" s="63"/>
      <c r="L31" s="63"/>
    </row>
    <row r="32" spans="1:14" s="3" customFormat="1" ht="27" customHeight="1" x14ac:dyDescent="0.4">
      <c r="A32" s="60" t="s">
        <v>53</v>
      </c>
      <c r="B32" s="67">
        <v>1</v>
      </c>
      <c r="C32" s="473" t="s">
        <v>54</v>
      </c>
      <c r="D32" s="474"/>
      <c r="E32" s="474"/>
      <c r="F32" s="474"/>
      <c r="G32" s="474"/>
      <c r="H32" s="475"/>
      <c r="I32" s="63"/>
      <c r="J32" s="63"/>
      <c r="K32" s="63"/>
      <c r="L32" s="68"/>
      <c r="M32" s="68"/>
      <c r="N32" s="69"/>
    </row>
    <row r="33" spans="1:14" s="3" customFormat="1" ht="17.25" customHeight="1" x14ac:dyDescent="0.3">
      <c r="A33" s="60"/>
      <c r="B33" s="70"/>
      <c r="C33" s="71"/>
      <c r="D33" s="71"/>
      <c r="E33" s="71"/>
      <c r="F33" s="71"/>
      <c r="G33" s="71"/>
      <c r="H33" s="71"/>
      <c r="I33" s="63"/>
      <c r="J33" s="63"/>
      <c r="K33" s="63"/>
      <c r="L33" s="68"/>
      <c r="M33" s="68"/>
      <c r="N33" s="69"/>
    </row>
    <row r="34" spans="1:14" s="3" customFormat="1" ht="18.75" x14ac:dyDescent="0.3">
      <c r="A34" s="60" t="s">
        <v>55</v>
      </c>
      <c r="B34" s="72">
        <f>B31/B32</f>
        <v>1</v>
      </c>
      <c r="C34" s="50" t="s">
        <v>56</v>
      </c>
      <c r="D34" s="50"/>
      <c r="E34" s="50"/>
      <c r="F34" s="50"/>
      <c r="G34" s="50"/>
      <c r="I34" s="63"/>
      <c r="J34" s="63"/>
      <c r="K34" s="63"/>
      <c r="L34" s="68"/>
      <c r="M34" s="68"/>
      <c r="N34" s="69"/>
    </row>
    <row r="35" spans="1:14" s="3" customFormat="1" ht="19.5" customHeight="1" x14ac:dyDescent="0.3">
      <c r="A35" s="60"/>
      <c r="B35" s="64"/>
      <c r="G35" s="50"/>
      <c r="I35" s="63"/>
      <c r="J35" s="63"/>
      <c r="K35" s="63"/>
      <c r="L35" s="68"/>
      <c r="M35" s="68"/>
      <c r="N35" s="69"/>
    </row>
    <row r="36" spans="1:14" s="3" customFormat="1" ht="27" customHeight="1" x14ac:dyDescent="0.4">
      <c r="A36" s="73" t="s">
        <v>57</v>
      </c>
      <c r="B36" s="74">
        <v>50</v>
      </c>
      <c r="C36" s="50"/>
      <c r="D36" s="476" t="s">
        <v>58</v>
      </c>
      <c r="E36" s="477"/>
      <c r="F36" s="476" t="s">
        <v>59</v>
      </c>
      <c r="G36" s="478"/>
      <c r="J36" s="63"/>
      <c r="K36" s="63"/>
      <c r="L36" s="68"/>
      <c r="M36" s="68"/>
      <c r="N36" s="69"/>
    </row>
    <row r="37" spans="1:14" s="3" customFormat="1" ht="27" customHeight="1" x14ac:dyDescent="0.4">
      <c r="A37" s="75" t="s">
        <v>60</v>
      </c>
      <c r="B37" s="76">
        <v>10</v>
      </c>
      <c r="C37" s="77" t="s">
        <v>61</v>
      </c>
      <c r="D37" s="78" t="s">
        <v>62</v>
      </c>
      <c r="E37" s="79" t="s">
        <v>63</v>
      </c>
      <c r="F37" s="78" t="s">
        <v>62</v>
      </c>
      <c r="G37" s="80" t="s">
        <v>63</v>
      </c>
      <c r="I37" s="81" t="s">
        <v>64</v>
      </c>
      <c r="J37" s="63"/>
      <c r="K37" s="63"/>
      <c r="L37" s="68"/>
      <c r="M37" s="68"/>
      <c r="N37" s="69"/>
    </row>
    <row r="38" spans="1:14" s="3" customFormat="1" ht="26.25" customHeight="1" x14ac:dyDescent="0.4">
      <c r="A38" s="75" t="s">
        <v>65</v>
      </c>
      <c r="B38" s="76">
        <v>25</v>
      </c>
      <c r="C38" s="82">
        <v>1</v>
      </c>
      <c r="D38" s="262">
        <v>114440544</v>
      </c>
      <c r="E38" s="83">
        <f>IF(ISBLANK(D38),"-",$D$48/$D$45*D38)</f>
        <v>92859108.961418584</v>
      </c>
      <c r="F38" s="262">
        <v>109152666</v>
      </c>
      <c r="G38" s="84">
        <f>IF(ISBLANK(F38),"-",$D$48/$F$45*F38)</f>
        <v>91749622.139202073</v>
      </c>
      <c r="I38" s="85"/>
      <c r="J38" s="63"/>
      <c r="K38" s="63"/>
      <c r="L38" s="68"/>
      <c r="M38" s="68"/>
      <c r="N38" s="69"/>
    </row>
    <row r="39" spans="1:14" s="3" customFormat="1" ht="26.25" customHeight="1" x14ac:dyDescent="0.4">
      <c r="A39" s="75" t="s">
        <v>66</v>
      </c>
      <c r="B39" s="76">
        <v>1</v>
      </c>
      <c r="C39" s="86">
        <v>2</v>
      </c>
      <c r="D39" s="267">
        <v>113677511</v>
      </c>
      <c r="E39" s="88">
        <f>IF(ISBLANK(D39),"-",$D$48/$D$45*D39)</f>
        <v>92239970.306431442</v>
      </c>
      <c r="F39" s="267">
        <v>108923625</v>
      </c>
      <c r="G39" s="89">
        <f>IF(ISBLANK(F39),"-",$D$48/$F$45*F39)</f>
        <v>91557098.896532163</v>
      </c>
      <c r="I39" s="480">
        <f>ABS((F43/D43*D42)-F42)/D42</f>
        <v>7.1200441287231986E-3</v>
      </c>
      <c r="J39" s="63"/>
      <c r="K39" s="63"/>
      <c r="L39" s="68"/>
      <c r="M39" s="68"/>
      <c r="N39" s="69"/>
    </row>
    <row r="40" spans="1:14" ht="26.25" customHeight="1" x14ac:dyDescent="0.4">
      <c r="A40" s="75" t="s">
        <v>67</v>
      </c>
      <c r="B40" s="76">
        <v>1</v>
      </c>
      <c r="C40" s="86">
        <v>3</v>
      </c>
      <c r="D40" s="267">
        <v>113145623</v>
      </c>
      <c r="E40" s="88">
        <f>IF(ISBLANK(D40),"-",$D$48/$D$45*D40)</f>
        <v>91808386.848148763</v>
      </c>
      <c r="F40" s="267">
        <v>108925097</v>
      </c>
      <c r="G40" s="89">
        <f>IF(ISBLANK(F40),"-",$D$48/$F$45*F40)</f>
        <v>91558336.204320773</v>
      </c>
      <c r="I40" s="480"/>
      <c r="L40" s="68"/>
      <c r="M40" s="68"/>
      <c r="N40" s="90"/>
    </row>
    <row r="41" spans="1:14" ht="27" customHeight="1" x14ac:dyDescent="0.4">
      <c r="A41" s="75" t="s">
        <v>68</v>
      </c>
      <c r="B41" s="76">
        <v>1</v>
      </c>
      <c r="C41" s="91">
        <v>4</v>
      </c>
      <c r="D41" s="92"/>
      <c r="E41" s="93" t="str">
        <f>IF(ISBLANK(D41),"-",$D$48/$D$45*D41)</f>
        <v>-</v>
      </c>
      <c r="F41" s="92"/>
      <c r="G41" s="94" t="str">
        <f>IF(ISBLANK(F41),"-",$D$48/$F$45*F41)</f>
        <v>-</v>
      </c>
      <c r="I41" s="95"/>
      <c r="L41" s="68"/>
      <c r="M41" s="68"/>
      <c r="N41" s="90"/>
    </row>
    <row r="42" spans="1:14" ht="27" customHeight="1" x14ac:dyDescent="0.4">
      <c r="A42" s="75" t="s">
        <v>69</v>
      </c>
      <c r="B42" s="76">
        <v>1</v>
      </c>
      <c r="C42" s="96" t="s">
        <v>70</v>
      </c>
      <c r="D42" s="97">
        <f>AVERAGE(D38:D41)</f>
        <v>113754559.33333333</v>
      </c>
      <c r="E42" s="98">
        <f>AVERAGE(E38:E41)</f>
        <v>92302488.705332935</v>
      </c>
      <c r="F42" s="97">
        <f>AVERAGE(F38:F41)</f>
        <v>109000462.66666667</v>
      </c>
      <c r="G42" s="99">
        <f>AVERAGE(G38:G41)</f>
        <v>91621685.746685013</v>
      </c>
      <c r="H42" s="100"/>
    </row>
    <row r="43" spans="1:14" ht="26.25" customHeight="1" x14ac:dyDescent="0.4">
      <c r="A43" s="75" t="s">
        <v>71</v>
      </c>
      <c r="B43" s="76">
        <v>1</v>
      </c>
      <c r="C43" s="101" t="s">
        <v>72</v>
      </c>
      <c r="D43" s="102">
        <v>18.170000000000002</v>
      </c>
      <c r="E43" s="90"/>
      <c r="F43" s="102">
        <v>17.54</v>
      </c>
      <c r="H43" s="100"/>
    </row>
    <row r="44" spans="1:14" ht="26.25" customHeight="1" x14ac:dyDescent="0.4">
      <c r="A44" s="75" t="s">
        <v>73</v>
      </c>
      <c r="B44" s="76">
        <v>1</v>
      </c>
      <c r="C44" s="103" t="s">
        <v>74</v>
      </c>
      <c r="D44" s="104">
        <f>D43*$B$34</f>
        <v>18.170000000000002</v>
      </c>
      <c r="E44" s="105"/>
      <c r="F44" s="104">
        <f>F43*$B$34</f>
        <v>17.54</v>
      </c>
      <c r="H44" s="100"/>
    </row>
    <row r="45" spans="1:14" ht="19.5" customHeight="1" x14ac:dyDescent="0.3">
      <c r="A45" s="75" t="s">
        <v>75</v>
      </c>
      <c r="B45" s="106">
        <f>(B44/B43)*(B42/B41)*(B40/B39)*(B38/B37)*B36</f>
        <v>125</v>
      </c>
      <c r="C45" s="103" t="s">
        <v>76</v>
      </c>
      <c r="D45" s="107">
        <f>D44*$B$30/100</f>
        <v>18.486158</v>
      </c>
      <c r="E45" s="108"/>
      <c r="F45" s="107">
        <f>F44*$B$30/100</f>
        <v>17.845195999999998</v>
      </c>
      <c r="H45" s="100"/>
    </row>
    <row r="46" spans="1:14" ht="19.5" customHeight="1" x14ac:dyDescent="0.3">
      <c r="A46" s="481" t="s">
        <v>77</v>
      </c>
      <c r="B46" s="482"/>
      <c r="C46" s="103" t="s">
        <v>78</v>
      </c>
      <c r="D46" s="109">
        <f>D45/$B$45</f>
        <v>0.14788926399999999</v>
      </c>
      <c r="E46" s="110"/>
      <c r="F46" s="111">
        <f>F45/$B$45</f>
        <v>0.14276156799999998</v>
      </c>
      <c r="H46" s="100"/>
    </row>
    <row r="47" spans="1:14" ht="27" customHeight="1" x14ac:dyDescent="0.4">
      <c r="A47" s="483"/>
      <c r="B47" s="484"/>
      <c r="C47" s="112" t="s">
        <v>79</v>
      </c>
      <c r="D47" s="113">
        <v>0.12</v>
      </c>
      <c r="E47" s="114"/>
      <c r="F47" s="110"/>
      <c r="H47" s="100"/>
    </row>
    <row r="48" spans="1:14" ht="18.75" x14ac:dyDescent="0.3">
      <c r="C48" s="115" t="s">
        <v>80</v>
      </c>
      <c r="D48" s="107">
        <f>D47*$B$45</f>
        <v>15</v>
      </c>
      <c r="F48" s="116"/>
      <c r="H48" s="100"/>
    </row>
    <row r="49" spans="1:12" ht="19.5" customHeight="1" x14ac:dyDescent="0.3">
      <c r="C49" s="117" t="s">
        <v>81</v>
      </c>
      <c r="D49" s="118">
        <f>D48/B34</f>
        <v>15</v>
      </c>
      <c r="F49" s="116"/>
      <c r="H49" s="100"/>
    </row>
    <row r="50" spans="1:12" ht="18.75" x14ac:dyDescent="0.3">
      <c r="C50" s="73" t="s">
        <v>82</v>
      </c>
      <c r="D50" s="119">
        <f>AVERAGE(E38:E41,G38:G41)</f>
        <v>91962087.226008967</v>
      </c>
      <c r="F50" s="120"/>
      <c r="H50" s="100"/>
    </row>
    <row r="51" spans="1:12" ht="18.75" x14ac:dyDescent="0.3">
      <c r="C51" s="75" t="s">
        <v>83</v>
      </c>
      <c r="D51" s="121">
        <f>STDEV(E38:E41,G38:G41)/D50</f>
        <v>5.4968549673291879E-3</v>
      </c>
      <c r="F51" s="120"/>
      <c r="H51" s="100"/>
    </row>
    <row r="52" spans="1:12" ht="19.5" customHeight="1" x14ac:dyDescent="0.3">
      <c r="C52" s="122" t="s">
        <v>19</v>
      </c>
      <c r="D52" s="123">
        <f>COUNT(E38:E41,G38:G41)</f>
        <v>6</v>
      </c>
      <c r="F52" s="120"/>
    </row>
    <row r="54" spans="1:12" ht="18.75" x14ac:dyDescent="0.3">
      <c r="A54" s="124" t="s">
        <v>1</v>
      </c>
      <c r="B54" s="125" t="s">
        <v>84</v>
      </c>
    </row>
    <row r="55" spans="1:12" ht="18.75" x14ac:dyDescent="0.3">
      <c r="A55" s="50" t="s">
        <v>85</v>
      </c>
      <c r="B55" s="126" t="str">
        <f>B21</f>
        <v>Each tablet contains: Te</v>
      </c>
    </row>
    <row r="56" spans="1:12" ht="26.25" customHeight="1" x14ac:dyDescent="0.4">
      <c r="A56" s="127" t="s">
        <v>86</v>
      </c>
      <c r="B56" s="128">
        <v>300</v>
      </c>
      <c r="C56" s="50" t="str">
        <f>B20</f>
        <v xml:space="preserve">Tenofovir Disproxil Fumarate
Lamivudine </v>
      </c>
      <c r="H56" s="129"/>
    </row>
    <row r="57" spans="1:12" ht="18.75" x14ac:dyDescent="0.3">
      <c r="A57" s="126" t="s">
        <v>87</v>
      </c>
      <c r="B57" s="215">
        <f>Uniformity!C36</f>
        <v>1112.242</v>
      </c>
      <c r="H57" s="129"/>
    </row>
    <row r="58" spans="1:12" ht="19.5" customHeight="1" x14ac:dyDescent="0.3">
      <c r="H58" s="129"/>
    </row>
    <row r="59" spans="1:12" s="3" customFormat="1" ht="27" customHeight="1" x14ac:dyDescent="0.4">
      <c r="A59" s="73" t="s">
        <v>88</v>
      </c>
      <c r="B59" s="74">
        <v>200</v>
      </c>
      <c r="C59" s="50"/>
      <c r="D59" s="130" t="s">
        <v>89</v>
      </c>
      <c r="E59" s="131" t="s">
        <v>61</v>
      </c>
      <c r="F59" s="131" t="s">
        <v>62</v>
      </c>
      <c r="G59" s="131" t="s">
        <v>90</v>
      </c>
      <c r="H59" s="77" t="s">
        <v>91</v>
      </c>
      <c r="L59" s="63"/>
    </row>
    <row r="60" spans="1:12" s="3" customFormat="1" ht="26.25" customHeight="1" x14ac:dyDescent="0.4">
      <c r="A60" s="75" t="s">
        <v>92</v>
      </c>
      <c r="B60" s="76">
        <v>2</v>
      </c>
      <c r="C60" s="485" t="s">
        <v>93</v>
      </c>
      <c r="D60" s="488">
        <v>1114.57</v>
      </c>
      <c r="E60" s="132">
        <v>1</v>
      </c>
      <c r="F60" s="133">
        <v>92952726</v>
      </c>
      <c r="G60" s="216">
        <f>IF(ISBLANK(F60),"-",(F60/$D$50*$D$47*$B$68)*($B$57/$D$60))</f>
        <v>302.59831622777176</v>
      </c>
      <c r="H60" s="134">
        <f t="shared" ref="H60:H71" si="0">IF(ISBLANK(F60),"-",G60/$B$56)</f>
        <v>1.0086610540925725</v>
      </c>
      <c r="L60" s="63"/>
    </row>
    <row r="61" spans="1:12" s="3" customFormat="1" ht="26.25" customHeight="1" x14ac:dyDescent="0.4">
      <c r="A61" s="75" t="s">
        <v>94</v>
      </c>
      <c r="B61" s="76">
        <v>25</v>
      </c>
      <c r="C61" s="486"/>
      <c r="D61" s="489"/>
      <c r="E61" s="135">
        <v>2</v>
      </c>
      <c r="F61" s="87">
        <v>92990048</v>
      </c>
      <c r="G61" s="217">
        <f>IF(ISBLANK(F61),"-",(F61/$D$50*$D$47*$B$68)*($B$57/$D$60))</f>
        <v>302.71981427139286</v>
      </c>
      <c r="H61" s="136">
        <f t="shared" si="0"/>
        <v>1.0090660475713096</v>
      </c>
      <c r="L61" s="63"/>
    </row>
    <row r="62" spans="1:12" s="3" customFormat="1" ht="26.25" customHeight="1" x14ac:dyDescent="0.4">
      <c r="A62" s="75" t="s">
        <v>95</v>
      </c>
      <c r="B62" s="76">
        <v>1</v>
      </c>
      <c r="C62" s="486"/>
      <c r="D62" s="489"/>
      <c r="E62" s="135">
        <v>3</v>
      </c>
      <c r="F62" s="137">
        <v>93014635</v>
      </c>
      <c r="G62" s="217">
        <f>IF(ISBLANK(F62),"-",(F62/$D$50*$D$47*$B$68)*($B$57/$D$60))</f>
        <v>302.79985479436891</v>
      </c>
      <c r="H62" s="136">
        <f t="shared" si="0"/>
        <v>1.009332849314563</v>
      </c>
      <c r="L62" s="63"/>
    </row>
    <row r="63" spans="1:12" ht="27" customHeight="1" x14ac:dyDescent="0.4">
      <c r="A63" s="75" t="s">
        <v>96</v>
      </c>
      <c r="B63" s="76">
        <v>1</v>
      </c>
      <c r="C63" s="487"/>
      <c r="D63" s="490"/>
      <c r="E63" s="138">
        <v>4</v>
      </c>
      <c r="F63" s="139"/>
      <c r="G63" s="217" t="str">
        <f>IF(ISBLANK(F63),"-",(F63/$D$50*$D$47*$B$68)*($B$57/$D$60))</f>
        <v>-</v>
      </c>
      <c r="H63" s="136" t="str">
        <f t="shared" si="0"/>
        <v>-</v>
      </c>
    </row>
    <row r="64" spans="1:12" ht="26.25" customHeight="1" x14ac:dyDescent="0.4">
      <c r="A64" s="75" t="s">
        <v>97</v>
      </c>
      <c r="B64" s="76">
        <v>1</v>
      </c>
      <c r="C64" s="485" t="s">
        <v>98</v>
      </c>
      <c r="D64" s="488">
        <v>1136.8</v>
      </c>
      <c r="E64" s="132">
        <v>1</v>
      </c>
      <c r="F64" s="133">
        <v>91005900</v>
      </c>
      <c r="G64" s="218">
        <f>IF(ISBLANK(F64),"-",(F64/$D$50*$D$47*$B$68)*($B$57/$D$64))</f>
        <v>290.46727453440207</v>
      </c>
      <c r="H64" s="140">
        <f t="shared" si="0"/>
        <v>0.96822424844800692</v>
      </c>
    </row>
    <row r="65" spans="1:8" ht="26.25" customHeight="1" x14ac:dyDescent="0.4">
      <c r="A65" s="75" t="s">
        <v>99</v>
      </c>
      <c r="B65" s="76">
        <v>1</v>
      </c>
      <c r="C65" s="486"/>
      <c r="D65" s="489"/>
      <c r="E65" s="135">
        <v>2</v>
      </c>
      <c r="F65" s="87">
        <v>91180846</v>
      </c>
      <c r="G65" s="219">
        <f>IF(ISBLANK(F65),"-",(F65/$D$50*$D$47*$B$68)*($B$57/$D$64))</f>
        <v>291.02565687896106</v>
      </c>
      <c r="H65" s="141">
        <f t="shared" si="0"/>
        <v>0.97008552292987016</v>
      </c>
    </row>
    <row r="66" spans="1:8" ht="26.25" customHeight="1" x14ac:dyDescent="0.4">
      <c r="A66" s="75" t="s">
        <v>100</v>
      </c>
      <c r="B66" s="76">
        <v>1</v>
      </c>
      <c r="C66" s="486"/>
      <c r="D66" s="489"/>
      <c r="E66" s="135">
        <v>3</v>
      </c>
      <c r="F66" s="87">
        <v>90982897</v>
      </c>
      <c r="G66" s="219"/>
      <c r="H66" s="141"/>
    </row>
    <row r="67" spans="1:8" ht="27" customHeight="1" x14ac:dyDescent="0.4">
      <c r="A67" s="75" t="s">
        <v>101</v>
      </c>
      <c r="B67" s="76">
        <v>1</v>
      </c>
      <c r="C67" s="487"/>
      <c r="D67" s="490"/>
      <c r="E67" s="138">
        <v>4</v>
      </c>
      <c r="F67" s="139"/>
      <c r="G67" s="220" t="str">
        <f>IF(ISBLANK(F67),"-",(F67/$D$50*$D$47*$B$68)*($B$57/$D$64))</f>
        <v>-</v>
      </c>
      <c r="H67" s="142" t="str">
        <f t="shared" si="0"/>
        <v>-</v>
      </c>
    </row>
    <row r="68" spans="1:8" ht="26.25" customHeight="1" x14ac:dyDescent="0.4">
      <c r="A68" s="75" t="s">
        <v>102</v>
      </c>
      <c r="B68" s="143">
        <f>(B67/B66)*(B65/B64)*(B63/B62)*(B61/B60)*B59</f>
        <v>2500</v>
      </c>
      <c r="C68" s="485" t="s">
        <v>103</v>
      </c>
      <c r="D68" s="488">
        <v>1136.01</v>
      </c>
      <c r="E68" s="132">
        <v>1</v>
      </c>
      <c r="F68" s="133">
        <v>95026849</v>
      </c>
      <c r="G68" s="218">
        <f>IF(ISBLANK(F68),"-",(F68/$D$50*$D$47*$B$68)*($B$57/$D$68))</f>
        <v>303.5120234235971</v>
      </c>
      <c r="H68" s="136">
        <f t="shared" si="0"/>
        <v>1.0117067447453236</v>
      </c>
    </row>
    <row r="69" spans="1:8" ht="27" customHeight="1" x14ac:dyDescent="0.4">
      <c r="A69" s="122" t="s">
        <v>104</v>
      </c>
      <c r="B69" s="144">
        <f>(D47*B68)/B56*B57</f>
        <v>1112.242</v>
      </c>
      <c r="C69" s="486"/>
      <c r="D69" s="489"/>
      <c r="E69" s="135">
        <v>2</v>
      </c>
      <c r="F69" s="87">
        <v>95222006</v>
      </c>
      <c r="G69" s="219">
        <f>IF(ISBLANK(F69),"-",(F69/$D$50*$D$47*$B$68)*($B$57/$D$68))</f>
        <v>304.13534721659454</v>
      </c>
      <c r="H69" s="136">
        <f t="shared" si="0"/>
        <v>1.0137844907219817</v>
      </c>
    </row>
    <row r="70" spans="1:8" ht="26.25" customHeight="1" x14ac:dyDescent="0.4">
      <c r="A70" s="498" t="s">
        <v>77</v>
      </c>
      <c r="B70" s="499"/>
      <c r="C70" s="486"/>
      <c r="D70" s="489"/>
      <c r="E70" s="135">
        <v>3</v>
      </c>
      <c r="F70" s="87">
        <v>95181735</v>
      </c>
      <c r="G70" s="219">
        <f>IF(ISBLANK(F70),"-",(F70/$D$50*$D$47*$B$68)*($B$57/$D$68))</f>
        <v>304.00672322428164</v>
      </c>
      <c r="H70" s="136">
        <f t="shared" si="0"/>
        <v>1.0133557440809389</v>
      </c>
    </row>
    <row r="71" spans="1:8" ht="27" customHeight="1" x14ac:dyDescent="0.4">
      <c r="A71" s="500"/>
      <c r="B71" s="501"/>
      <c r="C71" s="497"/>
      <c r="D71" s="490"/>
      <c r="E71" s="138">
        <v>4</v>
      </c>
      <c r="F71" s="139"/>
      <c r="G71" s="220" t="str">
        <f>IF(ISBLANK(F71),"-",(F71/$D$50*$D$47*$B$68)*($B$57/$D$68))</f>
        <v>-</v>
      </c>
      <c r="H71" s="145" t="str">
        <f t="shared" si="0"/>
        <v>-</v>
      </c>
    </row>
    <row r="72" spans="1:8" ht="26.25" customHeight="1" x14ac:dyDescent="0.4">
      <c r="A72" s="146"/>
      <c r="B72" s="146"/>
      <c r="C72" s="146"/>
      <c r="D72" s="146"/>
      <c r="E72" s="146"/>
      <c r="F72" s="148" t="s">
        <v>70</v>
      </c>
      <c r="G72" s="225">
        <f>AVERAGE(G60:G71)</f>
        <v>300.15812632142126</v>
      </c>
      <c r="H72" s="149">
        <f>AVERAGE(H60:H71)</f>
        <v>1.0005270877380705</v>
      </c>
    </row>
    <row r="73" spans="1:8" ht="26.25" customHeight="1" x14ac:dyDescent="0.4">
      <c r="C73" s="146"/>
      <c r="D73" s="146"/>
      <c r="E73" s="146"/>
      <c r="F73" s="150" t="s">
        <v>83</v>
      </c>
      <c r="G73" s="221">
        <f>STDEV(G60:G71)/G72</f>
        <v>1.9454354255344638E-2</v>
      </c>
      <c r="H73" s="221">
        <f>STDEV(H60:H71)/H72</f>
        <v>1.9454354255344634E-2</v>
      </c>
    </row>
    <row r="74" spans="1:8" ht="27" customHeight="1" x14ac:dyDescent="0.4">
      <c r="A74" s="146"/>
      <c r="B74" s="146"/>
      <c r="C74" s="147"/>
      <c r="D74" s="147"/>
      <c r="E74" s="151"/>
      <c r="F74" s="152" t="s">
        <v>19</v>
      </c>
      <c r="G74" s="153">
        <f>COUNT(G60:G71)</f>
        <v>8</v>
      </c>
      <c r="H74" s="153">
        <f>COUNT(H60:H71)</f>
        <v>8</v>
      </c>
    </row>
    <row r="76" spans="1:8" ht="26.25" customHeight="1" x14ac:dyDescent="0.4">
      <c r="A76" s="59" t="s">
        <v>105</v>
      </c>
      <c r="B76" s="154" t="s">
        <v>106</v>
      </c>
      <c r="C76" s="493" t="str">
        <f>B20</f>
        <v xml:space="preserve">Tenofovir Disproxil Fumarate
Lamivudine </v>
      </c>
      <c r="D76" s="493"/>
      <c r="E76" s="155" t="s">
        <v>107</v>
      </c>
      <c r="F76" s="155"/>
      <c r="G76" s="156">
        <f>H72</f>
        <v>1.0005270877380705</v>
      </c>
      <c r="H76" s="157"/>
    </row>
    <row r="77" spans="1:8" ht="18.75" x14ac:dyDescent="0.3">
      <c r="A77" s="58" t="s">
        <v>108</v>
      </c>
      <c r="B77" s="58" t="s">
        <v>109</v>
      </c>
    </row>
    <row r="78" spans="1:8" ht="18.75" x14ac:dyDescent="0.3">
      <c r="A78" s="58"/>
      <c r="B78" s="58"/>
    </row>
    <row r="79" spans="1:8" ht="26.25" customHeight="1" x14ac:dyDescent="0.4">
      <c r="A79" s="59" t="s">
        <v>4</v>
      </c>
      <c r="B79" s="479" t="str">
        <f>B26</f>
        <v>Lamivudine</v>
      </c>
      <c r="C79" s="479"/>
    </row>
    <row r="80" spans="1:8" ht="26.25" customHeight="1" x14ac:dyDescent="0.4">
      <c r="A80" s="60" t="s">
        <v>47</v>
      </c>
      <c r="B80" s="479" t="s">
        <v>126</v>
      </c>
      <c r="C80" s="479"/>
    </row>
    <row r="81" spans="1:12" ht="27" customHeight="1" x14ac:dyDescent="0.4">
      <c r="A81" s="60" t="s">
        <v>6</v>
      </c>
      <c r="B81" s="338">
        <v>99.9</v>
      </c>
      <c r="C81" s="357"/>
    </row>
    <row r="82" spans="1:12" s="3" customFormat="1" ht="27" customHeight="1" x14ac:dyDescent="0.4">
      <c r="A82" s="60" t="s">
        <v>48</v>
      </c>
      <c r="B82" s="62">
        <v>0</v>
      </c>
      <c r="C82" s="470" t="s">
        <v>49</v>
      </c>
      <c r="D82" s="471"/>
      <c r="E82" s="471"/>
      <c r="F82" s="471"/>
      <c r="G82" s="472"/>
      <c r="I82" s="63"/>
      <c r="J82" s="63"/>
      <c r="K82" s="63"/>
      <c r="L82" s="63"/>
    </row>
    <row r="83" spans="1:12" s="3" customFormat="1" ht="19.5" customHeight="1" x14ac:dyDescent="0.3">
      <c r="A83" s="60" t="s">
        <v>50</v>
      </c>
      <c r="B83" s="64">
        <f>B81-B82</f>
        <v>99.9</v>
      </c>
      <c r="C83" s="65"/>
      <c r="D83" s="65"/>
      <c r="E83" s="65"/>
      <c r="F83" s="65"/>
      <c r="G83" s="66"/>
      <c r="I83" s="63"/>
      <c r="J83" s="63"/>
      <c r="K83" s="63"/>
      <c r="L83" s="63"/>
    </row>
    <row r="84" spans="1:12" s="3" customFormat="1" ht="27" customHeight="1" x14ac:dyDescent="0.4">
      <c r="A84" s="60" t="s">
        <v>51</v>
      </c>
      <c r="B84" s="67">
        <v>1</v>
      </c>
      <c r="C84" s="473" t="s">
        <v>110</v>
      </c>
      <c r="D84" s="474"/>
      <c r="E84" s="474"/>
      <c r="F84" s="474"/>
      <c r="G84" s="474"/>
      <c r="H84" s="475"/>
      <c r="I84" s="63"/>
      <c r="J84" s="63"/>
      <c r="K84" s="63"/>
      <c r="L84" s="63"/>
    </row>
    <row r="85" spans="1:12" s="3" customFormat="1" ht="27" customHeight="1" x14ac:dyDescent="0.4">
      <c r="A85" s="60" t="s">
        <v>53</v>
      </c>
      <c r="B85" s="67">
        <v>1</v>
      </c>
      <c r="C85" s="473" t="s">
        <v>111</v>
      </c>
      <c r="D85" s="474"/>
      <c r="E85" s="474"/>
      <c r="F85" s="474"/>
      <c r="G85" s="474"/>
      <c r="H85" s="475"/>
      <c r="I85" s="63"/>
      <c r="J85" s="63"/>
      <c r="K85" s="63"/>
      <c r="L85" s="63"/>
    </row>
    <row r="86" spans="1:12" s="3" customFormat="1" ht="18.75" x14ac:dyDescent="0.3">
      <c r="A86" s="60"/>
      <c r="B86" s="70"/>
      <c r="C86" s="71"/>
      <c r="D86" s="71"/>
      <c r="E86" s="71"/>
      <c r="F86" s="71"/>
      <c r="G86" s="71"/>
      <c r="H86" s="71"/>
      <c r="I86" s="63"/>
      <c r="J86" s="63"/>
      <c r="K86" s="63"/>
      <c r="L86" s="63"/>
    </row>
    <row r="87" spans="1:12" s="3" customFormat="1" ht="18.75" x14ac:dyDescent="0.3">
      <c r="A87" s="60" t="s">
        <v>55</v>
      </c>
      <c r="B87" s="72">
        <f>B84/B85</f>
        <v>1</v>
      </c>
      <c r="C87" s="50" t="s">
        <v>56</v>
      </c>
      <c r="D87" s="50"/>
      <c r="E87" s="50"/>
      <c r="F87" s="50"/>
      <c r="G87" s="50"/>
      <c r="I87" s="63"/>
      <c r="J87" s="63"/>
      <c r="K87" s="63"/>
      <c r="L87" s="63"/>
    </row>
    <row r="88" spans="1:12" ht="19.5" customHeight="1" x14ac:dyDescent="0.3">
      <c r="A88" s="58"/>
      <c r="B88" s="58"/>
    </row>
    <row r="89" spans="1:12" ht="27" customHeight="1" x14ac:dyDescent="0.4">
      <c r="A89" s="73" t="s">
        <v>57</v>
      </c>
      <c r="B89" s="74">
        <v>50</v>
      </c>
      <c r="D89" s="158" t="s">
        <v>58</v>
      </c>
      <c r="E89" s="159"/>
      <c r="F89" s="476" t="s">
        <v>59</v>
      </c>
      <c r="G89" s="478"/>
    </row>
    <row r="90" spans="1:12" ht="27" customHeight="1" x14ac:dyDescent="0.4">
      <c r="A90" s="75" t="s">
        <v>60</v>
      </c>
      <c r="B90" s="76">
        <v>1</v>
      </c>
      <c r="C90" s="160" t="s">
        <v>61</v>
      </c>
      <c r="D90" s="78" t="s">
        <v>62</v>
      </c>
      <c r="E90" s="79" t="s">
        <v>63</v>
      </c>
      <c r="F90" s="78" t="s">
        <v>62</v>
      </c>
      <c r="G90" s="161" t="s">
        <v>63</v>
      </c>
      <c r="I90" s="81" t="s">
        <v>64</v>
      </c>
    </row>
    <row r="91" spans="1:12" ht="26.25" customHeight="1" x14ac:dyDescent="0.4">
      <c r="A91" s="75" t="s">
        <v>65</v>
      </c>
      <c r="B91" s="76">
        <v>1</v>
      </c>
      <c r="C91" s="162">
        <v>1</v>
      </c>
      <c r="D91" s="262">
        <v>53372754</v>
      </c>
      <c r="E91" s="83">
        <f>IF(ISBLANK(D91),"-",$D$101/$D$98*D91)</f>
        <v>47002504.557343267</v>
      </c>
      <c r="F91" s="262">
        <v>66082075</v>
      </c>
      <c r="G91" s="84">
        <f>IF(ISBLANK(F91),"-",$D$101/$F$98*F91)</f>
        <v>46322285.170324378</v>
      </c>
      <c r="I91" s="85"/>
    </row>
    <row r="92" spans="1:12" ht="26.25" customHeight="1" x14ac:dyDescent="0.4">
      <c r="A92" s="75" t="s">
        <v>66</v>
      </c>
      <c r="B92" s="76">
        <v>1</v>
      </c>
      <c r="C92" s="147">
        <v>2</v>
      </c>
      <c r="D92" s="267">
        <v>52596580</v>
      </c>
      <c r="E92" s="88">
        <f>IF(ISBLANK(D92),"-",$D$101/$D$98*D92)</f>
        <v>46318969.996389352</v>
      </c>
      <c r="F92" s="267">
        <v>65508348</v>
      </c>
      <c r="G92" s="89">
        <f>IF(ISBLANK(F92),"-",$D$101/$F$98*F92)</f>
        <v>45920113.390701614</v>
      </c>
      <c r="I92" s="480">
        <f>ABS((F96/D96*D95)-F95)/D95</f>
        <v>8.6331033904575062E-3</v>
      </c>
    </row>
    <row r="93" spans="1:12" ht="26.25" customHeight="1" x14ac:dyDescent="0.4">
      <c r="A93" s="75" t="s">
        <v>67</v>
      </c>
      <c r="B93" s="76">
        <v>1</v>
      </c>
      <c r="C93" s="147">
        <v>3</v>
      </c>
      <c r="D93" s="267">
        <v>52309796</v>
      </c>
      <c r="E93" s="88">
        <f>IF(ISBLANK(D93),"-",$D$101/$D$98*D93)</f>
        <v>46066414.801898673</v>
      </c>
      <c r="F93" s="267">
        <v>65889997</v>
      </c>
      <c r="G93" s="89">
        <f>IF(ISBLANK(F93),"-",$D$101/$F$98*F93)</f>
        <v>46187642.123916626</v>
      </c>
      <c r="I93" s="480"/>
    </row>
    <row r="94" spans="1:12" ht="27" customHeight="1" x14ac:dyDescent="0.4">
      <c r="A94" s="75" t="s">
        <v>68</v>
      </c>
      <c r="B94" s="76">
        <v>1</v>
      </c>
      <c r="C94" s="163">
        <v>4</v>
      </c>
      <c r="D94" s="92"/>
      <c r="E94" s="93" t="str">
        <f>IF(ISBLANK(D94),"-",$D$101/$D$98*D94)</f>
        <v>-</v>
      </c>
      <c r="F94" s="164"/>
      <c r="G94" s="94" t="str">
        <f>IF(ISBLANK(F94),"-",$D$101/$F$98*F94)</f>
        <v>-</v>
      </c>
      <c r="I94" s="95"/>
    </row>
    <row r="95" spans="1:12" ht="27" customHeight="1" x14ac:dyDescent="0.4">
      <c r="A95" s="75" t="s">
        <v>69</v>
      </c>
      <c r="B95" s="76">
        <v>1</v>
      </c>
      <c r="C95" s="165" t="s">
        <v>70</v>
      </c>
      <c r="D95" s="166">
        <f>AVERAGE(D91:D94)</f>
        <v>52759710</v>
      </c>
      <c r="E95" s="98">
        <f>AVERAGE(E91:E94)</f>
        <v>46462629.785210431</v>
      </c>
      <c r="F95" s="167">
        <f>AVERAGE(F91:F94)</f>
        <v>65826806.666666664</v>
      </c>
      <c r="G95" s="168">
        <f>AVERAGE(G91:G94)</f>
        <v>46143346.89498087</v>
      </c>
    </row>
    <row r="96" spans="1:12" ht="26.25" customHeight="1" x14ac:dyDescent="0.4">
      <c r="A96" s="75" t="s">
        <v>71</v>
      </c>
      <c r="B96" s="61">
        <v>1</v>
      </c>
      <c r="C96" s="169" t="s">
        <v>112</v>
      </c>
      <c r="D96" s="351">
        <v>17.05</v>
      </c>
      <c r="E96" s="90"/>
      <c r="F96" s="282">
        <v>21.42</v>
      </c>
    </row>
    <row r="97" spans="1:10" ht="26.25" customHeight="1" x14ac:dyDescent="0.4">
      <c r="A97" s="75" t="s">
        <v>73</v>
      </c>
      <c r="B97" s="61">
        <v>1</v>
      </c>
      <c r="C97" s="170" t="s">
        <v>113</v>
      </c>
      <c r="D97" s="171">
        <f>D96*$B$87</f>
        <v>17.05</v>
      </c>
      <c r="E97" s="105"/>
      <c r="F97" s="104">
        <f>F96*$B$87</f>
        <v>21.42</v>
      </c>
    </row>
    <row r="98" spans="1:10" ht="19.5" customHeight="1" x14ac:dyDescent="0.3">
      <c r="A98" s="75" t="s">
        <v>75</v>
      </c>
      <c r="B98" s="172">
        <f>(B97/B96)*(B95/B94)*(B93/B92)*(B91/B90)*B89</f>
        <v>50</v>
      </c>
      <c r="C98" s="170" t="s">
        <v>114</v>
      </c>
      <c r="D98" s="173">
        <f>D97*$B$83/100</f>
        <v>17.03295</v>
      </c>
      <c r="E98" s="108"/>
      <c r="F98" s="107">
        <f>F97*$B$83/100</f>
        <v>21.398580000000003</v>
      </c>
    </row>
    <row r="99" spans="1:10" ht="19.5" customHeight="1" x14ac:dyDescent="0.3">
      <c r="A99" s="481" t="s">
        <v>77</v>
      </c>
      <c r="B99" s="495"/>
      <c r="C99" s="170" t="s">
        <v>115</v>
      </c>
      <c r="D99" s="174">
        <f>D98/$B$98</f>
        <v>0.34065899999999999</v>
      </c>
      <c r="E99" s="108"/>
      <c r="F99" s="111">
        <f>F98/$B$98</f>
        <v>0.42797160000000006</v>
      </c>
      <c r="G99" s="175"/>
      <c r="H99" s="100"/>
    </row>
    <row r="100" spans="1:10" ht="19.5" customHeight="1" x14ac:dyDescent="0.3">
      <c r="A100" s="483"/>
      <c r="B100" s="496"/>
      <c r="C100" s="170" t="s">
        <v>79</v>
      </c>
      <c r="D100" s="176">
        <f>$B$56/$B$116</f>
        <v>0.3</v>
      </c>
      <c r="F100" s="116"/>
      <c r="G100" s="177"/>
      <c r="H100" s="100"/>
    </row>
    <row r="101" spans="1:10" ht="18.75" x14ac:dyDescent="0.3">
      <c r="C101" s="170" t="s">
        <v>80</v>
      </c>
      <c r="D101" s="171">
        <f>D100*$B$98</f>
        <v>15</v>
      </c>
      <c r="F101" s="116"/>
      <c r="G101" s="175"/>
      <c r="H101" s="100"/>
    </row>
    <row r="102" spans="1:10" ht="19.5" customHeight="1" x14ac:dyDescent="0.3">
      <c r="C102" s="178" t="s">
        <v>81</v>
      </c>
      <c r="D102" s="179">
        <f>D101/B34</f>
        <v>15</v>
      </c>
      <c r="F102" s="120"/>
      <c r="G102" s="175"/>
      <c r="H102" s="100"/>
      <c r="J102" s="180"/>
    </row>
    <row r="103" spans="1:10" ht="18.75" x14ac:dyDescent="0.3">
      <c r="C103" s="181" t="s">
        <v>116</v>
      </c>
      <c r="D103" s="182">
        <f>AVERAGE(E91:E94,G91:G94)</f>
        <v>46302988.340095662</v>
      </c>
      <c r="F103" s="120"/>
      <c r="G103" s="183"/>
      <c r="H103" s="100"/>
      <c r="J103" s="184"/>
    </row>
    <row r="104" spans="1:10" ht="18.75" x14ac:dyDescent="0.3">
      <c r="C104" s="150" t="s">
        <v>83</v>
      </c>
      <c r="D104" s="185">
        <f>STDEV(E91:E94,G91:G94)/D103</f>
        <v>8.1143109235006488E-3</v>
      </c>
      <c r="F104" s="120"/>
      <c r="G104" s="175"/>
      <c r="H104" s="100"/>
      <c r="J104" s="184"/>
    </row>
    <row r="105" spans="1:10" ht="19.5" customHeight="1" x14ac:dyDescent="0.3">
      <c r="C105" s="152" t="s">
        <v>19</v>
      </c>
      <c r="D105" s="186">
        <f>COUNT(E91:E94,G91:G94)</f>
        <v>6</v>
      </c>
      <c r="F105" s="120"/>
      <c r="G105" s="175"/>
      <c r="H105" s="100"/>
      <c r="J105" s="184"/>
    </row>
    <row r="106" spans="1:10" ht="19.5" customHeight="1" x14ac:dyDescent="0.3">
      <c r="A106" s="124"/>
      <c r="B106" s="124"/>
      <c r="C106" s="124"/>
      <c r="D106" s="124"/>
      <c r="E106" s="124"/>
    </row>
    <row r="107" spans="1:10" ht="26.25" customHeight="1" x14ac:dyDescent="0.4">
      <c r="A107" s="73" t="s">
        <v>117</v>
      </c>
      <c r="B107" s="74">
        <v>1000</v>
      </c>
      <c r="C107" s="187" t="s">
        <v>118</v>
      </c>
      <c r="D107" s="188" t="s">
        <v>62</v>
      </c>
      <c r="E107" s="189" t="s">
        <v>119</v>
      </c>
      <c r="F107" s="190" t="s">
        <v>120</v>
      </c>
    </row>
    <row r="108" spans="1:10" ht="26.25" customHeight="1" x14ac:dyDescent="0.4">
      <c r="A108" s="75" t="s">
        <v>121</v>
      </c>
      <c r="B108" s="76">
        <v>1</v>
      </c>
      <c r="C108" s="191">
        <v>1</v>
      </c>
      <c r="D108" s="192">
        <v>50555016</v>
      </c>
      <c r="E108" s="222">
        <f t="shared" ref="E108:E113" si="1">IF(ISBLANK(D108),"-",D108/$D$103*$D$100*$B$116)</f>
        <v>327.54915705660187</v>
      </c>
      <c r="F108" s="193">
        <f t="shared" ref="F108:F113" si="2">IF(ISBLANK(D108), "-", E108/$B$56)</f>
        <v>1.0918305235220063</v>
      </c>
    </row>
    <row r="109" spans="1:10" ht="26.25" customHeight="1" x14ac:dyDescent="0.4">
      <c r="A109" s="75" t="s">
        <v>94</v>
      </c>
      <c r="B109" s="76">
        <v>1</v>
      </c>
      <c r="C109" s="191">
        <v>2</v>
      </c>
      <c r="D109" s="192">
        <v>50710546</v>
      </c>
      <c r="E109" s="223">
        <f t="shared" si="1"/>
        <v>328.55684579706269</v>
      </c>
      <c r="F109" s="194">
        <f t="shared" si="2"/>
        <v>1.0951894859902089</v>
      </c>
    </row>
    <row r="110" spans="1:10" ht="26.25" customHeight="1" x14ac:dyDescent="0.4">
      <c r="A110" s="75" t="s">
        <v>95</v>
      </c>
      <c r="B110" s="76">
        <v>1</v>
      </c>
      <c r="C110" s="191">
        <v>3</v>
      </c>
      <c r="D110" s="192">
        <v>50516210</v>
      </c>
      <c r="E110" s="223">
        <f t="shared" si="1"/>
        <v>327.29773051984165</v>
      </c>
      <c r="F110" s="194">
        <f t="shared" si="2"/>
        <v>1.0909924350661389</v>
      </c>
    </row>
    <row r="111" spans="1:10" ht="26.25" customHeight="1" x14ac:dyDescent="0.4">
      <c r="A111" s="75" t="s">
        <v>96</v>
      </c>
      <c r="B111" s="76">
        <v>1</v>
      </c>
      <c r="C111" s="191">
        <v>4</v>
      </c>
      <c r="D111" s="192">
        <v>50632236</v>
      </c>
      <c r="E111" s="223">
        <f t="shared" si="1"/>
        <v>328.04947033724471</v>
      </c>
      <c r="F111" s="194">
        <f t="shared" si="2"/>
        <v>1.0934982344574824</v>
      </c>
    </row>
    <row r="112" spans="1:10" ht="26.25" customHeight="1" x14ac:dyDescent="0.4">
      <c r="A112" s="75" t="s">
        <v>97</v>
      </c>
      <c r="B112" s="76">
        <v>1</v>
      </c>
      <c r="C112" s="191">
        <v>5</v>
      </c>
      <c r="D112" s="374">
        <v>49999488</v>
      </c>
      <c r="E112" s="223">
        <f t="shared" si="1"/>
        <v>323.94985588891285</v>
      </c>
      <c r="F112" s="194">
        <f t="shared" si="2"/>
        <v>1.0798328529630428</v>
      </c>
    </row>
    <row r="113" spans="1:10" ht="26.25" customHeight="1" x14ac:dyDescent="0.4">
      <c r="A113" s="75" t="s">
        <v>99</v>
      </c>
      <c r="B113" s="76">
        <v>1</v>
      </c>
      <c r="C113" s="195">
        <v>6</v>
      </c>
      <c r="D113" s="374">
        <v>50420022</v>
      </c>
      <c r="E113" s="224">
        <f t="shared" si="1"/>
        <v>326.67452236342524</v>
      </c>
      <c r="F113" s="196">
        <f t="shared" si="2"/>
        <v>1.0889150745447509</v>
      </c>
    </row>
    <row r="114" spans="1:10" ht="26.25" customHeight="1" x14ac:dyDescent="0.4">
      <c r="A114" s="75" t="s">
        <v>100</v>
      </c>
      <c r="B114" s="76">
        <v>1</v>
      </c>
      <c r="C114" s="191"/>
      <c r="D114" s="147"/>
      <c r="E114" s="49"/>
      <c r="F114" s="197"/>
    </row>
    <row r="115" spans="1:10" ht="26.25" customHeight="1" x14ac:dyDescent="0.4">
      <c r="A115" s="75" t="s">
        <v>101</v>
      </c>
      <c r="B115" s="76">
        <v>1</v>
      </c>
      <c r="C115" s="191"/>
      <c r="D115" s="198" t="s">
        <v>70</v>
      </c>
      <c r="E115" s="226">
        <f>AVERAGE(E108:E113)</f>
        <v>327.01293032718149</v>
      </c>
      <c r="F115" s="199">
        <f>AVERAGE(F108:F113)</f>
        <v>1.0900431010906051</v>
      </c>
    </row>
    <row r="116" spans="1:10" ht="27" customHeight="1" x14ac:dyDescent="0.4">
      <c r="A116" s="75" t="s">
        <v>102</v>
      </c>
      <c r="B116" s="106">
        <f>(B115/B114)*(B113/B112)*(B111/B110)*(B109/B108)*B107</f>
        <v>1000</v>
      </c>
      <c r="C116" s="200"/>
      <c r="D116" s="165" t="s">
        <v>83</v>
      </c>
      <c r="E116" s="201">
        <f>STDEV(E108:E113)/E115</f>
        <v>4.9918583948644242E-3</v>
      </c>
      <c r="F116" s="201">
        <f>STDEV(F108:F113)/F115</f>
        <v>4.9918583948644424E-3</v>
      </c>
      <c r="I116" s="49"/>
    </row>
    <row r="117" spans="1:10" ht="27" customHeight="1" x14ac:dyDescent="0.4">
      <c r="A117" s="481" t="s">
        <v>77</v>
      </c>
      <c r="B117" s="482"/>
      <c r="C117" s="202"/>
      <c r="D117" s="203" t="s">
        <v>19</v>
      </c>
      <c r="E117" s="204">
        <f>COUNT(E108:E113)</f>
        <v>6</v>
      </c>
      <c r="F117" s="204">
        <f>COUNT(F108:F113)</f>
        <v>6</v>
      </c>
      <c r="I117" s="49"/>
      <c r="J117" s="184"/>
    </row>
    <row r="118" spans="1:10" ht="19.5" customHeight="1" x14ac:dyDescent="0.3">
      <c r="A118" s="483"/>
      <c r="B118" s="484"/>
      <c r="C118" s="49"/>
      <c r="D118" s="49"/>
      <c r="E118" s="49"/>
      <c r="F118" s="147"/>
      <c r="G118" s="49"/>
      <c r="H118" s="49"/>
      <c r="I118" s="49"/>
    </row>
    <row r="119" spans="1:10" ht="18.75" x14ac:dyDescent="0.3">
      <c r="A119" s="213"/>
      <c r="B119" s="71"/>
      <c r="C119" s="49"/>
      <c r="D119" s="49"/>
      <c r="E119" s="49"/>
      <c r="F119" s="147"/>
      <c r="G119" s="49"/>
      <c r="H119" s="49"/>
      <c r="I119" s="49"/>
    </row>
    <row r="120" spans="1:10" ht="26.25" customHeight="1" x14ac:dyDescent="0.4">
      <c r="A120" s="59" t="s">
        <v>105</v>
      </c>
      <c r="B120" s="154" t="s">
        <v>122</v>
      </c>
      <c r="C120" s="493" t="str">
        <f>B20</f>
        <v xml:space="preserve">Tenofovir Disproxil Fumarate
Lamivudine </v>
      </c>
      <c r="D120" s="493"/>
      <c r="E120" s="155" t="s">
        <v>123</v>
      </c>
      <c r="F120" s="155"/>
      <c r="G120" s="156">
        <f>F115</f>
        <v>1.0900431010906051</v>
      </c>
      <c r="H120" s="49"/>
      <c r="I120" s="49"/>
    </row>
    <row r="121" spans="1:10" ht="19.5" customHeight="1" x14ac:dyDescent="0.3">
      <c r="A121" s="205"/>
      <c r="B121" s="205"/>
      <c r="C121" s="206"/>
      <c r="D121" s="206"/>
      <c r="E121" s="206"/>
      <c r="F121" s="206"/>
      <c r="G121" s="206"/>
      <c r="H121" s="206"/>
    </row>
    <row r="122" spans="1:10" ht="18.75" x14ac:dyDescent="0.3">
      <c r="B122" s="494" t="s">
        <v>25</v>
      </c>
      <c r="C122" s="494"/>
      <c r="E122" s="160" t="s">
        <v>26</v>
      </c>
      <c r="F122" s="207"/>
      <c r="G122" s="494" t="s">
        <v>27</v>
      </c>
      <c r="H122" s="494"/>
    </row>
    <row r="123" spans="1:10" ht="69.95" customHeight="1" x14ac:dyDescent="0.3">
      <c r="A123" s="208" t="s">
        <v>28</v>
      </c>
      <c r="B123" s="209"/>
      <c r="C123" s="209"/>
      <c r="E123" s="209"/>
      <c r="F123" s="49"/>
      <c r="G123" s="210"/>
      <c r="H123" s="210"/>
    </row>
    <row r="124" spans="1:10" ht="69.95" customHeight="1" x14ac:dyDescent="0.3">
      <c r="A124" s="208" t="s">
        <v>29</v>
      </c>
      <c r="B124" s="211"/>
      <c r="C124" s="211"/>
      <c r="E124" s="211"/>
      <c r="F124" s="49"/>
      <c r="G124" s="212"/>
      <c r="H124" s="212"/>
    </row>
    <row r="125" spans="1:10" ht="18.75" x14ac:dyDescent="0.3">
      <c r="A125" s="146"/>
      <c r="B125" s="146"/>
      <c r="C125" s="147"/>
      <c r="D125" s="147"/>
      <c r="E125" s="147"/>
      <c r="F125" s="151"/>
      <c r="G125" s="147"/>
      <c r="H125" s="147"/>
      <c r="I125" s="49"/>
    </row>
    <row r="126" spans="1:10" ht="18.75" x14ac:dyDescent="0.3">
      <c r="A126" s="146"/>
      <c r="B126" s="146"/>
      <c r="C126" s="147"/>
      <c r="D126" s="147"/>
      <c r="E126" s="147"/>
      <c r="F126" s="151"/>
      <c r="G126" s="147"/>
      <c r="H126" s="147"/>
      <c r="I126" s="49"/>
    </row>
    <row r="127" spans="1:10" ht="18.75" x14ac:dyDescent="0.3">
      <c r="A127" s="146"/>
      <c r="B127" s="146"/>
      <c r="C127" s="147"/>
      <c r="D127" s="147"/>
      <c r="E127" s="147"/>
      <c r="F127" s="151"/>
      <c r="G127" s="147"/>
      <c r="H127" s="147"/>
      <c r="I127" s="49"/>
    </row>
    <row r="128" spans="1:10" ht="18.75" x14ac:dyDescent="0.3">
      <c r="A128" s="146"/>
      <c r="B128" s="146"/>
      <c r="C128" s="147"/>
      <c r="D128" s="147"/>
      <c r="E128" s="147"/>
      <c r="F128" s="151"/>
      <c r="G128" s="147"/>
      <c r="H128" s="147"/>
      <c r="I128" s="49"/>
    </row>
    <row r="129" spans="1:9" ht="18.75" x14ac:dyDescent="0.3">
      <c r="A129" s="146"/>
      <c r="B129" s="146"/>
      <c r="C129" s="147"/>
      <c r="D129" s="147"/>
      <c r="E129" s="147"/>
      <c r="F129" s="151"/>
      <c r="G129" s="147"/>
      <c r="H129" s="147"/>
      <c r="I129" s="49"/>
    </row>
    <row r="130" spans="1:9" ht="18.75" x14ac:dyDescent="0.3">
      <c r="A130" s="146"/>
      <c r="B130" s="146"/>
      <c r="C130" s="147"/>
      <c r="D130" s="147"/>
      <c r="E130" s="147"/>
      <c r="F130" s="151"/>
      <c r="G130" s="147"/>
      <c r="H130" s="147"/>
      <c r="I130" s="49"/>
    </row>
    <row r="131" spans="1:9" ht="18.75" x14ac:dyDescent="0.3">
      <c r="A131" s="146"/>
      <c r="B131" s="146"/>
      <c r="C131" s="147"/>
      <c r="D131" s="147"/>
      <c r="E131" s="147"/>
      <c r="F131" s="151"/>
      <c r="G131" s="147"/>
      <c r="H131" s="147"/>
      <c r="I131" s="49"/>
    </row>
    <row r="132" spans="1:9" ht="18.75" x14ac:dyDescent="0.3">
      <c r="A132" s="146"/>
      <c r="B132" s="146"/>
      <c r="C132" s="147"/>
      <c r="D132" s="147"/>
      <c r="E132" s="147"/>
      <c r="F132" s="151"/>
      <c r="G132" s="147"/>
      <c r="H132" s="147"/>
      <c r="I132" s="49"/>
    </row>
    <row r="133" spans="1:9" ht="18.75" x14ac:dyDescent="0.3">
      <c r="A133" s="146"/>
      <c r="B133" s="146"/>
      <c r="C133" s="147"/>
      <c r="D133" s="147"/>
      <c r="E133" s="147"/>
      <c r="F133" s="151"/>
      <c r="G133" s="147"/>
      <c r="H133" s="147"/>
      <c r="I133" s="49"/>
    </row>
    <row r="250" spans="1:1" x14ac:dyDescent="0.25">
      <c r="A250" s="2">
        <v>5</v>
      </c>
    </row>
  </sheetData>
  <sheetProtection password="AD9C" formatCells="0" formatColumns="0" formatRows="0" insertColumns="0" insertRows="0" insertHyperlinks="0" deleteColumns="0" deleteRows="0" sort="0" autoFilter="0" pivotTables="0"/>
  <mergeCells count="36"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B79:C79"/>
    <mergeCell ref="B80:C80"/>
    <mergeCell ref="I39:I40"/>
    <mergeCell ref="A46:B47"/>
    <mergeCell ref="C60:C63"/>
    <mergeCell ref="D60:D63"/>
    <mergeCell ref="C64:C67"/>
    <mergeCell ref="D64:D67"/>
    <mergeCell ref="B27:C27"/>
    <mergeCell ref="C29:G29"/>
    <mergeCell ref="C31:H31"/>
    <mergeCell ref="C32:H32"/>
    <mergeCell ref="D36:E36"/>
    <mergeCell ref="F36:G36"/>
    <mergeCell ref="B26:C26"/>
    <mergeCell ref="A16:H16"/>
    <mergeCell ref="A17:H17"/>
    <mergeCell ref="B18:C18"/>
    <mergeCell ref="B20:C20"/>
    <mergeCell ref="B21:H21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G73">
    <cfRule type="cellIs" dxfId="15" priority="3" operator="greaterThan">
      <formula>0.02</formula>
    </cfRule>
  </conditionalFormatting>
  <conditionalFormatting sqref="H73">
    <cfRule type="cellIs" dxfId="14" priority="4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ageMargins left="0.7" right="0.7" top="0.75" bottom="0.75" header="0.3" footer="0.3"/>
  <pageSetup scale="24" orientation="portrait" r:id="rId1"/>
  <headerFooter>
    <oddHeader>&amp;LVer 3</oddHeader>
    <oddFooter>&amp;LNQCL/ADDO/014&amp;CPage &amp;P of &amp;N&amp;R&amp;D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BreakPreview" topLeftCell="B54" zoomScale="55" zoomScaleNormal="60" zoomScaleSheetLayoutView="55" zoomScalePageLayoutView="55" workbookViewId="0">
      <selection activeCell="G70" sqref="G70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491" t="s">
        <v>44</v>
      </c>
      <c r="B1" s="491"/>
      <c r="C1" s="491"/>
      <c r="D1" s="491"/>
      <c r="E1" s="491"/>
      <c r="F1" s="491"/>
      <c r="G1" s="491"/>
      <c r="H1" s="491"/>
      <c r="I1" s="491"/>
    </row>
    <row r="2" spans="1:9" ht="18.75" customHeight="1" x14ac:dyDescent="0.25">
      <c r="A2" s="491"/>
      <c r="B2" s="491"/>
      <c r="C2" s="491"/>
      <c r="D2" s="491"/>
      <c r="E2" s="491"/>
      <c r="F2" s="491"/>
      <c r="G2" s="491"/>
      <c r="H2" s="491"/>
      <c r="I2" s="491"/>
    </row>
    <row r="3" spans="1:9" ht="18.75" customHeight="1" x14ac:dyDescent="0.25">
      <c r="A3" s="491"/>
      <c r="B3" s="491"/>
      <c r="C3" s="491"/>
      <c r="D3" s="491"/>
      <c r="E3" s="491"/>
      <c r="F3" s="491"/>
      <c r="G3" s="491"/>
      <c r="H3" s="491"/>
      <c r="I3" s="491"/>
    </row>
    <row r="4" spans="1:9" ht="18.75" customHeight="1" x14ac:dyDescent="0.25">
      <c r="A4" s="491"/>
      <c r="B4" s="491"/>
      <c r="C4" s="491"/>
      <c r="D4" s="491"/>
      <c r="E4" s="491"/>
      <c r="F4" s="491"/>
      <c r="G4" s="491"/>
      <c r="H4" s="491"/>
      <c r="I4" s="491"/>
    </row>
    <row r="5" spans="1:9" ht="18.75" customHeight="1" x14ac:dyDescent="0.25">
      <c r="A5" s="491"/>
      <c r="B5" s="491"/>
      <c r="C5" s="491"/>
      <c r="D5" s="491"/>
      <c r="E5" s="491"/>
      <c r="F5" s="491"/>
      <c r="G5" s="491"/>
      <c r="H5" s="491"/>
      <c r="I5" s="491"/>
    </row>
    <row r="6" spans="1:9" ht="18.75" customHeight="1" x14ac:dyDescent="0.25">
      <c r="A6" s="491"/>
      <c r="B6" s="491"/>
      <c r="C6" s="491"/>
      <c r="D6" s="491"/>
      <c r="E6" s="491"/>
      <c r="F6" s="491"/>
      <c r="G6" s="491"/>
      <c r="H6" s="491"/>
      <c r="I6" s="491"/>
    </row>
    <row r="7" spans="1:9" ht="18.75" customHeight="1" x14ac:dyDescent="0.25">
      <c r="A7" s="491"/>
      <c r="B7" s="491"/>
      <c r="C7" s="491"/>
      <c r="D7" s="491"/>
      <c r="E7" s="491"/>
      <c r="F7" s="491"/>
      <c r="G7" s="491"/>
      <c r="H7" s="491"/>
      <c r="I7" s="491"/>
    </row>
    <row r="8" spans="1:9" x14ac:dyDescent="0.25">
      <c r="A8" s="492" t="s">
        <v>45</v>
      </c>
      <c r="B8" s="492"/>
      <c r="C8" s="492"/>
      <c r="D8" s="492"/>
      <c r="E8" s="492"/>
      <c r="F8" s="492"/>
      <c r="G8" s="492"/>
      <c r="H8" s="492"/>
      <c r="I8" s="492"/>
    </row>
    <row r="9" spans="1:9" x14ac:dyDescent="0.25">
      <c r="A9" s="492"/>
      <c r="B9" s="492"/>
      <c r="C9" s="492"/>
      <c r="D9" s="492"/>
      <c r="E9" s="492"/>
      <c r="F9" s="492"/>
      <c r="G9" s="492"/>
      <c r="H9" s="492"/>
      <c r="I9" s="492"/>
    </row>
    <row r="10" spans="1:9" x14ac:dyDescent="0.25">
      <c r="A10" s="492"/>
      <c r="B10" s="492"/>
      <c r="C10" s="492"/>
      <c r="D10" s="492"/>
      <c r="E10" s="492"/>
      <c r="F10" s="492"/>
      <c r="G10" s="492"/>
      <c r="H10" s="492"/>
      <c r="I10" s="492"/>
    </row>
    <row r="11" spans="1:9" x14ac:dyDescent="0.25">
      <c r="A11" s="492"/>
      <c r="B11" s="492"/>
      <c r="C11" s="492"/>
      <c r="D11" s="492"/>
      <c r="E11" s="492"/>
      <c r="F11" s="492"/>
      <c r="G11" s="492"/>
      <c r="H11" s="492"/>
      <c r="I11" s="492"/>
    </row>
    <row r="12" spans="1:9" x14ac:dyDescent="0.25">
      <c r="A12" s="492"/>
      <c r="B12" s="492"/>
      <c r="C12" s="492"/>
      <c r="D12" s="492"/>
      <c r="E12" s="492"/>
      <c r="F12" s="492"/>
      <c r="G12" s="492"/>
      <c r="H12" s="492"/>
      <c r="I12" s="492"/>
    </row>
    <row r="13" spans="1:9" x14ac:dyDescent="0.25">
      <c r="A13" s="492"/>
      <c r="B13" s="492"/>
      <c r="C13" s="492"/>
      <c r="D13" s="492"/>
      <c r="E13" s="492"/>
      <c r="F13" s="492"/>
      <c r="G13" s="492"/>
      <c r="H13" s="492"/>
      <c r="I13" s="492"/>
    </row>
    <row r="14" spans="1:9" x14ac:dyDescent="0.25">
      <c r="A14" s="492"/>
      <c r="B14" s="492"/>
      <c r="C14" s="492"/>
      <c r="D14" s="492"/>
      <c r="E14" s="492"/>
      <c r="F14" s="492"/>
      <c r="G14" s="492"/>
      <c r="H14" s="492"/>
      <c r="I14" s="492"/>
    </row>
    <row r="15" spans="1:9" ht="19.5" customHeight="1" x14ac:dyDescent="0.3">
      <c r="A15" s="228"/>
    </row>
    <row r="16" spans="1:9" ht="19.5" customHeight="1" x14ac:dyDescent="0.3">
      <c r="A16" s="464" t="s">
        <v>30</v>
      </c>
      <c r="B16" s="465"/>
      <c r="C16" s="465"/>
      <c r="D16" s="465"/>
      <c r="E16" s="465"/>
      <c r="F16" s="465"/>
      <c r="G16" s="465"/>
      <c r="H16" s="466"/>
    </row>
    <row r="17" spans="1:14" ht="20.25" customHeight="1" x14ac:dyDescent="0.25">
      <c r="A17" s="467" t="s">
        <v>46</v>
      </c>
      <c r="B17" s="467"/>
      <c r="C17" s="467"/>
      <c r="D17" s="467"/>
      <c r="E17" s="467"/>
      <c r="F17" s="467"/>
      <c r="G17" s="467"/>
      <c r="H17" s="467"/>
    </row>
    <row r="18" spans="1:14" ht="26.25" customHeight="1" x14ac:dyDescent="0.4">
      <c r="A18" s="230" t="s">
        <v>32</v>
      </c>
      <c r="B18" s="463" t="s">
        <v>5</v>
      </c>
      <c r="C18" s="463"/>
      <c r="D18" s="397"/>
      <c r="E18" s="231"/>
      <c r="F18" s="232"/>
      <c r="G18" s="232"/>
      <c r="H18" s="232"/>
    </row>
    <row r="19" spans="1:14" ht="26.25" customHeight="1" x14ac:dyDescent="0.4">
      <c r="A19" s="230" t="s">
        <v>33</v>
      </c>
      <c r="B19" s="233" t="s">
        <v>7</v>
      </c>
      <c r="C19" s="410">
        <v>29</v>
      </c>
      <c r="D19" s="232"/>
      <c r="E19" s="232"/>
      <c r="F19" s="232"/>
      <c r="G19" s="232"/>
      <c r="H19" s="232"/>
    </row>
    <row r="20" spans="1:14" ht="26.25" customHeight="1" x14ac:dyDescent="0.4">
      <c r="A20" s="230" t="s">
        <v>34</v>
      </c>
      <c r="B20" s="468" t="s">
        <v>9</v>
      </c>
      <c r="C20" s="468"/>
      <c r="D20" s="232"/>
      <c r="E20" s="232"/>
      <c r="F20" s="232"/>
      <c r="G20" s="232"/>
      <c r="H20" s="232"/>
    </row>
    <row r="21" spans="1:14" ht="26.25" customHeight="1" x14ac:dyDescent="0.4">
      <c r="A21" s="230" t="s">
        <v>35</v>
      </c>
      <c r="B21" s="468" t="s">
        <v>11</v>
      </c>
      <c r="C21" s="468"/>
      <c r="D21" s="468"/>
      <c r="E21" s="468"/>
      <c r="F21" s="468"/>
      <c r="G21" s="468"/>
      <c r="H21" s="468"/>
      <c r="I21" s="234"/>
    </row>
    <row r="22" spans="1:14" ht="26.25" customHeight="1" x14ac:dyDescent="0.4">
      <c r="A22" s="230" t="s">
        <v>36</v>
      </c>
      <c r="B22" s="235">
        <v>42412</v>
      </c>
      <c r="C22" s="232"/>
      <c r="D22" s="232"/>
      <c r="E22" s="232"/>
      <c r="F22" s="232"/>
      <c r="G22" s="232"/>
      <c r="H22" s="232"/>
    </row>
    <row r="23" spans="1:14" ht="26.25" customHeight="1" x14ac:dyDescent="0.4">
      <c r="A23" s="230" t="s">
        <v>37</v>
      </c>
      <c r="B23" s="235">
        <v>42425</v>
      </c>
      <c r="C23" s="232"/>
      <c r="D23" s="232"/>
      <c r="E23" s="232"/>
      <c r="F23" s="232"/>
      <c r="G23" s="232"/>
      <c r="H23" s="232"/>
    </row>
    <row r="24" spans="1:14" ht="18.75" x14ac:dyDescent="0.3">
      <c r="A24" s="230"/>
      <c r="B24" s="236"/>
    </row>
    <row r="25" spans="1:14" ht="18.75" x14ac:dyDescent="0.3">
      <c r="A25" s="237" t="s">
        <v>1</v>
      </c>
      <c r="B25" s="236"/>
    </row>
    <row r="26" spans="1:14" ht="26.25" customHeight="1" x14ac:dyDescent="0.4">
      <c r="A26" s="238" t="s">
        <v>4</v>
      </c>
      <c r="B26" s="463" t="s">
        <v>127</v>
      </c>
      <c r="C26" s="463"/>
    </row>
    <row r="27" spans="1:14" ht="26.25" customHeight="1" x14ac:dyDescent="0.4">
      <c r="A27" s="239" t="s">
        <v>47</v>
      </c>
      <c r="B27" s="469" t="s">
        <v>128</v>
      </c>
      <c r="C27" s="469"/>
    </row>
    <row r="28" spans="1:14" ht="27" customHeight="1" x14ac:dyDescent="0.4">
      <c r="A28" s="239" t="s">
        <v>6</v>
      </c>
      <c r="B28" s="338">
        <v>98.8</v>
      </c>
      <c r="C28" s="357"/>
    </row>
    <row r="29" spans="1:14" s="3" customFormat="1" ht="27" customHeight="1" x14ac:dyDescent="0.4">
      <c r="A29" s="239" t="s">
        <v>48</v>
      </c>
      <c r="B29" s="241">
        <v>0</v>
      </c>
      <c r="C29" s="470" t="s">
        <v>49</v>
      </c>
      <c r="D29" s="471"/>
      <c r="E29" s="471"/>
      <c r="F29" s="471"/>
      <c r="G29" s="472"/>
      <c r="I29" s="242"/>
      <c r="J29" s="242"/>
      <c r="K29" s="242"/>
      <c r="L29" s="242"/>
    </row>
    <row r="30" spans="1:14" s="3" customFormat="1" ht="19.5" customHeight="1" x14ac:dyDescent="0.3">
      <c r="A30" s="239" t="s">
        <v>50</v>
      </c>
      <c r="B30" s="243">
        <f>B28-B29</f>
        <v>98.8</v>
      </c>
      <c r="C30" s="244"/>
      <c r="D30" s="244"/>
      <c r="E30" s="244"/>
      <c r="F30" s="244"/>
      <c r="G30" s="245"/>
      <c r="I30" s="242"/>
      <c r="J30" s="242"/>
      <c r="K30" s="242"/>
      <c r="L30" s="242"/>
    </row>
    <row r="31" spans="1:14" s="3" customFormat="1" ht="27" customHeight="1" x14ac:dyDescent="0.4">
      <c r="A31" s="239" t="s">
        <v>51</v>
      </c>
      <c r="B31" s="246">
        <v>1</v>
      </c>
      <c r="C31" s="473" t="s">
        <v>52</v>
      </c>
      <c r="D31" s="474"/>
      <c r="E31" s="474"/>
      <c r="F31" s="474"/>
      <c r="G31" s="474"/>
      <c r="H31" s="475"/>
      <c r="I31" s="242"/>
      <c r="J31" s="242"/>
      <c r="K31" s="242"/>
      <c r="L31" s="242"/>
    </row>
    <row r="32" spans="1:14" s="3" customFormat="1" ht="27" customHeight="1" x14ac:dyDescent="0.4">
      <c r="A32" s="239" t="s">
        <v>53</v>
      </c>
      <c r="B32" s="246">
        <v>1</v>
      </c>
      <c r="C32" s="473" t="s">
        <v>54</v>
      </c>
      <c r="D32" s="474"/>
      <c r="E32" s="474"/>
      <c r="F32" s="474"/>
      <c r="G32" s="474"/>
      <c r="H32" s="475"/>
      <c r="I32" s="242"/>
      <c r="J32" s="242"/>
      <c r="K32" s="242"/>
      <c r="L32" s="247"/>
      <c r="M32" s="247"/>
      <c r="N32" s="248"/>
    </row>
    <row r="33" spans="1:14" s="3" customFormat="1" ht="17.25" customHeight="1" x14ac:dyDescent="0.3">
      <c r="A33" s="239"/>
      <c r="B33" s="249"/>
      <c r="C33" s="250"/>
      <c r="D33" s="250"/>
      <c r="E33" s="250"/>
      <c r="F33" s="250"/>
      <c r="G33" s="250"/>
      <c r="H33" s="250"/>
      <c r="I33" s="242"/>
      <c r="J33" s="242"/>
      <c r="K33" s="242"/>
      <c r="L33" s="247"/>
      <c r="M33" s="247"/>
      <c r="N33" s="248"/>
    </row>
    <row r="34" spans="1:14" s="3" customFormat="1" ht="18.75" x14ac:dyDescent="0.3">
      <c r="A34" s="239" t="s">
        <v>55</v>
      </c>
      <c r="B34" s="251">
        <f>B31/B32</f>
        <v>1</v>
      </c>
      <c r="C34" s="229" t="s">
        <v>56</v>
      </c>
      <c r="D34" s="229"/>
      <c r="E34" s="229"/>
      <c r="F34" s="229"/>
      <c r="G34" s="229"/>
      <c r="I34" s="242"/>
      <c r="J34" s="242"/>
      <c r="K34" s="242"/>
      <c r="L34" s="247"/>
      <c r="M34" s="247"/>
      <c r="N34" s="248"/>
    </row>
    <row r="35" spans="1:14" s="3" customFormat="1" ht="19.5" customHeight="1" x14ac:dyDescent="0.3">
      <c r="A35" s="239"/>
      <c r="B35" s="243"/>
      <c r="G35" s="229"/>
      <c r="I35" s="242"/>
      <c r="J35" s="242"/>
      <c r="K35" s="242"/>
      <c r="L35" s="247"/>
      <c r="M35" s="247"/>
      <c r="N35" s="248"/>
    </row>
    <row r="36" spans="1:14" s="3" customFormat="1" ht="27" customHeight="1" x14ac:dyDescent="0.4">
      <c r="A36" s="252" t="s">
        <v>57</v>
      </c>
      <c r="B36" s="253">
        <v>50</v>
      </c>
      <c r="C36" s="229"/>
      <c r="D36" s="476" t="s">
        <v>58</v>
      </c>
      <c r="E36" s="477"/>
      <c r="F36" s="476" t="s">
        <v>59</v>
      </c>
      <c r="G36" s="478"/>
      <c r="J36" s="242"/>
      <c r="K36" s="242"/>
      <c r="L36" s="247"/>
      <c r="M36" s="247"/>
      <c r="N36" s="248"/>
    </row>
    <row r="37" spans="1:14" s="3" customFormat="1" ht="27" customHeight="1" x14ac:dyDescent="0.4">
      <c r="A37" s="254" t="s">
        <v>60</v>
      </c>
      <c r="B37" s="255">
        <v>10</v>
      </c>
      <c r="C37" s="256" t="s">
        <v>61</v>
      </c>
      <c r="D37" s="257" t="s">
        <v>62</v>
      </c>
      <c r="E37" s="258" t="s">
        <v>63</v>
      </c>
      <c r="F37" s="257" t="s">
        <v>62</v>
      </c>
      <c r="G37" s="259" t="s">
        <v>63</v>
      </c>
      <c r="I37" s="260" t="s">
        <v>64</v>
      </c>
      <c r="J37" s="242"/>
      <c r="K37" s="242"/>
      <c r="L37" s="247"/>
      <c r="M37" s="247"/>
      <c r="N37" s="248"/>
    </row>
    <row r="38" spans="1:14" s="3" customFormat="1" ht="26.25" customHeight="1" x14ac:dyDescent="0.4">
      <c r="A38" s="254" t="s">
        <v>65</v>
      </c>
      <c r="B38" s="255">
        <v>25</v>
      </c>
      <c r="C38" s="261">
        <v>1</v>
      </c>
      <c r="D38" s="262">
        <v>74382791</v>
      </c>
      <c r="E38" s="263">
        <f>IF(ISBLANK(D38),"-",$D$48/$D$45*D38)</f>
        <v>49185251.98726178</v>
      </c>
      <c r="F38" s="262">
        <v>78675977</v>
      </c>
      <c r="G38" s="264">
        <f>IF(ISBLANK(F38),"-",$D$48/$F$45*F38)</f>
        <v>48615113.350437239</v>
      </c>
      <c r="I38" s="265"/>
      <c r="J38" s="242"/>
      <c r="K38" s="242"/>
      <c r="L38" s="247"/>
      <c r="M38" s="247"/>
      <c r="N38" s="248"/>
    </row>
    <row r="39" spans="1:14" s="3" customFormat="1" ht="26.25" customHeight="1" x14ac:dyDescent="0.4">
      <c r="A39" s="254" t="s">
        <v>66</v>
      </c>
      <c r="B39" s="255">
        <v>1</v>
      </c>
      <c r="C39" s="266">
        <v>2</v>
      </c>
      <c r="D39" s="267">
        <v>74383864</v>
      </c>
      <c r="E39" s="268">
        <f>IF(ISBLANK(D39),"-",$D$48/$D$45*D39)</f>
        <v>49185961.503195144</v>
      </c>
      <c r="F39" s="267">
        <v>78734178</v>
      </c>
      <c r="G39" s="269">
        <f>IF(ISBLANK(F39),"-",$D$48/$F$45*F39)</f>
        <v>48651076.656137384</v>
      </c>
      <c r="I39" s="480">
        <f>ABS((F43/D43*D42)-F42)/D42</f>
        <v>1.0706282691983919E-2</v>
      </c>
      <c r="J39" s="242"/>
      <c r="K39" s="242"/>
      <c r="L39" s="247"/>
      <c r="M39" s="247"/>
      <c r="N39" s="248"/>
    </row>
    <row r="40" spans="1:14" ht="26.25" customHeight="1" x14ac:dyDescent="0.4">
      <c r="A40" s="254" t="s">
        <v>67</v>
      </c>
      <c r="B40" s="255">
        <v>1</v>
      </c>
      <c r="C40" s="266">
        <v>3</v>
      </c>
      <c r="D40" s="267">
        <v>74204597</v>
      </c>
      <c r="E40" s="268">
        <f>IF(ISBLANK(D40),"-",$D$48/$D$45*D40)</f>
        <v>49067422.087700494</v>
      </c>
      <c r="F40" s="267">
        <v>78809083</v>
      </c>
      <c r="G40" s="269">
        <f>IF(ISBLANK(F40),"-",$D$48/$F$45*F40)</f>
        <v>48697361.623981059</v>
      </c>
      <c r="I40" s="480"/>
      <c r="L40" s="247"/>
      <c r="M40" s="247"/>
      <c r="N40" s="270"/>
    </row>
    <row r="41" spans="1:14" ht="27" customHeight="1" x14ac:dyDescent="0.4">
      <c r="A41" s="254" t="s">
        <v>68</v>
      </c>
      <c r="B41" s="255">
        <v>1</v>
      </c>
      <c r="C41" s="271">
        <v>4</v>
      </c>
      <c r="D41" s="272"/>
      <c r="E41" s="273" t="str">
        <f>IF(ISBLANK(D41),"-",$D$48/$D$45*D41)</f>
        <v>-</v>
      </c>
      <c r="F41" s="272"/>
      <c r="G41" s="274" t="str">
        <f>IF(ISBLANK(F41),"-",$D$48/$F$45*F41)</f>
        <v>-</v>
      </c>
      <c r="I41" s="275"/>
      <c r="L41" s="247"/>
      <c r="M41" s="247"/>
      <c r="N41" s="270"/>
    </row>
    <row r="42" spans="1:14" ht="27" customHeight="1" x14ac:dyDescent="0.4">
      <c r="A42" s="254" t="s">
        <v>69</v>
      </c>
      <c r="B42" s="255">
        <v>1</v>
      </c>
      <c r="C42" s="276" t="s">
        <v>70</v>
      </c>
      <c r="D42" s="277">
        <f>AVERAGE(D38:D41)</f>
        <v>74323750.666666672</v>
      </c>
      <c r="E42" s="278">
        <f>AVERAGE(E38:E41)</f>
        <v>49146211.859385811</v>
      </c>
      <c r="F42" s="277">
        <f>AVERAGE(F38:F41)</f>
        <v>78739746</v>
      </c>
      <c r="G42" s="279">
        <f>AVERAGE(G38:G41)</f>
        <v>48654517.21018523</v>
      </c>
      <c r="H42" s="280"/>
    </row>
    <row r="43" spans="1:14" ht="26.25" customHeight="1" x14ac:dyDescent="0.4">
      <c r="A43" s="254" t="s">
        <v>71</v>
      </c>
      <c r="B43" s="255">
        <v>1</v>
      </c>
      <c r="C43" s="281" t="s">
        <v>72</v>
      </c>
      <c r="D43" s="282">
        <v>22.96</v>
      </c>
      <c r="E43" s="270"/>
      <c r="F43" s="282">
        <v>24.57</v>
      </c>
      <c r="H43" s="280"/>
    </row>
    <row r="44" spans="1:14" ht="26.25" customHeight="1" x14ac:dyDescent="0.4">
      <c r="A44" s="254" t="s">
        <v>73</v>
      </c>
      <c r="B44" s="255">
        <v>1</v>
      </c>
      <c r="C44" s="283" t="s">
        <v>74</v>
      </c>
      <c r="D44" s="284">
        <f>D43*$B$34</f>
        <v>22.96</v>
      </c>
      <c r="E44" s="285"/>
      <c r="F44" s="284">
        <f>F43*$B$34</f>
        <v>24.57</v>
      </c>
      <c r="H44" s="280"/>
    </row>
    <row r="45" spans="1:14" ht="19.5" customHeight="1" x14ac:dyDescent="0.3">
      <c r="A45" s="254" t="s">
        <v>75</v>
      </c>
      <c r="B45" s="286">
        <f>(B44/B43)*(B42/B41)*(B40/B39)*(B38/B37)*B36</f>
        <v>125</v>
      </c>
      <c r="C45" s="283" t="s">
        <v>76</v>
      </c>
      <c r="D45" s="287">
        <f>D44*$B$30/100</f>
        <v>22.684479999999997</v>
      </c>
      <c r="E45" s="288"/>
      <c r="F45" s="287">
        <f>F44*$B$30/100</f>
        <v>24.27516</v>
      </c>
      <c r="H45" s="280"/>
    </row>
    <row r="46" spans="1:14" ht="19.5" customHeight="1" x14ac:dyDescent="0.3">
      <c r="A46" s="481" t="s">
        <v>77</v>
      </c>
      <c r="B46" s="482"/>
      <c r="C46" s="283" t="s">
        <v>78</v>
      </c>
      <c r="D46" s="289">
        <f>D45/$B$45</f>
        <v>0.18147583999999997</v>
      </c>
      <c r="E46" s="290"/>
      <c r="F46" s="291">
        <f>F45/$B$45</f>
        <v>0.19420128</v>
      </c>
      <c r="H46" s="280"/>
    </row>
    <row r="47" spans="1:14" ht="27" customHeight="1" x14ac:dyDescent="0.4">
      <c r="A47" s="483"/>
      <c r="B47" s="484"/>
      <c r="C47" s="292" t="s">
        <v>79</v>
      </c>
      <c r="D47" s="293">
        <v>0.12</v>
      </c>
      <c r="E47" s="294"/>
      <c r="F47" s="290"/>
      <c r="H47" s="280"/>
    </row>
    <row r="48" spans="1:14" ht="18.75" x14ac:dyDescent="0.3">
      <c r="C48" s="295" t="s">
        <v>80</v>
      </c>
      <c r="D48" s="287">
        <f>D47*$B$45</f>
        <v>15</v>
      </c>
      <c r="F48" s="296"/>
      <c r="H48" s="280"/>
    </row>
    <row r="49" spans="1:12" ht="19.5" customHeight="1" x14ac:dyDescent="0.3">
      <c r="C49" s="297" t="s">
        <v>81</v>
      </c>
      <c r="D49" s="298">
        <f>D48/B34</f>
        <v>15</v>
      </c>
      <c r="F49" s="296"/>
      <c r="H49" s="280"/>
    </row>
    <row r="50" spans="1:12" ht="18.75" x14ac:dyDescent="0.3">
      <c r="C50" s="252" t="s">
        <v>82</v>
      </c>
      <c r="D50" s="299">
        <f>AVERAGE(E38:E41,G38:G41)</f>
        <v>48900364.534785509</v>
      </c>
      <c r="F50" s="300"/>
      <c r="H50" s="280"/>
    </row>
    <row r="51" spans="1:12" ht="18.75" x14ac:dyDescent="0.3">
      <c r="C51" s="254" t="s">
        <v>83</v>
      </c>
      <c r="D51" s="301">
        <f>STDEV(E38:E41,G38:G41)/D50</f>
        <v>5.6030628910588558E-3</v>
      </c>
      <c r="F51" s="300"/>
      <c r="H51" s="280"/>
    </row>
    <row r="52" spans="1:12" ht="19.5" customHeight="1" x14ac:dyDescent="0.3">
      <c r="C52" s="302" t="s">
        <v>19</v>
      </c>
      <c r="D52" s="303">
        <f>COUNT(E38:E41,G38:G41)</f>
        <v>6</v>
      </c>
      <c r="F52" s="300"/>
    </row>
    <row r="54" spans="1:12" ht="18.75" x14ac:dyDescent="0.3">
      <c r="A54" s="304" t="s">
        <v>1</v>
      </c>
      <c r="B54" s="305" t="s">
        <v>84</v>
      </c>
    </row>
    <row r="55" spans="1:12" ht="18.75" x14ac:dyDescent="0.3">
      <c r="A55" s="229" t="s">
        <v>85</v>
      </c>
      <c r="B55" s="306" t="str">
        <f>B21</f>
        <v>Each tablet contains: Te</v>
      </c>
    </row>
    <row r="56" spans="1:12" ht="26.25" customHeight="1" x14ac:dyDescent="0.4">
      <c r="A56" s="307" t="s">
        <v>86</v>
      </c>
      <c r="B56" s="308">
        <v>300</v>
      </c>
      <c r="C56" s="229" t="str">
        <f>B20</f>
        <v xml:space="preserve">Tenofovir Disproxil Fumarate
Lamivudine </v>
      </c>
      <c r="H56" s="309"/>
    </row>
    <row r="57" spans="1:12" ht="18.75" x14ac:dyDescent="0.3">
      <c r="A57" s="306" t="s">
        <v>87</v>
      </c>
      <c r="B57" s="398">
        <f>Uniformity!C36</f>
        <v>1112.242</v>
      </c>
      <c r="H57" s="309"/>
    </row>
    <row r="58" spans="1:12" ht="19.5" customHeight="1" x14ac:dyDescent="0.3">
      <c r="H58" s="309"/>
    </row>
    <row r="59" spans="1:12" s="3" customFormat="1" ht="27" customHeight="1" x14ac:dyDescent="0.4">
      <c r="A59" s="252" t="s">
        <v>88</v>
      </c>
      <c r="B59" s="253">
        <v>200</v>
      </c>
      <c r="C59" s="229"/>
      <c r="D59" s="310" t="s">
        <v>89</v>
      </c>
      <c r="E59" s="311" t="s">
        <v>61</v>
      </c>
      <c r="F59" s="311" t="s">
        <v>62</v>
      </c>
      <c r="G59" s="311" t="s">
        <v>90</v>
      </c>
      <c r="H59" s="256" t="s">
        <v>91</v>
      </c>
      <c r="L59" s="242"/>
    </row>
    <row r="60" spans="1:12" s="3" customFormat="1" ht="26.25" customHeight="1" x14ac:dyDescent="0.4">
      <c r="A60" s="254" t="s">
        <v>92</v>
      </c>
      <c r="B60" s="255">
        <v>2</v>
      </c>
      <c r="C60" s="485" t="s">
        <v>93</v>
      </c>
      <c r="D60" s="488">
        <v>1114.57</v>
      </c>
      <c r="E60" s="312">
        <v>1</v>
      </c>
      <c r="F60" s="313">
        <v>45984724</v>
      </c>
      <c r="G60" s="399">
        <f>IF(ISBLANK(F60),"-",(F60/$D$50*$D$47*$B$68)*($B$57/$D$60))</f>
        <v>281.52351975821324</v>
      </c>
      <c r="H60" s="314">
        <f t="shared" ref="H60:H71" si="0">IF(ISBLANK(F60),"-",G60/$B$56)</f>
        <v>0.93841173252737742</v>
      </c>
      <c r="L60" s="242"/>
    </row>
    <row r="61" spans="1:12" s="3" customFormat="1" ht="26.25" customHeight="1" x14ac:dyDescent="0.4">
      <c r="A61" s="254" t="s">
        <v>94</v>
      </c>
      <c r="B61" s="255">
        <v>25</v>
      </c>
      <c r="C61" s="486"/>
      <c r="D61" s="489"/>
      <c r="E61" s="315">
        <v>2</v>
      </c>
      <c r="F61" s="267">
        <v>46010487</v>
      </c>
      <c r="G61" s="400">
        <f>IF(ISBLANK(F61),"-",(F61/$D$50*$D$47*$B$68)*($B$57/$D$60))</f>
        <v>281.68124366756035</v>
      </c>
      <c r="H61" s="316">
        <f t="shared" si="0"/>
        <v>0.93893747889186785</v>
      </c>
      <c r="L61" s="242"/>
    </row>
    <row r="62" spans="1:12" s="3" customFormat="1" ht="26.25" customHeight="1" x14ac:dyDescent="0.4">
      <c r="A62" s="254" t="s">
        <v>95</v>
      </c>
      <c r="B62" s="255">
        <v>1</v>
      </c>
      <c r="C62" s="486"/>
      <c r="D62" s="489"/>
      <c r="E62" s="315">
        <v>3</v>
      </c>
      <c r="F62" s="317">
        <v>46036128</v>
      </c>
      <c r="G62" s="400">
        <f>IF(ISBLANK(F62),"-",(F62/$D$50*$D$47*$B$68)*($B$57/$D$60))</f>
        <v>281.8382206795377</v>
      </c>
      <c r="H62" s="316">
        <f t="shared" si="0"/>
        <v>0.939460735598459</v>
      </c>
      <c r="L62" s="242"/>
    </row>
    <row r="63" spans="1:12" ht="27" customHeight="1" x14ac:dyDescent="0.4">
      <c r="A63" s="254" t="s">
        <v>96</v>
      </c>
      <c r="B63" s="255">
        <v>1</v>
      </c>
      <c r="C63" s="487"/>
      <c r="D63" s="490"/>
      <c r="E63" s="318">
        <v>4</v>
      </c>
      <c r="F63" s="319"/>
      <c r="G63" s="400" t="str">
        <f>IF(ISBLANK(F63),"-",(F63/$D$50*$D$47*$B$68)*($B$57/$D$60))</f>
        <v>-</v>
      </c>
      <c r="H63" s="316" t="str">
        <f t="shared" si="0"/>
        <v>-</v>
      </c>
    </row>
    <row r="64" spans="1:12" ht="26.25" customHeight="1" x14ac:dyDescent="0.4">
      <c r="A64" s="254" t="s">
        <v>97</v>
      </c>
      <c r="B64" s="255">
        <v>1</v>
      </c>
      <c r="C64" s="485" t="s">
        <v>98</v>
      </c>
      <c r="D64" s="488">
        <v>1136.8</v>
      </c>
      <c r="E64" s="312">
        <v>1</v>
      </c>
      <c r="F64" s="313">
        <v>49461151</v>
      </c>
      <c r="G64" s="401">
        <f>IF(ISBLANK(F64),"-",(F64/$D$50*$D$47*$B$68)*($B$57/$D$64))</f>
        <v>296.88523705523824</v>
      </c>
      <c r="H64" s="320">
        <f t="shared" si="0"/>
        <v>0.98961745685079416</v>
      </c>
    </row>
    <row r="65" spans="1:8" ht="26.25" customHeight="1" x14ac:dyDescent="0.4">
      <c r="A65" s="254" t="s">
        <v>99</v>
      </c>
      <c r="B65" s="255">
        <v>1</v>
      </c>
      <c r="C65" s="486"/>
      <c r="D65" s="489"/>
      <c r="E65" s="315">
        <v>2</v>
      </c>
      <c r="F65" s="267">
        <v>49535842</v>
      </c>
      <c r="G65" s="402"/>
      <c r="H65" s="321"/>
    </row>
    <row r="66" spans="1:8" ht="26.25" customHeight="1" x14ac:dyDescent="0.4">
      <c r="A66" s="254" t="s">
        <v>100</v>
      </c>
      <c r="B66" s="255">
        <v>1</v>
      </c>
      <c r="C66" s="486"/>
      <c r="D66" s="489"/>
      <c r="E66" s="315">
        <v>3</v>
      </c>
      <c r="F66" s="267">
        <v>49461130</v>
      </c>
      <c r="G66" s="402"/>
      <c r="H66" s="321"/>
    </row>
    <row r="67" spans="1:8" ht="27" customHeight="1" x14ac:dyDescent="0.4">
      <c r="A67" s="254" t="s">
        <v>101</v>
      </c>
      <c r="B67" s="255">
        <v>1</v>
      </c>
      <c r="C67" s="487"/>
      <c r="D67" s="490"/>
      <c r="E67" s="318">
        <v>4</v>
      </c>
      <c r="F67" s="319"/>
      <c r="G67" s="403" t="str">
        <f>IF(ISBLANK(F67),"-",(F67/$D$50*$D$47*$B$68)*($B$57/$D$64))</f>
        <v>-</v>
      </c>
      <c r="H67" s="322" t="str">
        <f t="shared" si="0"/>
        <v>-</v>
      </c>
    </row>
    <row r="68" spans="1:8" ht="26.25" customHeight="1" x14ac:dyDescent="0.4">
      <c r="A68" s="254" t="s">
        <v>102</v>
      </c>
      <c r="B68" s="323">
        <f>(B67/B66)*(B65/B64)*(B63/B62)*(B61/B60)*B59</f>
        <v>2500</v>
      </c>
      <c r="C68" s="485" t="s">
        <v>103</v>
      </c>
      <c r="D68" s="488">
        <v>1136.01</v>
      </c>
      <c r="E68" s="312">
        <v>1</v>
      </c>
      <c r="F68" s="313">
        <v>47580293</v>
      </c>
      <c r="G68" s="401">
        <f>IF(ISBLANK(F68),"-",(F68/$D$50*$D$47*$B$68)*($B$57/$D$68))</f>
        <v>285.79419714348114</v>
      </c>
      <c r="H68" s="316">
        <f t="shared" si="0"/>
        <v>0.95264732381160377</v>
      </c>
    </row>
    <row r="69" spans="1:8" ht="27" customHeight="1" x14ac:dyDescent="0.4">
      <c r="A69" s="302" t="s">
        <v>104</v>
      </c>
      <c r="B69" s="324">
        <f>(D47*B68)/B56*B57</f>
        <v>1112.242</v>
      </c>
      <c r="C69" s="486"/>
      <c r="D69" s="489"/>
      <c r="E69" s="315">
        <v>2</v>
      </c>
      <c r="F69" s="267">
        <v>47652991</v>
      </c>
      <c r="G69" s="402">
        <f>IF(ISBLANK(F69),"-",(F69/$D$50*$D$47*$B$68)*($B$57/$D$68))</f>
        <v>286.23086251971029</v>
      </c>
      <c r="H69" s="316">
        <f t="shared" si="0"/>
        <v>0.95410287506570091</v>
      </c>
    </row>
    <row r="70" spans="1:8" ht="26.25" customHeight="1" x14ac:dyDescent="0.4">
      <c r="A70" s="498" t="s">
        <v>77</v>
      </c>
      <c r="B70" s="499"/>
      <c r="C70" s="486"/>
      <c r="D70" s="489"/>
      <c r="E70" s="315">
        <v>3</v>
      </c>
      <c r="F70" s="267">
        <v>47631997</v>
      </c>
      <c r="G70" s="402">
        <f>IF(ISBLANK(F70),"-",(F70/$D$50*$D$47*$B$68)*($B$57/$D$68))</f>
        <v>286.10476066121964</v>
      </c>
      <c r="H70" s="316">
        <f t="shared" si="0"/>
        <v>0.95368253553739879</v>
      </c>
    </row>
    <row r="71" spans="1:8" ht="27" customHeight="1" x14ac:dyDescent="0.4">
      <c r="A71" s="500"/>
      <c r="B71" s="501"/>
      <c r="C71" s="497"/>
      <c r="D71" s="490"/>
      <c r="E71" s="318">
        <v>4</v>
      </c>
      <c r="F71" s="319"/>
      <c r="G71" s="403" t="str">
        <f>IF(ISBLANK(F71),"-",(F71/$D$50*$D$47*$B$68)*($B$57/$D$68))</f>
        <v>-</v>
      </c>
      <c r="H71" s="325" t="str">
        <f t="shared" si="0"/>
        <v>-</v>
      </c>
    </row>
    <row r="72" spans="1:8" ht="26.25" customHeight="1" x14ac:dyDescent="0.4">
      <c r="A72" s="326"/>
      <c r="B72" s="326"/>
      <c r="C72" s="326"/>
      <c r="D72" s="326"/>
      <c r="E72" s="326"/>
      <c r="F72" s="328" t="s">
        <v>70</v>
      </c>
      <c r="G72" s="408">
        <f>AVERAGE(G60:G71)</f>
        <v>285.72257735499437</v>
      </c>
      <c r="H72" s="329">
        <f>AVERAGE(H60:H71)</f>
        <v>0.95240859118331456</v>
      </c>
    </row>
    <row r="73" spans="1:8" ht="26.25" customHeight="1" x14ac:dyDescent="0.4">
      <c r="C73" s="326"/>
      <c r="D73" s="326"/>
      <c r="E73" s="326"/>
      <c r="F73" s="330" t="s">
        <v>83</v>
      </c>
      <c r="G73" s="404">
        <f>STDEV(G60:G71)/G72</f>
        <v>1.8851169477973384E-2</v>
      </c>
      <c r="H73" s="404">
        <f>STDEV(H60:H71)/H72</f>
        <v>1.8851169477973408E-2</v>
      </c>
    </row>
    <row r="74" spans="1:8" ht="27" customHeight="1" x14ac:dyDescent="0.4">
      <c r="A74" s="326"/>
      <c r="B74" s="326"/>
      <c r="C74" s="327"/>
      <c r="D74" s="327"/>
      <c r="E74" s="331"/>
      <c r="F74" s="332" t="s">
        <v>19</v>
      </c>
      <c r="G74" s="333">
        <f>COUNT(G60:G71)</f>
        <v>7</v>
      </c>
      <c r="H74" s="333">
        <f>COUNT(H60:H71)</f>
        <v>7</v>
      </c>
    </row>
    <row r="76" spans="1:8" ht="26.25" customHeight="1" x14ac:dyDescent="0.4">
      <c r="A76" s="238" t="s">
        <v>105</v>
      </c>
      <c r="B76" s="334" t="s">
        <v>106</v>
      </c>
      <c r="C76" s="493" t="str">
        <f>B20</f>
        <v xml:space="preserve">Tenofovir Disproxil Fumarate
Lamivudine </v>
      </c>
      <c r="D76" s="493"/>
      <c r="E76" s="335" t="s">
        <v>107</v>
      </c>
      <c r="F76" s="335"/>
      <c r="G76" s="336">
        <f>H72</f>
        <v>0.95240859118331456</v>
      </c>
      <c r="H76" s="337"/>
    </row>
    <row r="77" spans="1:8" ht="18.75" x14ac:dyDescent="0.3">
      <c r="A77" s="237" t="s">
        <v>108</v>
      </c>
      <c r="B77" s="237" t="s">
        <v>109</v>
      </c>
    </row>
    <row r="78" spans="1:8" ht="18.75" x14ac:dyDescent="0.3">
      <c r="A78" s="237"/>
      <c r="B78" s="237"/>
    </row>
    <row r="79" spans="1:8" ht="26.25" customHeight="1" x14ac:dyDescent="0.4">
      <c r="A79" s="238" t="s">
        <v>4</v>
      </c>
      <c r="B79" s="479" t="str">
        <f>B26</f>
        <v>Tenofovir DF</v>
      </c>
      <c r="C79" s="479"/>
    </row>
    <row r="80" spans="1:8" ht="26.25" customHeight="1" x14ac:dyDescent="0.4">
      <c r="A80" s="239" t="s">
        <v>47</v>
      </c>
      <c r="B80" s="479" t="s">
        <v>129</v>
      </c>
      <c r="C80" s="479"/>
    </row>
    <row r="81" spans="1:12" ht="27" customHeight="1" x14ac:dyDescent="0.4">
      <c r="A81" s="239" t="s">
        <v>6</v>
      </c>
      <c r="B81" s="338">
        <v>99.8</v>
      </c>
      <c r="C81" s="357"/>
    </row>
    <row r="82" spans="1:12" s="3" customFormat="1" ht="27" customHeight="1" x14ac:dyDescent="0.4">
      <c r="A82" s="239" t="s">
        <v>48</v>
      </c>
      <c r="B82" s="241">
        <v>0</v>
      </c>
      <c r="C82" s="470" t="s">
        <v>49</v>
      </c>
      <c r="D82" s="471"/>
      <c r="E82" s="471"/>
      <c r="F82" s="471"/>
      <c r="G82" s="472"/>
      <c r="I82" s="242"/>
      <c r="J82" s="242"/>
      <c r="K82" s="242"/>
      <c r="L82" s="242"/>
    </row>
    <row r="83" spans="1:12" s="3" customFormat="1" ht="19.5" customHeight="1" x14ac:dyDescent="0.3">
      <c r="A83" s="239" t="s">
        <v>50</v>
      </c>
      <c r="B83" s="243">
        <f>B81-B82</f>
        <v>99.8</v>
      </c>
      <c r="C83" s="244"/>
      <c r="D83" s="244"/>
      <c r="E83" s="244"/>
      <c r="F83" s="244"/>
      <c r="G83" s="245"/>
      <c r="I83" s="242"/>
      <c r="J83" s="242"/>
      <c r="K83" s="242"/>
      <c r="L83" s="242"/>
    </row>
    <row r="84" spans="1:12" s="3" customFormat="1" ht="27" customHeight="1" x14ac:dyDescent="0.4">
      <c r="A84" s="239" t="s">
        <v>51</v>
      </c>
      <c r="B84" s="246">
        <v>1</v>
      </c>
      <c r="C84" s="473" t="s">
        <v>110</v>
      </c>
      <c r="D84" s="474"/>
      <c r="E84" s="474"/>
      <c r="F84" s="474"/>
      <c r="G84" s="474"/>
      <c r="H84" s="475"/>
      <c r="I84" s="242"/>
      <c r="J84" s="242"/>
      <c r="K84" s="242"/>
      <c r="L84" s="242"/>
    </row>
    <row r="85" spans="1:12" s="3" customFormat="1" ht="27" customHeight="1" x14ac:dyDescent="0.4">
      <c r="A85" s="239" t="s">
        <v>53</v>
      </c>
      <c r="B85" s="246">
        <v>1</v>
      </c>
      <c r="C85" s="473" t="s">
        <v>111</v>
      </c>
      <c r="D85" s="474"/>
      <c r="E85" s="474"/>
      <c r="F85" s="474"/>
      <c r="G85" s="474"/>
      <c r="H85" s="475"/>
      <c r="I85" s="242"/>
      <c r="J85" s="242"/>
      <c r="K85" s="242"/>
      <c r="L85" s="242"/>
    </row>
    <row r="86" spans="1:12" s="3" customFormat="1" ht="18.75" x14ac:dyDescent="0.3">
      <c r="A86" s="239"/>
      <c r="B86" s="249"/>
      <c r="C86" s="250"/>
      <c r="D86" s="250"/>
      <c r="E86" s="250"/>
      <c r="F86" s="250"/>
      <c r="G86" s="250"/>
      <c r="H86" s="250"/>
      <c r="I86" s="242"/>
      <c r="J86" s="242"/>
      <c r="K86" s="242"/>
      <c r="L86" s="242"/>
    </row>
    <row r="87" spans="1:12" s="3" customFormat="1" ht="18.75" x14ac:dyDescent="0.3">
      <c r="A87" s="239" t="s">
        <v>55</v>
      </c>
      <c r="B87" s="251">
        <f>B84/B85</f>
        <v>1</v>
      </c>
      <c r="C87" s="229" t="s">
        <v>56</v>
      </c>
      <c r="D87" s="229"/>
      <c r="E87" s="229"/>
      <c r="F87" s="229"/>
      <c r="G87" s="229"/>
      <c r="I87" s="242"/>
      <c r="J87" s="242"/>
      <c r="K87" s="242"/>
      <c r="L87" s="242"/>
    </row>
    <row r="88" spans="1:12" ht="19.5" customHeight="1" x14ac:dyDescent="0.3">
      <c r="A88" s="237"/>
      <c r="B88" s="237"/>
    </row>
    <row r="89" spans="1:12" ht="27" customHeight="1" x14ac:dyDescent="0.4">
      <c r="A89" s="252" t="s">
        <v>57</v>
      </c>
      <c r="B89" s="253">
        <v>50</v>
      </c>
      <c r="D89" s="339" t="s">
        <v>58</v>
      </c>
      <c r="E89" s="340"/>
      <c r="F89" s="476" t="s">
        <v>59</v>
      </c>
      <c r="G89" s="478"/>
    </row>
    <row r="90" spans="1:12" ht="27" customHeight="1" x14ac:dyDescent="0.4">
      <c r="A90" s="254" t="s">
        <v>60</v>
      </c>
      <c r="B90" s="255">
        <v>1</v>
      </c>
      <c r="C90" s="341" t="s">
        <v>61</v>
      </c>
      <c r="D90" s="257" t="s">
        <v>62</v>
      </c>
      <c r="E90" s="258" t="s">
        <v>63</v>
      </c>
      <c r="F90" s="257" t="s">
        <v>62</v>
      </c>
      <c r="G90" s="342" t="s">
        <v>63</v>
      </c>
      <c r="I90" s="260" t="s">
        <v>64</v>
      </c>
    </row>
    <row r="91" spans="1:12" ht="26.25" customHeight="1" x14ac:dyDescent="0.4">
      <c r="A91" s="254" t="s">
        <v>65</v>
      </c>
      <c r="B91" s="255">
        <v>1</v>
      </c>
      <c r="C91" s="343">
        <v>1</v>
      </c>
      <c r="D91" s="262">
        <v>29879516</v>
      </c>
      <c r="E91" s="263">
        <f>IF(ISBLANK(D91),"-",$D$101/$D$98*D91)</f>
        <v>33514247.898782644</v>
      </c>
      <c r="F91" s="262">
        <v>34730372</v>
      </c>
      <c r="G91" s="264">
        <f>IF(ISBLANK(F91),"-",$D$101/$F$98*F91)</f>
        <v>33227217.005621683</v>
      </c>
      <c r="I91" s="265"/>
    </row>
    <row r="92" spans="1:12" ht="26.25" customHeight="1" x14ac:dyDescent="0.4">
      <c r="A92" s="254" t="s">
        <v>66</v>
      </c>
      <c r="B92" s="255">
        <v>1</v>
      </c>
      <c r="C92" s="327">
        <v>2</v>
      </c>
      <c r="D92" s="267">
        <v>29520269</v>
      </c>
      <c r="E92" s="268">
        <f>IF(ISBLANK(D92),"-",$D$101/$D$98*D92)</f>
        <v>33111299.838482939</v>
      </c>
      <c r="F92" s="267">
        <v>34535657</v>
      </c>
      <c r="G92" s="269">
        <f>IF(ISBLANK(F92),"-",$D$101/$F$98*F92)</f>
        <v>33040929.408147931</v>
      </c>
      <c r="I92" s="480">
        <f>ABS((F96/D96*D95)-F95)/D95</f>
        <v>1.0607054739283611E-3</v>
      </c>
    </row>
    <row r="93" spans="1:12" ht="26.25" customHeight="1" x14ac:dyDescent="0.4">
      <c r="A93" s="254" t="s">
        <v>67</v>
      </c>
      <c r="B93" s="255">
        <v>1</v>
      </c>
      <c r="C93" s="327">
        <v>3</v>
      </c>
      <c r="D93" s="267">
        <v>29389189</v>
      </c>
      <c r="E93" s="268">
        <f>IF(ISBLANK(D93),"-",$D$101/$D$98*D93)</f>
        <v>32964274.444411214</v>
      </c>
      <c r="F93" s="267">
        <v>34734925</v>
      </c>
      <c r="G93" s="269">
        <f>IF(ISBLANK(F93),"-",$D$101/$F$98*F93)</f>
        <v>33231572.948570598</v>
      </c>
      <c r="I93" s="480"/>
    </row>
    <row r="94" spans="1:12" ht="27" customHeight="1" x14ac:dyDescent="0.4">
      <c r="A94" s="254" t="s">
        <v>68</v>
      </c>
      <c r="B94" s="255">
        <v>1</v>
      </c>
      <c r="C94" s="344">
        <v>4</v>
      </c>
      <c r="D94" s="272"/>
      <c r="E94" s="273" t="str">
        <f>IF(ISBLANK(D94),"-",$D$101/$D$98*D94)</f>
        <v>-</v>
      </c>
      <c r="F94" s="345"/>
      <c r="G94" s="274" t="str">
        <f>IF(ISBLANK(F94),"-",$D$101/$F$98*F94)</f>
        <v>-</v>
      </c>
      <c r="I94" s="275"/>
    </row>
    <row r="95" spans="1:12" ht="27" customHeight="1" x14ac:dyDescent="0.4">
      <c r="A95" s="254" t="s">
        <v>69</v>
      </c>
      <c r="B95" s="255">
        <v>1</v>
      </c>
      <c r="C95" s="346" t="s">
        <v>70</v>
      </c>
      <c r="D95" s="347">
        <f>AVERAGE(D91:D94)</f>
        <v>29596324.666666668</v>
      </c>
      <c r="E95" s="278">
        <f>AVERAGE(E91:E94)</f>
        <v>33196607.39389227</v>
      </c>
      <c r="F95" s="348">
        <f>AVERAGE(F91:F94)</f>
        <v>34666984.666666664</v>
      </c>
      <c r="G95" s="349">
        <f>AVERAGE(G91:G94)</f>
        <v>33166573.120780069</v>
      </c>
    </row>
    <row r="96" spans="1:12" ht="26.25" customHeight="1" x14ac:dyDescent="0.4">
      <c r="A96" s="254" t="s">
        <v>71</v>
      </c>
      <c r="B96" s="240">
        <v>1</v>
      </c>
      <c r="C96" s="350" t="s">
        <v>112</v>
      </c>
      <c r="D96" s="351">
        <v>13.4</v>
      </c>
      <c r="E96" s="270"/>
      <c r="F96" s="282">
        <v>15.71</v>
      </c>
    </row>
    <row r="97" spans="1:10" ht="26.25" customHeight="1" x14ac:dyDescent="0.4">
      <c r="A97" s="254" t="s">
        <v>73</v>
      </c>
      <c r="B97" s="240">
        <v>1</v>
      </c>
      <c r="C97" s="352" t="s">
        <v>113</v>
      </c>
      <c r="D97" s="353">
        <f>D96*$B$87</f>
        <v>13.4</v>
      </c>
      <c r="E97" s="285"/>
      <c r="F97" s="284">
        <f>F96*$B$87</f>
        <v>15.71</v>
      </c>
    </row>
    <row r="98" spans="1:10" ht="19.5" customHeight="1" x14ac:dyDescent="0.3">
      <c r="A98" s="254" t="s">
        <v>75</v>
      </c>
      <c r="B98" s="354">
        <f>(B97/B96)*(B95/B94)*(B93/B92)*(B91/B90)*B89</f>
        <v>50</v>
      </c>
      <c r="C98" s="352" t="s">
        <v>114</v>
      </c>
      <c r="D98" s="355">
        <f>D97*$B$83/100</f>
        <v>13.373199999999999</v>
      </c>
      <c r="E98" s="288"/>
      <c r="F98" s="287">
        <f>F97*$B$83/100</f>
        <v>15.67858</v>
      </c>
    </row>
    <row r="99" spans="1:10" ht="19.5" customHeight="1" x14ac:dyDescent="0.3">
      <c r="A99" s="481" t="s">
        <v>77</v>
      </c>
      <c r="B99" s="495"/>
      <c r="C99" s="352" t="s">
        <v>115</v>
      </c>
      <c r="D99" s="356">
        <f>D98/$B$98</f>
        <v>0.26746399999999998</v>
      </c>
      <c r="E99" s="288"/>
      <c r="F99" s="291">
        <f>F98/$B$98</f>
        <v>0.31357160000000001</v>
      </c>
      <c r="G99" s="357"/>
      <c r="H99" s="280"/>
    </row>
    <row r="100" spans="1:10" ht="19.5" customHeight="1" x14ac:dyDescent="0.3">
      <c r="A100" s="483"/>
      <c r="B100" s="496"/>
      <c r="C100" s="352" t="s">
        <v>79</v>
      </c>
      <c r="D100" s="358">
        <f>$B$56/$B$116</f>
        <v>0.3</v>
      </c>
      <c r="F100" s="296"/>
      <c r="G100" s="359"/>
      <c r="H100" s="280"/>
    </row>
    <row r="101" spans="1:10" ht="18.75" x14ac:dyDescent="0.3">
      <c r="C101" s="352" t="s">
        <v>80</v>
      </c>
      <c r="D101" s="353">
        <f>D100*$B$98</f>
        <v>15</v>
      </c>
      <c r="F101" s="296"/>
      <c r="G101" s="357"/>
      <c r="H101" s="280"/>
    </row>
    <row r="102" spans="1:10" ht="19.5" customHeight="1" x14ac:dyDescent="0.3">
      <c r="C102" s="360" t="s">
        <v>81</v>
      </c>
      <c r="D102" s="361">
        <f>D101/B34</f>
        <v>15</v>
      </c>
      <c r="F102" s="300"/>
      <c r="G102" s="357"/>
      <c r="H102" s="280"/>
      <c r="J102" s="362"/>
    </row>
    <row r="103" spans="1:10" ht="18.75" x14ac:dyDescent="0.3">
      <c r="C103" s="363" t="s">
        <v>116</v>
      </c>
      <c r="D103" s="364">
        <f>AVERAGE(E91:E94,G91:G94)</f>
        <v>33181590.257336169</v>
      </c>
      <c r="F103" s="300"/>
      <c r="G103" s="365"/>
      <c r="H103" s="280"/>
      <c r="J103" s="366"/>
    </row>
    <row r="104" spans="1:10" ht="18.75" x14ac:dyDescent="0.3">
      <c r="C104" s="330" t="s">
        <v>83</v>
      </c>
      <c r="D104" s="367">
        <f>STDEV(E91:E94,G91:G94)/D103</f>
        <v>5.8312713196419794E-3</v>
      </c>
      <c r="F104" s="300"/>
      <c r="G104" s="357"/>
      <c r="H104" s="280"/>
      <c r="J104" s="366"/>
    </row>
    <row r="105" spans="1:10" ht="19.5" customHeight="1" x14ac:dyDescent="0.3">
      <c r="C105" s="332" t="s">
        <v>19</v>
      </c>
      <c r="D105" s="368">
        <f>COUNT(E91:E94,G91:G94)</f>
        <v>6</v>
      </c>
      <c r="F105" s="300"/>
      <c r="G105" s="357"/>
      <c r="H105" s="280"/>
      <c r="J105" s="366"/>
    </row>
    <row r="106" spans="1:10" ht="19.5" customHeight="1" x14ac:dyDescent="0.3">
      <c r="A106" s="304"/>
      <c r="B106" s="304"/>
      <c r="C106" s="304"/>
      <c r="D106" s="304"/>
      <c r="E106" s="304"/>
    </row>
    <row r="107" spans="1:10" ht="26.25" customHeight="1" x14ac:dyDescent="0.4">
      <c r="A107" s="252" t="s">
        <v>117</v>
      </c>
      <c r="B107" s="253">
        <v>1000</v>
      </c>
      <c r="C107" s="369" t="s">
        <v>118</v>
      </c>
      <c r="D107" s="370" t="s">
        <v>62</v>
      </c>
      <c r="E107" s="371" t="s">
        <v>119</v>
      </c>
      <c r="F107" s="372" t="s">
        <v>120</v>
      </c>
    </row>
    <row r="108" spans="1:10" ht="26.25" customHeight="1" x14ac:dyDescent="0.4">
      <c r="A108" s="254" t="s">
        <v>121</v>
      </c>
      <c r="B108" s="255">
        <v>1</v>
      </c>
      <c r="C108" s="373">
        <v>1</v>
      </c>
      <c r="D108" s="374">
        <v>35157181</v>
      </c>
      <c r="E108" s="405">
        <f t="shared" ref="E108:E113" si="1">IF(ISBLANK(D108),"-",D108/$D$103*$D$100*$B$116)</f>
        <v>317.86162803538667</v>
      </c>
      <c r="F108" s="375">
        <f t="shared" ref="F108:F113" si="2">IF(ISBLANK(D108), "-", E108/$B$56)</f>
        <v>1.0595387601179556</v>
      </c>
    </row>
    <row r="109" spans="1:10" ht="26.25" customHeight="1" x14ac:dyDescent="0.4">
      <c r="A109" s="254" t="s">
        <v>94</v>
      </c>
      <c r="B109" s="255">
        <v>1</v>
      </c>
      <c r="C109" s="373">
        <v>2</v>
      </c>
      <c r="D109" s="374">
        <v>35601805</v>
      </c>
      <c r="E109" s="406">
        <f t="shared" si="1"/>
        <v>321.88154386719373</v>
      </c>
      <c r="F109" s="376">
        <f t="shared" si="2"/>
        <v>1.0729384795573125</v>
      </c>
    </row>
    <row r="110" spans="1:10" ht="26.25" customHeight="1" x14ac:dyDescent="0.4">
      <c r="A110" s="254" t="s">
        <v>95</v>
      </c>
      <c r="B110" s="255">
        <v>1</v>
      </c>
      <c r="C110" s="373">
        <v>3</v>
      </c>
      <c r="D110" s="374">
        <v>34069956</v>
      </c>
      <c r="E110" s="406">
        <f t="shared" si="1"/>
        <v>308.03185503564669</v>
      </c>
      <c r="F110" s="376">
        <f t="shared" si="2"/>
        <v>1.0267728501188222</v>
      </c>
    </row>
    <row r="111" spans="1:10" ht="26.25" customHeight="1" x14ac:dyDescent="0.4">
      <c r="A111" s="254" t="s">
        <v>96</v>
      </c>
      <c r="B111" s="255">
        <v>1</v>
      </c>
      <c r="C111" s="373">
        <v>4</v>
      </c>
      <c r="D111" s="374">
        <v>35269897</v>
      </c>
      <c r="E111" s="406">
        <f t="shared" si="1"/>
        <v>318.88071119980873</v>
      </c>
      <c r="F111" s="376">
        <f t="shared" si="2"/>
        <v>1.0629357039993623</v>
      </c>
    </row>
    <row r="112" spans="1:10" ht="26.25" customHeight="1" x14ac:dyDescent="0.4">
      <c r="A112" s="254" t="s">
        <v>97</v>
      </c>
      <c r="B112" s="255">
        <v>1</v>
      </c>
      <c r="C112" s="373">
        <v>5</v>
      </c>
      <c r="D112" s="374">
        <v>33798331</v>
      </c>
      <c r="E112" s="406">
        <f t="shared" si="1"/>
        <v>305.576050495598</v>
      </c>
      <c r="F112" s="376">
        <f t="shared" si="2"/>
        <v>1.0185868349853267</v>
      </c>
    </row>
    <row r="113" spans="1:10" ht="26.25" customHeight="1" x14ac:dyDescent="0.4">
      <c r="A113" s="254" t="s">
        <v>99</v>
      </c>
      <c r="B113" s="255">
        <v>1</v>
      </c>
      <c r="C113" s="377">
        <v>6</v>
      </c>
      <c r="D113" s="378">
        <v>35033937</v>
      </c>
      <c r="E113" s="407">
        <f t="shared" si="1"/>
        <v>316.74735955960659</v>
      </c>
      <c r="F113" s="379">
        <f t="shared" si="2"/>
        <v>1.0558245318653554</v>
      </c>
    </row>
    <row r="114" spans="1:10" ht="26.25" customHeight="1" x14ac:dyDescent="0.4">
      <c r="A114" s="254" t="s">
        <v>100</v>
      </c>
      <c r="B114" s="255">
        <v>1</v>
      </c>
      <c r="C114" s="373"/>
      <c r="D114" s="327"/>
      <c r="E114" s="228"/>
      <c r="F114" s="380"/>
    </row>
    <row r="115" spans="1:10" ht="26.25" customHeight="1" x14ac:dyDescent="0.4">
      <c r="A115" s="254" t="s">
        <v>101</v>
      </c>
      <c r="B115" s="255">
        <v>1</v>
      </c>
      <c r="C115" s="373"/>
      <c r="D115" s="381" t="s">
        <v>70</v>
      </c>
      <c r="E115" s="409">
        <f>AVERAGE(E108:E113)</f>
        <v>314.82985803220669</v>
      </c>
      <c r="F115" s="382">
        <f>AVERAGE(F108:F113)</f>
        <v>1.0494328601073557</v>
      </c>
    </row>
    <row r="116" spans="1:10" ht="27" customHeight="1" x14ac:dyDescent="0.4">
      <c r="A116" s="254" t="s">
        <v>102</v>
      </c>
      <c r="B116" s="286">
        <f>(B115/B114)*(B113/B112)*(B111/B110)*(B109/B108)*B107</f>
        <v>1000</v>
      </c>
      <c r="C116" s="383"/>
      <c r="D116" s="346" t="s">
        <v>83</v>
      </c>
      <c r="E116" s="384">
        <f>STDEV(E108:E113)/E115</f>
        <v>2.0626512739031325E-2</v>
      </c>
      <c r="F116" s="384">
        <f>STDEV(F108:F113)/F115</f>
        <v>2.0626512739031332E-2</v>
      </c>
      <c r="I116" s="228"/>
    </row>
    <row r="117" spans="1:10" ht="27" customHeight="1" x14ac:dyDescent="0.4">
      <c r="A117" s="481" t="s">
        <v>77</v>
      </c>
      <c r="B117" s="482"/>
      <c r="C117" s="385"/>
      <c r="D117" s="386" t="s">
        <v>19</v>
      </c>
      <c r="E117" s="387">
        <f>COUNT(E108:E113)</f>
        <v>6</v>
      </c>
      <c r="F117" s="387">
        <f>COUNT(F108:F113)</f>
        <v>6</v>
      </c>
      <c r="I117" s="228"/>
      <c r="J117" s="366"/>
    </row>
    <row r="118" spans="1:10" ht="19.5" customHeight="1" x14ac:dyDescent="0.3">
      <c r="A118" s="483"/>
      <c r="B118" s="484"/>
      <c r="C118" s="228"/>
      <c r="D118" s="228"/>
      <c r="E118" s="228"/>
      <c r="F118" s="327"/>
      <c r="G118" s="228"/>
      <c r="H118" s="228"/>
      <c r="I118" s="228"/>
    </row>
    <row r="119" spans="1:10" ht="18.75" x14ac:dyDescent="0.3">
      <c r="A119" s="396"/>
      <c r="B119" s="250"/>
      <c r="C119" s="228"/>
      <c r="D119" s="228"/>
      <c r="E119" s="228"/>
      <c r="F119" s="327"/>
      <c r="G119" s="228"/>
      <c r="H119" s="228"/>
      <c r="I119" s="228"/>
    </row>
    <row r="120" spans="1:10" ht="26.25" customHeight="1" x14ac:dyDescent="0.4">
      <c r="A120" s="238" t="s">
        <v>105</v>
      </c>
      <c r="B120" s="334" t="s">
        <v>122</v>
      </c>
      <c r="C120" s="493" t="str">
        <f>B20</f>
        <v xml:space="preserve">Tenofovir Disproxil Fumarate
Lamivudine </v>
      </c>
      <c r="D120" s="493"/>
      <c r="E120" s="335" t="s">
        <v>123</v>
      </c>
      <c r="F120" s="335"/>
      <c r="G120" s="336">
        <f>F115</f>
        <v>1.0494328601073557</v>
      </c>
      <c r="H120" s="228"/>
      <c r="I120" s="228"/>
    </row>
    <row r="121" spans="1:10" ht="19.5" customHeight="1" x14ac:dyDescent="0.3">
      <c r="A121" s="388"/>
      <c r="B121" s="388"/>
      <c r="C121" s="389"/>
      <c r="D121" s="389"/>
      <c r="E121" s="389"/>
      <c r="F121" s="389"/>
      <c r="G121" s="389"/>
      <c r="H121" s="389"/>
    </row>
    <row r="122" spans="1:10" ht="18.75" x14ac:dyDescent="0.3">
      <c r="B122" s="494" t="s">
        <v>25</v>
      </c>
      <c r="C122" s="494"/>
      <c r="E122" s="341" t="s">
        <v>26</v>
      </c>
      <c r="F122" s="390"/>
      <c r="G122" s="494" t="s">
        <v>27</v>
      </c>
      <c r="H122" s="494"/>
    </row>
    <row r="123" spans="1:10" ht="69.95" customHeight="1" x14ac:dyDescent="0.3">
      <c r="A123" s="391" t="s">
        <v>28</v>
      </c>
      <c r="B123" s="392"/>
      <c r="C123" s="392"/>
      <c r="E123" s="392"/>
      <c r="F123" s="228"/>
      <c r="G123" s="393"/>
      <c r="H123" s="393"/>
    </row>
    <row r="124" spans="1:10" ht="69.95" customHeight="1" x14ac:dyDescent="0.3">
      <c r="A124" s="391" t="s">
        <v>29</v>
      </c>
      <c r="B124" s="394"/>
      <c r="C124" s="394"/>
      <c r="E124" s="394"/>
      <c r="F124" s="228"/>
      <c r="G124" s="395"/>
      <c r="H124" s="395"/>
    </row>
    <row r="125" spans="1:10" ht="18.75" x14ac:dyDescent="0.3">
      <c r="A125" s="326"/>
      <c r="B125" s="326"/>
      <c r="C125" s="327"/>
      <c r="D125" s="327"/>
      <c r="E125" s="327"/>
      <c r="F125" s="331"/>
      <c r="G125" s="327"/>
      <c r="H125" s="327"/>
      <c r="I125" s="228"/>
    </row>
    <row r="126" spans="1:10" ht="18.75" x14ac:dyDescent="0.3">
      <c r="A126" s="326"/>
      <c r="B126" s="326"/>
      <c r="C126" s="327"/>
      <c r="D126" s="327"/>
      <c r="E126" s="327"/>
      <c r="F126" s="331"/>
      <c r="G126" s="327"/>
      <c r="H126" s="327"/>
      <c r="I126" s="228"/>
    </row>
    <row r="127" spans="1:10" ht="18.75" x14ac:dyDescent="0.3">
      <c r="A127" s="326"/>
      <c r="B127" s="326"/>
      <c r="C127" s="327"/>
      <c r="D127" s="327"/>
      <c r="E127" s="327"/>
      <c r="F127" s="331"/>
      <c r="G127" s="327"/>
      <c r="H127" s="327"/>
      <c r="I127" s="228"/>
    </row>
    <row r="128" spans="1:10" ht="18.75" x14ac:dyDescent="0.3">
      <c r="A128" s="326"/>
      <c r="B128" s="326"/>
      <c r="C128" s="327"/>
      <c r="D128" s="327"/>
      <c r="E128" s="327"/>
      <c r="F128" s="331"/>
      <c r="G128" s="327"/>
      <c r="H128" s="327"/>
      <c r="I128" s="228"/>
    </row>
    <row r="129" spans="1:9" ht="18.75" x14ac:dyDescent="0.3">
      <c r="A129" s="326"/>
      <c r="B129" s="326"/>
      <c r="C129" s="327"/>
      <c r="D129" s="327"/>
      <c r="E129" s="327"/>
      <c r="F129" s="331"/>
      <c r="G129" s="327"/>
      <c r="H129" s="327"/>
      <c r="I129" s="228"/>
    </row>
    <row r="130" spans="1:9" ht="18.75" x14ac:dyDescent="0.3">
      <c r="A130" s="326"/>
      <c r="B130" s="326"/>
      <c r="C130" s="327"/>
      <c r="D130" s="327"/>
      <c r="E130" s="327"/>
      <c r="F130" s="331"/>
      <c r="G130" s="327"/>
      <c r="H130" s="327"/>
      <c r="I130" s="228"/>
    </row>
    <row r="131" spans="1:9" ht="18.75" x14ac:dyDescent="0.3">
      <c r="A131" s="326"/>
      <c r="B131" s="326"/>
      <c r="C131" s="327"/>
      <c r="D131" s="327"/>
      <c r="E131" s="327"/>
      <c r="F131" s="331"/>
      <c r="G131" s="327"/>
      <c r="H131" s="327"/>
      <c r="I131" s="228"/>
    </row>
    <row r="132" spans="1:9" ht="18.75" x14ac:dyDescent="0.3">
      <c r="A132" s="326"/>
      <c r="B132" s="326"/>
      <c r="C132" s="327"/>
      <c r="D132" s="327"/>
      <c r="E132" s="327"/>
      <c r="F132" s="331"/>
      <c r="G132" s="327"/>
      <c r="H132" s="327"/>
      <c r="I132" s="228"/>
    </row>
    <row r="133" spans="1:9" ht="18.75" x14ac:dyDescent="0.3">
      <c r="A133" s="326"/>
      <c r="B133" s="326"/>
      <c r="C133" s="327"/>
      <c r="D133" s="327"/>
      <c r="E133" s="327"/>
      <c r="F133" s="331"/>
      <c r="G133" s="327"/>
      <c r="H133" s="327"/>
      <c r="I133" s="228"/>
    </row>
    <row r="250" spans="1:1" x14ac:dyDescent="0.25">
      <c r="A250" s="2">
        <v>5</v>
      </c>
    </row>
  </sheetData>
  <sheetProtection password="AD9C" formatCells="0" formatColumns="0" formatRows="0" insertColumns="0" insertRows="0" insertHyperlinks="0" deleteColumns="0" deleteRows="0" sort="0" autoFilter="0" pivotTables="0"/>
  <mergeCells count="36"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B79:C79"/>
    <mergeCell ref="B80:C80"/>
    <mergeCell ref="I39:I40"/>
    <mergeCell ref="A46:B47"/>
    <mergeCell ref="C60:C63"/>
    <mergeCell ref="D60:D63"/>
    <mergeCell ref="C64:C67"/>
    <mergeCell ref="D64:D67"/>
    <mergeCell ref="B27:C27"/>
    <mergeCell ref="C29:G29"/>
    <mergeCell ref="C31:H31"/>
    <mergeCell ref="C32:H32"/>
    <mergeCell ref="D36:E36"/>
    <mergeCell ref="F36:G36"/>
    <mergeCell ref="B26:C26"/>
    <mergeCell ref="A16:H16"/>
    <mergeCell ref="A17:H17"/>
    <mergeCell ref="B18:C18"/>
    <mergeCell ref="B20:C20"/>
    <mergeCell ref="B21:H21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23" orientation="portrait" r:id="rId1"/>
  <headerFooter>
    <oddHeader>&amp;LVer 3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SST-3TC</vt:lpstr>
      <vt:lpstr>SST-TDF</vt:lpstr>
      <vt:lpstr>Uniformity</vt:lpstr>
      <vt:lpstr>Lamivudine</vt:lpstr>
      <vt:lpstr>Tenofovir DF</vt:lpstr>
      <vt:lpstr>Lamivudine!Print_Area</vt:lpstr>
      <vt:lpstr>'Tenofovir DF'!Print_Area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User</cp:lastModifiedBy>
  <cp:lastPrinted>2016-02-29T07:06:03Z</cp:lastPrinted>
  <dcterms:created xsi:type="dcterms:W3CDTF">2005-07-05T10:19:27Z</dcterms:created>
  <dcterms:modified xsi:type="dcterms:W3CDTF">2016-03-02T09:58:29Z</dcterms:modified>
</cp:coreProperties>
</file>