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/>
  </bookViews>
  <sheets>
    <sheet name="SST" sheetId="1" r:id="rId1"/>
    <sheet name="Uniformity" sheetId="3" r:id="rId2"/>
    <sheet name="Nevirapine USP" sheetId="4" r:id="rId3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C120" i="4" l="1"/>
  <c r="B116" i="4"/>
  <c r="D100" i="4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D45" i="4" s="1"/>
  <c r="D46" i="4" s="1"/>
  <c r="C46" i="3"/>
  <c r="D50" i="3" s="1"/>
  <c r="C45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D24" i="3" l="1"/>
  <c r="D31" i="3"/>
  <c r="D39" i="3"/>
  <c r="D25" i="3"/>
  <c r="D33" i="3"/>
  <c r="D40" i="3"/>
  <c r="D28" i="3"/>
  <c r="D35" i="3"/>
  <c r="D41" i="3"/>
  <c r="D29" i="3"/>
  <c r="D36" i="3"/>
  <c r="C49" i="3"/>
  <c r="D27" i="3"/>
  <c r="D32" i="3"/>
  <c r="D37" i="3"/>
  <c r="D43" i="3"/>
  <c r="D49" i="3"/>
  <c r="I92" i="4"/>
  <c r="D101" i="4"/>
  <c r="G92" i="4" s="1"/>
  <c r="I39" i="4"/>
  <c r="F98" i="4"/>
  <c r="F99" i="4" s="1"/>
  <c r="D49" i="4"/>
  <c r="E40" i="4"/>
  <c r="E38" i="4"/>
  <c r="E41" i="4"/>
  <c r="E39" i="4"/>
  <c r="D102" i="4"/>
  <c r="G94" i="4"/>
  <c r="F44" i="4"/>
  <c r="F45" i="4" s="1"/>
  <c r="F46" i="4" s="1"/>
  <c r="B57" i="4"/>
  <c r="B69" i="4" s="1"/>
  <c r="C50" i="3"/>
  <c r="D97" i="4"/>
  <c r="D98" i="4" s="1"/>
  <c r="D99" i="4" s="1"/>
  <c r="D26" i="3"/>
  <c r="D30" i="3"/>
  <c r="D34" i="3"/>
  <c r="D38" i="3"/>
  <c r="D42" i="3"/>
  <c r="B49" i="3"/>
  <c r="G91" i="4" l="1"/>
  <c r="G93" i="4"/>
  <c r="E91" i="4"/>
  <c r="E92" i="4"/>
  <c r="G40" i="4"/>
  <c r="G41" i="4"/>
  <c r="G39" i="4"/>
  <c r="G38" i="4"/>
  <c r="E94" i="4"/>
  <c r="E93" i="4"/>
  <c r="E42" i="4"/>
  <c r="G95" i="4" l="1"/>
  <c r="D50" i="4"/>
  <c r="G68" i="4" s="1"/>
  <c r="H68" i="4" s="1"/>
  <c r="G42" i="4"/>
  <c r="D51" i="4"/>
  <c r="G65" i="4"/>
  <c r="H65" i="4" s="1"/>
  <c r="D52" i="4"/>
  <c r="E95" i="4"/>
  <c r="D105" i="4"/>
  <c r="D103" i="4"/>
  <c r="G60" i="4" l="1"/>
  <c r="H60" i="4" s="1"/>
  <c r="G69" i="4"/>
  <c r="H69" i="4" s="1"/>
  <c r="G63" i="4"/>
  <c r="H63" i="4" s="1"/>
  <c r="G66" i="4"/>
  <c r="H66" i="4" s="1"/>
  <c r="G67" i="4"/>
  <c r="H67" i="4" s="1"/>
  <c r="G62" i="4"/>
  <c r="H62" i="4" s="1"/>
  <c r="G71" i="4"/>
  <c r="H71" i="4" s="1"/>
  <c r="G61" i="4"/>
  <c r="H61" i="4" s="1"/>
  <c r="G70" i="4"/>
  <c r="H70" i="4" s="1"/>
  <c r="G64" i="4"/>
  <c r="H64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4" l="1"/>
  <c r="G73" i="4" s="1"/>
  <c r="G74" i="4"/>
  <c r="E115" i="4"/>
  <c r="E116" i="4" s="1"/>
  <c r="E117" i="4"/>
  <c r="F108" i="4"/>
  <c r="H74" i="4"/>
  <c r="H72" i="4"/>
  <c r="F117" i="4" l="1"/>
  <c r="F115" i="4"/>
  <c r="G76" i="4"/>
  <c r="H73" i="4"/>
  <c r="G120" i="4" l="1"/>
  <c r="F116" i="4"/>
</calcChain>
</file>

<file path=xl/sharedStrings.xml><?xml version="1.0" encoding="utf-8"?>
<sst xmlns="http://schemas.openxmlformats.org/spreadsheetml/2006/main" count="236" uniqueCount="127">
  <si>
    <t>HPLC System Suitability Report</t>
  </si>
  <si>
    <t>Analysis Data</t>
  </si>
  <si>
    <t>Assay</t>
  </si>
  <si>
    <t>Sample(s)</t>
  </si>
  <si>
    <t>Reference Substance:</t>
  </si>
  <si>
    <t>NEVIRAPINE  TABLETS USP 200MG</t>
  </si>
  <si>
    <t>% age Purity:</t>
  </si>
  <si>
    <t>Weight (mg):</t>
  </si>
  <si>
    <t>Nevirapine USP</t>
  </si>
  <si>
    <t>Standard Conc (mg/mL):</t>
  </si>
  <si>
    <t xml:space="preserve">Nevirapine USP 200mg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</si>
  <si>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</si>
  <si>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</si>
  <si>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</si>
  <si>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</si>
  <si>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</si>
  <si>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</si>
  <si>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</si>
  <si>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</si>
  <si>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</si>
  <si>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</si>
  <si>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</si>
  <si>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</si>
  <si>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</si>
  <si>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</si>
  <si>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</si>
  <si>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</si>
  <si>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</si>
  <si>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</si>
  <si>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</si>
  <si>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</si>
  <si>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</si>
  <si>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</si>
  <si>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</si>
  <si>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</si>
  <si>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</si>
  <si>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</si>
  <si>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</si>
  <si>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</si>
  <si>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</si>
  <si>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</si>
  <si>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</si>
  <si>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</si>
  <si>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</si>
  <si>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</si>
  <si>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</si>
  <si>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</si>
  <si>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</si>
  <si>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</si>
  <si>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</si>
  <si>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</si>
  <si>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</si>
  <si>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</si>
  <si>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</si>
  <si>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</si>
  <si>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</si>
  <si>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</si>
  <si>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</si>
  <si>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</si>
  <si>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</si>
  <si>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</si>
  <si>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</si>
  <si>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</si>
  <si>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</si>
  <si>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</si>
  <si>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</si>
  <si>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</si>
  <si>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</si>
  <si>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</si>
  <si>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</si>
  <si>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</si>
  <si>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</si>
  <si>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</si>
  <si>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</si>
  <si>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</si>
  <si>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</si>
  <si>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</si>
  <si>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</si>
  <si>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</si>
  <si>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</si>
  <si>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</si>
  <si>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</si>
  <si>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</si>
  <si>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</si>
  <si>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</si>
  <si>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</si>
  <si>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</si>
  <si>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</si>
  <si>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</si>
  <si>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</si>
  <si>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</si>
  <si>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</si>
  <si>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</si>
  <si>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</si>
  <si>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</si>
  <si>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</si>
  <si>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</si>
  <si>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</si>
  <si>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</si>
  <si>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</si>
  <si>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</si>
  <si>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</si>
  <si>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</si>
  <si>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</si>
  <si>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</si>
  <si>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</si>
  <si>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</si>
  <si>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</si>
  <si>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</si>
  <si>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</si>
  <si>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</si>
  <si>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</si>
  <si>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</si>
  <si>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</si>
  <si>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</si>
  <si>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</si>
  <si>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</si>
  <si>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</si>
  <si>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</si>
  <si>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</si>
  <si>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</si>
  <si>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</si>
  <si>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</si>
  <si>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r>
      <t>N</t>
    </r>
    <r>
      <rPr>
        <sz val="18"/>
        <color rgb="FF000000"/>
        <rFont val="Book Antiqua"/>
        <family val="1"/>
      </rPr>
      <t>1-2</t>
    </r>
  </si>
  <si>
    <t>NDQB201601700</t>
  </si>
  <si>
    <t>Tablet No.</t>
  </si>
  <si>
    <t>E. Tanui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</si>
</sst>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8"/>
      <color rgb="FF000000"/>
      <name val="Book Antiqua"/>
      <family val="1"/>
    </font>
    <font>
      <sz val="20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6" fillId="2" borderId="0" xfId="0" applyFont="1" applyFill="1" applyAlignment="1">
      <alignment horizontal="left"/>
    </xf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5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5" fontId="1" fillId="2" borderId="11" xfId="0" applyNumberFormat="1" applyFont="1" applyFill="1" applyBorder="1"/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topLeftCell="A19" zoomScale="60" zoomScaleNormal="100" workbookViewId="0">
      <selection activeCell="C61" sqref="C61:E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124</v>
      </c>
      <c r="C19" s="10"/>
      <c r="D19" s="10"/>
      <c r="E19" s="10"/>
    </row>
    <row r="20" spans="1:6" ht="16.5" customHeight="1" x14ac:dyDescent="0.3">
      <c r="A20" s="7" t="s">
        <v>7</v>
      </c>
      <c r="B20" s="12" t="s">
        <v>8</v>
      </c>
      <c r="C20" s="10"/>
      <c r="D20" s="10"/>
      <c r="E20" s="10"/>
    </row>
    <row r="21" spans="1:6" ht="16.5" customHeight="1" x14ac:dyDescent="0.3">
      <c r="A21" s="7" t="s">
        <v>9</v>
      </c>
      <c r="B21" s="13" t="s">
        <v>10</v>
      </c>
      <c r="C21" s="10"/>
      <c r="D21" s="10"/>
      <c r="E21" s="10"/>
    </row>
    <row r="22" spans="1:6" ht="15.75" customHeight="1" x14ac:dyDescent="0.25">
      <c r="A22" s="10"/>
      <c r="B22" s="280">
        <v>42412.703125</v>
      </c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29499660</v>
      </c>
      <c r="C24" s="18">
        <v>9107.86</v>
      </c>
      <c r="D24" s="19">
        <v>1.1299999999999999</v>
      </c>
      <c r="E24" s="20">
        <v>9.4600000000000009</v>
      </c>
    </row>
    <row r="25" spans="1:6" ht="16.5" customHeight="1" x14ac:dyDescent="0.3">
      <c r="A25" s="17">
        <v>2</v>
      </c>
      <c r="B25" s="18">
        <v>29657913</v>
      </c>
      <c r="C25" s="18">
        <v>9047.59</v>
      </c>
      <c r="D25" s="19">
        <v>1.1299999999999999</v>
      </c>
      <c r="E25" s="19">
        <v>9.4600000000000009</v>
      </c>
    </row>
    <row r="26" spans="1:6" ht="16.5" customHeight="1" x14ac:dyDescent="0.3">
      <c r="A26" s="17">
        <v>3</v>
      </c>
      <c r="B26" s="18">
        <v>29636996</v>
      </c>
      <c r="C26" s="18">
        <v>8936.6299999999992</v>
      </c>
      <c r="D26" s="19">
        <v>1.1399999999999999</v>
      </c>
      <c r="E26" s="19">
        <v>9.4600000000000009</v>
      </c>
    </row>
    <row r="27" spans="1:6" ht="16.5" customHeight="1" x14ac:dyDescent="0.3">
      <c r="A27" s="17">
        <v>4</v>
      </c>
      <c r="B27" s="18">
        <v>29616173</v>
      </c>
      <c r="C27" s="18">
        <v>8967.61</v>
      </c>
      <c r="D27" s="19">
        <v>1.1399999999999999</v>
      </c>
      <c r="E27" s="19">
        <v>9.4700000000000006</v>
      </c>
    </row>
    <row r="28" spans="1:6" ht="16.5" customHeight="1" x14ac:dyDescent="0.3">
      <c r="A28" s="17">
        <v>5</v>
      </c>
      <c r="B28" s="18">
        <v>29496134</v>
      </c>
      <c r="C28" s="18">
        <v>8998.3799999999992</v>
      </c>
      <c r="D28" s="19">
        <v>1.1399999999999999</v>
      </c>
      <c r="E28" s="19">
        <v>9.4700000000000006</v>
      </c>
    </row>
    <row r="29" spans="1:6" ht="16.5" customHeight="1" x14ac:dyDescent="0.3">
      <c r="A29" s="17">
        <v>6</v>
      </c>
      <c r="B29" s="21">
        <v>29538739</v>
      </c>
      <c r="C29" s="21">
        <v>8973.6299999999992</v>
      </c>
      <c r="D29" s="22">
        <v>1.1299999999999999</v>
      </c>
      <c r="E29" s="22">
        <v>9.4700000000000006</v>
      </c>
    </row>
    <row r="30" spans="1:6" ht="16.5" customHeight="1" x14ac:dyDescent="0.3">
      <c r="A30" s="23" t="s">
        <v>16</v>
      </c>
      <c r="B30" s="24">
        <f>AVERAGE(B24:B29)</f>
        <v>29574269.166666668</v>
      </c>
      <c r="C30" s="25">
        <f>AVERAGE(C24:C29)</f>
        <v>9005.2833333333328</v>
      </c>
      <c r="D30" s="26">
        <f>AVERAGE(D24:D29)</f>
        <v>1.1349999999999998</v>
      </c>
      <c r="E30" s="26">
        <f>AVERAGE(E24:E29)</f>
        <v>9.4649999999999999</v>
      </c>
    </row>
    <row r="31" spans="1:6" ht="16.5" customHeight="1" x14ac:dyDescent="0.3">
      <c r="A31" s="27" t="s">
        <v>17</v>
      </c>
      <c r="B31" s="28">
        <f>(STDEV(B24:B29)/B30)</f>
        <v>2.4204615515426623E-3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279" t="s">
        <v>122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99.15</v>
      </c>
      <c r="C40" s="10"/>
      <c r="D40" s="10"/>
      <c r="E40" s="10"/>
    </row>
    <row r="41" spans="1:6" ht="16.5" customHeight="1" x14ac:dyDescent="0.3">
      <c r="A41" s="7" t="s">
        <v>7</v>
      </c>
      <c r="B41" s="12">
        <v>20.29</v>
      </c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>
        <v>44712743</v>
      </c>
      <c r="C45" s="18">
        <v>9056.4</v>
      </c>
      <c r="D45" s="19">
        <v>1.1000000000000001</v>
      </c>
      <c r="E45" s="20">
        <v>9.6</v>
      </c>
    </row>
    <row r="46" spans="1:6" ht="16.5" customHeight="1" x14ac:dyDescent="0.3">
      <c r="A46" s="17">
        <v>2</v>
      </c>
      <c r="B46" s="18">
        <v>44739329</v>
      </c>
      <c r="C46" s="18">
        <v>8948</v>
      </c>
      <c r="D46" s="19">
        <v>1.1000000000000001</v>
      </c>
      <c r="E46" s="19">
        <v>9.6</v>
      </c>
    </row>
    <row r="47" spans="1:6" ht="16.5" customHeight="1" x14ac:dyDescent="0.3">
      <c r="A47" s="17">
        <v>3</v>
      </c>
      <c r="B47" s="18">
        <v>44669518</v>
      </c>
      <c r="C47" s="18">
        <v>9048.2999999999993</v>
      </c>
      <c r="D47" s="19">
        <v>1.1000000000000001</v>
      </c>
      <c r="E47" s="19">
        <v>9.6</v>
      </c>
    </row>
    <row r="48" spans="1:6" ht="16.5" customHeight="1" x14ac:dyDescent="0.3">
      <c r="A48" s="17">
        <v>4</v>
      </c>
      <c r="B48" s="18">
        <v>44681714</v>
      </c>
      <c r="C48" s="18">
        <v>9126.5</v>
      </c>
      <c r="D48" s="19">
        <v>1.1000000000000001</v>
      </c>
      <c r="E48" s="19">
        <v>9.5</v>
      </c>
    </row>
    <row r="49" spans="1:7" ht="16.5" customHeight="1" x14ac:dyDescent="0.3">
      <c r="A49" s="17">
        <v>5</v>
      </c>
      <c r="B49" s="18">
        <v>44766724</v>
      </c>
      <c r="C49" s="18">
        <v>9073.5</v>
      </c>
      <c r="D49" s="19">
        <v>1.1000000000000001</v>
      </c>
      <c r="E49" s="19">
        <v>9.5</v>
      </c>
    </row>
    <row r="50" spans="1:7" ht="16.5" customHeight="1" x14ac:dyDescent="0.3">
      <c r="A50" s="17">
        <v>6</v>
      </c>
      <c r="B50" s="21">
        <v>44682323</v>
      </c>
      <c r="C50" s="21">
        <v>9039.2000000000007</v>
      </c>
      <c r="D50" s="22">
        <v>1.1000000000000001</v>
      </c>
      <c r="E50" s="22">
        <v>9.5</v>
      </c>
    </row>
    <row r="51" spans="1:7" ht="16.5" customHeight="1" x14ac:dyDescent="0.3">
      <c r="A51" s="23" t="s">
        <v>16</v>
      </c>
      <c r="B51" s="24">
        <f>AVERAGE(B45:B50)</f>
        <v>44708725.166666664</v>
      </c>
      <c r="C51" s="25">
        <f>AVERAGE(C45:C50)</f>
        <v>9048.65</v>
      </c>
      <c r="D51" s="26">
        <f>AVERAGE(D45:D50)</f>
        <v>1.0999999999999999</v>
      </c>
      <c r="E51" s="26">
        <f>AVERAGE(E45:E50)</f>
        <v>9.5499999999999989</v>
      </c>
    </row>
    <row r="52" spans="1:7" ht="16.5" customHeight="1" x14ac:dyDescent="0.3">
      <c r="A52" s="27" t="s">
        <v>17</v>
      </c>
      <c r="B52" s="28">
        <f>(STDEV(B45:B50)/B51)</f>
        <v>8.5349851353250532E-4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24</v>
      </c>
      <c r="C59" s="282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 t="s">
        <v>126</v>
      </c>
      <c r="E61" s="331">
        <v>42429</v>
      </c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5" workbookViewId="0">
      <selection activeCell="B54" sqref="B54:D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29</v>
      </c>
      <c r="B11" s="287"/>
      <c r="C11" s="287"/>
      <c r="D11" s="287"/>
      <c r="E11" s="287"/>
      <c r="F11" s="288"/>
      <c r="G11" s="89"/>
    </row>
    <row r="12" spans="1:7" ht="16.5" customHeight="1" x14ac:dyDescent="0.3">
      <c r="A12" s="285" t="s">
        <v>30</v>
      </c>
      <c r="B12" s="285"/>
      <c r="C12" s="285"/>
      <c r="D12" s="285"/>
      <c r="E12" s="285"/>
      <c r="F12" s="285"/>
      <c r="G12" s="88"/>
    </row>
    <row r="14" spans="1:7" ht="16.5" customHeight="1" x14ac:dyDescent="0.3">
      <c r="A14" s="290" t="s">
        <v>31</v>
      </c>
      <c r="B14" s="290"/>
      <c r="C14" s="60" t="s">
        <v>5</v>
      </c>
    </row>
    <row r="15" spans="1:7" ht="16.5" customHeight="1" x14ac:dyDescent="0.3">
      <c r="A15" s="290" t="s">
        <v>32</v>
      </c>
      <c r="B15" s="290"/>
      <c r="C15" s="60" t="s">
        <v>124</v>
      </c>
    </row>
    <row r="16" spans="1:7" ht="16.5" customHeight="1" x14ac:dyDescent="0.3">
      <c r="A16" s="290" t="s">
        <v>33</v>
      </c>
      <c r="B16" s="290"/>
      <c r="C16" s="60" t="s">
        <v>8</v>
      </c>
    </row>
    <row r="17" spans="1:5" ht="16.5" customHeight="1" x14ac:dyDescent="0.3">
      <c r="A17" s="290" t="s">
        <v>34</v>
      </c>
      <c r="B17" s="290"/>
      <c r="C17" s="60" t="s">
        <v>10</v>
      </c>
    </row>
    <row r="18" spans="1:5" ht="16.5" customHeight="1" x14ac:dyDescent="0.3">
      <c r="A18" s="290" t="s">
        <v>35</v>
      </c>
      <c r="B18" s="290"/>
      <c r="C18" s="95">
        <v>42409.547314814816</v>
      </c>
    </row>
    <row r="19" spans="1:5" ht="16.5" customHeight="1" x14ac:dyDescent="0.3">
      <c r="A19" s="290" t="s">
        <v>36</v>
      </c>
      <c r="B19" s="290"/>
      <c r="C19" s="95">
        <v>42410</v>
      </c>
    </row>
    <row r="20" spans="1:5" ht="16.5" customHeight="1" x14ac:dyDescent="0.3">
      <c r="A20" s="62"/>
      <c r="B20" s="62"/>
      <c r="C20" s="75"/>
    </row>
    <row r="21" spans="1:5" ht="16.5" customHeight="1" x14ac:dyDescent="0.3">
      <c r="A21" s="285" t="s">
        <v>1</v>
      </c>
      <c r="B21" s="285"/>
      <c r="C21" s="59" t="s">
        <v>37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4" t="s">
        <v>38</v>
      </c>
      <c r="D23" s="83" t="s">
        <v>39</v>
      </c>
      <c r="E23" s="52"/>
    </row>
    <row r="24" spans="1:5" ht="15.75" customHeight="1" x14ac:dyDescent="0.3">
      <c r="C24" s="93">
        <v>363.28</v>
      </c>
      <c r="D24" s="85">
        <f t="shared" ref="D24:D43" si="0">(C24-$C$46)/$C$46</f>
        <v>2.0052240637919846E-3</v>
      </c>
      <c r="E24" s="53"/>
    </row>
    <row r="25" spans="1:5" ht="15.75" customHeight="1" x14ac:dyDescent="0.3">
      <c r="C25" s="93">
        <v>360.94</v>
      </c>
      <c r="D25" s="86">
        <f t="shared" si="0"/>
        <v>-4.4490046972442635E-3</v>
      </c>
      <c r="E25" s="53"/>
    </row>
    <row r="26" spans="1:5" ht="15.75" customHeight="1" x14ac:dyDescent="0.3">
      <c r="C26" s="93">
        <v>362.05</v>
      </c>
      <c r="D26" s="86">
        <f t="shared" si="0"/>
        <v>-1.3873833618808448E-3</v>
      </c>
      <c r="E26" s="53"/>
    </row>
    <row r="27" spans="1:5" ht="15.75" customHeight="1" x14ac:dyDescent="0.3">
      <c r="C27" s="93">
        <v>362.87</v>
      </c>
      <c r="D27" s="86">
        <f t="shared" si="0"/>
        <v>8.7435492190109381E-4</v>
      </c>
      <c r="E27" s="53"/>
    </row>
    <row r="28" spans="1:5" ht="15.75" customHeight="1" x14ac:dyDescent="0.3">
      <c r="C28" s="93">
        <v>361.07</v>
      </c>
      <c r="D28" s="86">
        <f t="shared" si="0"/>
        <v>-4.0904364327422589E-3</v>
      </c>
      <c r="E28" s="53"/>
    </row>
    <row r="29" spans="1:5" ht="15.75" customHeight="1" x14ac:dyDescent="0.3">
      <c r="C29" s="93">
        <v>360.3</v>
      </c>
      <c r="D29" s="86">
        <f t="shared" si="0"/>
        <v>-6.2142638455618517E-3</v>
      </c>
      <c r="E29" s="53"/>
    </row>
    <row r="30" spans="1:5" ht="15.75" customHeight="1" x14ac:dyDescent="0.3">
      <c r="C30" s="93">
        <v>363.21</v>
      </c>
      <c r="D30" s="86">
        <f t="shared" si="0"/>
        <v>1.8121488444447632E-3</v>
      </c>
      <c r="E30" s="53"/>
    </row>
    <row r="31" spans="1:5" ht="15.75" customHeight="1" x14ac:dyDescent="0.3">
      <c r="C31" s="93">
        <v>362.83</v>
      </c>
      <c r="D31" s="86">
        <f t="shared" si="0"/>
        <v>7.6402622513118584E-4</v>
      </c>
      <c r="E31" s="53"/>
    </row>
    <row r="32" spans="1:5" ht="15.75" customHeight="1" x14ac:dyDescent="0.3">
      <c r="C32" s="93">
        <v>358.63</v>
      </c>
      <c r="D32" s="86">
        <f t="shared" si="0"/>
        <v>-1.08204869357032E-2</v>
      </c>
      <c r="E32" s="53"/>
    </row>
    <row r="33" spans="1:7" ht="15.75" customHeight="1" x14ac:dyDescent="0.3">
      <c r="C33" s="93">
        <v>360.47</v>
      </c>
      <c r="D33" s="86">
        <f t="shared" si="0"/>
        <v>-5.7453668842899382E-3</v>
      </c>
      <c r="E33" s="53"/>
    </row>
    <row r="34" spans="1:7" ht="15.75" customHeight="1" x14ac:dyDescent="0.3">
      <c r="C34" s="93">
        <v>364.92</v>
      </c>
      <c r="D34" s="86">
        <f t="shared" si="0"/>
        <v>6.5287006313560188E-3</v>
      </c>
      <c r="E34" s="53"/>
    </row>
    <row r="35" spans="1:7" ht="15.75" customHeight="1" x14ac:dyDescent="0.3">
      <c r="C35" s="93">
        <v>366.94</v>
      </c>
      <c r="D35" s="86">
        <f t="shared" si="0"/>
        <v>1.2100299818233474E-2</v>
      </c>
      <c r="E35" s="53"/>
    </row>
    <row r="36" spans="1:7" ht="15.75" customHeight="1" x14ac:dyDescent="0.3">
      <c r="C36" s="93">
        <v>360.24</v>
      </c>
      <c r="D36" s="86">
        <f t="shared" si="0"/>
        <v>-6.3797568907166353E-3</v>
      </c>
      <c r="E36" s="53"/>
    </row>
    <row r="37" spans="1:7" ht="15.75" customHeight="1" x14ac:dyDescent="0.3">
      <c r="C37" s="93">
        <v>366.68</v>
      </c>
      <c r="D37" s="86">
        <f t="shared" si="0"/>
        <v>1.1383163289229463E-2</v>
      </c>
      <c r="E37" s="53"/>
    </row>
    <row r="38" spans="1:7" ht="15.75" customHeight="1" x14ac:dyDescent="0.3">
      <c r="C38" s="93">
        <v>364.52</v>
      </c>
      <c r="D38" s="86">
        <f t="shared" si="0"/>
        <v>5.425413663657409E-3</v>
      </c>
      <c r="E38" s="53"/>
    </row>
    <row r="39" spans="1:7" ht="15.75" customHeight="1" x14ac:dyDescent="0.3">
      <c r="C39" s="93">
        <v>366.99</v>
      </c>
      <c r="D39" s="86">
        <f t="shared" si="0"/>
        <v>1.223821068919582E-2</v>
      </c>
      <c r="E39" s="53"/>
    </row>
    <row r="40" spans="1:7" ht="15.75" customHeight="1" x14ac:dyDescent="0.3">
      <c r="C40" s="93">
        <v>361.47</v>
      </c>
      <c r="D40" s="86">
        <f t="shared" si="0"/>
        <v>-2.9871494650436487E-3</v>
      </c>
      <c r="E40" s="53"/>
    </row>
    <row r="41" spans="1:7" ht="15.75" customHeight="1" x14ac:dyDescent="0.3">
      <c r="C41" s="93">
        <v>361.28</v>
      </c>
      <c r="D41" s="86">
        <f t="shared" si="0"/>
        <v>-3.5112107747005943E-3</v>
      </c>
      <c r="E41" s="53"/>
    </row>
    <row r="42" spans="1:7" ht="15.75" customHeight="1" x14ac:dyDescent="0.3">
      <c r="C42" s="93">
        <v>362.6</v>
      </c>
      <c r="D42" s="86">
        <f t="shared" si="0"/>
        <v>1.2963621870464584E-4</v>
      </c>
      <c r="E42" s="53"/>
    </row>
    <row r="43" spans="1:7" ht="16.5" customHeight="1" x14ac:dyDescent="0.3">
      <c r="C43" s="94">
        <v>359.77</v>
      </c>
      <c r="D43" s="87">
        <f t="shared" si="0"/>
        <v>-7.6761190777624661E-3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0" t="s">
        <v>40</v>
      </c>
      <c r="C45" s="81">
        <f>SUM(C24:C44)</f>
        <v>7251.0599999999995</v>
      </c>
      <c r="D45" s="76"/>
      <c r="E45" s="54"/>
    </row>
    <row r="46" spans="1:7" ht="17.25" customHeight="1" x14ac:dyDescent="0.3">
      <c r="B46" s="80" t="s">
        <v>41</v>
      </c>
      <c r="C46" s="82">
        <f>AVERAGE(C24:C44)</f>
        <v>362.553</v>
      </c>
      <c r="E46" s="56"/>
    </row>
    <row r="47" spans="1:7" ht="17.25" customHeight="1" x14ac:dyDescent="0.3">
      <c r="A47" s="60"/>
      <c r="B47" s="77"/>
      <c r="D47" s="58"/>
      <c r="E47" s="56"/>
    </row>
    <row r="48" spans="1:7" ht="33.75" customHeight="1" x14ac:dyDescent="0.3">
      <c r="B48" s="90" t="s">
        <v>41</v>
      </c>
      <c r="C48" s="83" t="s">
        <v>42</v>
      </c>
      <c r="D48" s="78"/>
      <c r="G48" s="58"/>
    </row>
    <row r="49" spans="1:6" ht="17.25" customHeight="1" x14ac:dyDescent="0.3">
      <c r="B49" s="283">
        <f>C46</f>
        <v>362.553</v>
      </c>
      <c r="C49" s="91">
        <f>-IF(C46&lt;=80,10%,IF(C46&lt;250,7.5%,5%))</f>
        <v>-0.05</v>
      </c>
      <c r="D49" s="79">
        <f>IF(C46&lt;=80,C46*0.9,IF(C46&lt;250,C46*0.925,C46*0.95))</f>
        <v>344.42534999999998</v>
      </c>
    </row>
    <row r="50" spans="1:6" ht="17.25" customHeight="1" x14ac:dyDescent="0.3">
      <c r="B50" s="284"/>
      <c r="C50" s="92">
        <f>IF(C46&lt;=80, 10%, IF(C46&lt;250, 7.5%, 5%))</f>
        <v>0.05</v>
      </c>
      <c r="D50" s="79">
        <f>IF(C46&lt;=80, C46*1.1, IF(C46&lt;250, C46*1.075, C46*1.05))</f>
        <v>380.68065000000001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1"/>
      <c r="C53" s="72"/>
      <c r="D53" s="71"/>
      <c r="E53" s="61"/>
      <c r="F53" s="73"/>
    </row>
    <row r="54" spans="1:6" ht="34.5" customHeight="1" x14ac:dyDescent="0.3">
      <c r="A54" s="70" t="s">
        <v>28</v>
      </c>
      <c r="B54" s="50" t="s">
        <v>126</v>
      </c>
      <c r="C54" s="225"/>
      <c r="D54" s="331">
        <v>42429</v>
      </c>
      <c r="E54" s="61"/>
      <c r="F54" s="74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9" zoomScale="50" zoomScaleNormal="40" zoomScalePageLayoutView="50" workbookViewId="0">
      <selection activeCell="C124" sqref="C124:E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0" t="s">
        <v>43</v>
      </c>
      <c r="B1" s="320"/>
      <c r="C1" s="320"/>
      <c r="D1" s="320"/>
      <c r="E1" s="320"/>
      <c r="F1" s="320"/>
      <c r="G1" s="320"/>
      <c r="H1" s="320"/>
      <c r="I1" s="320"/>
    </row>
    <row r="2" spans="1:9" ht="18.75" customHeight="1" x14ac:dyDescent="0.25">
      <c r="A2" s="320"/>
      <c r="B2" s="320"/>
      <c r="C2" s="320"/>
      <c r="D2" s="320"/>
      <c r="E2" s="320"/>
      <c r="F2" s="320"/>
      <c r="G2" s="320"/>
      <c r="H2" s="320"/>
      <c r="I2" s="320"/>
    </row>
    <row r="3" spans="1:9" ht="18.75" customHeight="1" x14ac:dyDescent="0.25">
      <c r="A3" s="320"/>
      <c r="B3" s="320"/>
      <c r="C3" s="320"/>
      <c r="D3" s="320"/>
      <c r="E3" s="320"/>
      <c r="F3" s="320"/>
      <c r="G3" s="320"/>
      <c r="H3" s="320"/>
      <c r="I3" s="320"/>
    </row>
    <row r="4" spans="1:9" ht="18.75" customHeight="1" x14ac:dyDescent="0.25">
      <c r="A4" s="320"/>
      <c r="B4" s="320"/>
      <c r="C4" s="320"/>
      <c r="D4" s="320"/>
      <c r="E4" s="320"/>
      <c r="F4" s="320"/>
      <c r="G4" s="320"/>
      <c r="H4" s="320"/>
      <c r="I4" s="320"/>
    </row>
    <row r="5" spans="1:9" ht="18.75" customHeight="1" x14ac:dyDescent="0.25">
      <c r="A5" s="320"/>
      <c r="B5" s="320"/>
      <c r="C5" s="320"/>
      <c r="D5" s="320"/>
      <c r="E5" s="320"/>
      <c r="F5" s="320"/>
      <c r="G5" s="320"/>
      <c r="H5" s="320"/>
      <c r="I5" s="320"/>
    </row>
    <row r="6" spans="1:9" ht="18.75" customHeight="1" x14ac:dyDescent="0.25">
      <c r="A6" s="320"/>
      <c r="B6" s="320"/>
      <c r="C6" s="320"/>
      <c r="D6" s="320"/>
      <c r="E6" s="320"/>
      <c r="F6" s="320"/>
      <c r="G6" s="320"/>
      <c r="H6" s="320"/>
      <c r="I6" s="320"/>
    </row>
    <row r="7" spans="1:9" ht="18.75" customHeight="1" x14ac:dyDescent="0.25">
      <c r="A7" s="320"/>
      <c r="B7" s="320"/>
      <c r="C7" s="320"/>
      <c r="D7" s="320"/>
      <c r="E7" s="320"/>
      <c r="F7" s="320"/>
      <c r="G7" s="320"/>
      <c r="H7" s="320"/>
      <c r="I7" s="320"/>
    </row>
    <row r="8" spans="1:9" x14ac:dyDescent="0.25">
      <c r="A8" s="321" t="s">
        <v>44</v>
      </c>
      <c r="B8" s="321"/>
      <c r="C8" s="321"/>
      <c r="D8" s="321"/>
      <c r="E8" s="321"/>
      <c r="F8" s="321"/>
      <c r="G8" s="321"/>
      <c r="H8" s="321"/>
      <c r="I8" s="321"/>
    </row>
    <row r="9" spans="1:9" x14ac:dyDescent="0.25">
      <c r="A9" s="321"/>
      <c r="B9" s="321"/>
      <c r="C9" s="321"/>
      <c r="D9" s="321"/>
      <c r="E9" s="321"/>
      <c r="F9" s="321"/>
      <c r="G9" s="321"/>
      <c r="H9" s="321"/>
      <c r="I9" s="321"/>
    </row>
    <row r="10" spans="1:9" x14ac:dyDescent="0.25">
      <c r="A10" s="321"/>
      <c r="B10" s="321"/>
      <c r="C10" s="321"/>
      <c r="D10" s="321"/>
      <c r="E10" s="321"/>
      <c r="F10" s="321"/>
      <c r="G10" s="321"/>
      <c r="H10" s="321"/>
      <c r="I10" s="321"/>
    </row>
    <row r="11" spans="1:9" x14ac:dyDescent="0.25">
      <c r="A11" s="321"/>
      <c r="B11" s="321"/>
      <c r="C11" s="321"/>
      <c r="D11" s="321"/>
      <c r="E11" s="321"/>
      <c r="F11" s="321"/>
      <c r="G11" s="321"/>
      <c r="H11" s="321"/>
      <c r="I11" s="321"/>
    </row>
    <row r="12" spans="1:9" x14ac:dyDescent="0.25">
      <c r="A12" s="321"/>
      <c r="B12" s="321"/>
      <c r="C12" s="321"/>
      <c r="D12" s="321"/>
      <c r="E12" s="321"/>
      <c r="F12" s="321"/>
      <c r="G12" s="321"/>
      <c r="H12" s="321"/>
      <c r="I12" s="321"/>
    </row>
    <row r="13" spans="1:9" x14ac:dyDescent="0.25">
      <c r="A13" s="321"/>
      <c r="B13" s="321"/>
      <c r="C13" s="321"/>
      <c r="D13" s="321"/>
      <c r="E13" s="321"/>
      <c r="F13" s="321"/>
      <c r="G13" s="321"/>
      <c r="H13" s="321"/>
      <c r="I13" s="321"/>
    </row>
    <row r="14" spans="1:9" x14ac:dyDescent="0.25">
      <c r="A14" s="321"/>
      <c r="B14" s="321"/>
      <c r="C14" s="321"/>
      <c r="D14" s="321"/>
      <c r="E14" s="321"/>
      <c r="F14" s="321"/>
      <c r="G14" s="321"/>
      <c r="H14" s="321"/>
      <c r="I14" s="321"/>
    </row>
    <row r="15" spans="1:9" ht="19.5" customHeight="1" x14ac:dyDescent="0.3">
      <c r="A15" s="96"/>
    </row>
    <row r="16" spans="1:9" ht="19.5" customHeight="1" x14ac:dyDescent="0.3">
      <c r="A16" s="292" t="s">
        <v>29</v>
      </c>
      <c r="B16" s="293"/>
      <c r="C16" s="293"/>
      <c r="D16" s="293"/>
      <c r="E16" s="293"/>
      <c r="F16" s="293"/>
      <c r="G16" s="293"/>
      <c r="H16" s="294"/>
    </row>
    <row r="17" spans="1:14" ht="20.25" customHeight="1" x14ac:dyDescent="0.25">
      <c r="A17" s="295" t="s">
        <v>45</v>
      </c>
      <c r="B17" s="295"/>
      <c r="C17" s="295"/>
      <c r="D17" s="295"/>
      <c r="E17" s="295"/>
      <c r="F17" s="295"/>
      <c r="G17" s="295"/>
      <c r="H17" s="295"/>
    </row>
    <row r="18" spans="1:14" ht="26.25" customHeight="1" x14ac:dyDescent="0.4">
      <c r="A18" s="98" t="s">
        <v>31</v>
      </c>
      <c r="B18" s="291" t="s">
        <v>5</v>
      </c>
      <c r="C18" s="291"/>
      <c r="D18" s="265"/>
      <c r="E18" s="99"/>
      <c r="F18" s="100"/>
      <c r="G18" s="100"/>
      <c r="H18" s="100"/>
    </row>
    <row r="19" spans="1:14" ht="26.25" customHeight="1" x14ac:dyDescent="0.4">
      <c r="A19" s="98" t="s">
        <v>32</v>
      </c>
      <c r="B19" s="101" t="s">
        <v>124</v>
      </c>
      <c r="C19" s="278">
        <v>29</v>
      </c>
      <c r="D19" s="100"/>
      <c r="E19" s="100"/>
      <c r="F19" s="100"/>
      <c r="G19" s="100"/>
      <c r="H19" s="100"/>
    </row>
    <row r="20" spans="1:14" ht="26.25" customHeight="1" x14ac:dyDescent="0.4">
      <c r="A20" s="98" t="s">
        <v>33</v>
      </c>
      <c r="B20" s="296" t="s">
        <v>8</v>
      </c>
      <c r="C20" s="296"/>
      <c r="D20" s="100"/>
      <c r="E20" s="100"/>
      <c r="F20" s="100"/>
      <c r="G20" s="100"/>
      <c r="H20" s="100"/>
    </row>
    <row r="21" spans="1:14" ht="26.25" customHeight="1" x14ac:dyDescent="0.4">
      <c r="A21" s="98" t="s">
        <v>34</v>
      </c>
      <c r="B21" s="296" t="s">
        <v>10</v>
      </c>
      <c r="C21" s="296"/>
      <c r="D21" s="296"/>
      <c r="E21" s="296"/>
      <c r="F21" s="296"/>
      <c r="G21" s="296"/>
      <c r="H21" s="296"/>
      <c r="I21" s="102"/>
    </row>
    <row r="22" spans="1:14" ht="26.25" customHeight="1" x14ac:dyDescent="0.4">
      <c r="A22" s="98" t="s">
        <v>35</v>
      </c>
      <c r="B22" s="103">
        <v>42410.358206018522</v>
      </c>
      <c r="C22" s="100"/>
      <c r="D22" s="100"/>
      <c r="E22" s="100"/>
      <c r="F22" s="100"/>
      <c r="G22" s="100"/>
      <c r="H22" s="100"/>
    </row>
    <row r="23" spans="1:14" ht="26.25" customHeight="1" x14ac:dyDescent="0.4">
      <c r="A23" s="98" t="s">
        <v>36</v>
      </c>
      <c r="B23" s="103">
        <v>42413.179375</v>
      </c>
      <c r="C23" s="100"/>
      <c r="D23" s="100"/>
      <c r="E23" s="100"/>
      <c r="F23" s="100"/>
      <c r="G23" s="100"/>
      <c r="H23" s="100"/>
    </row>
    <row r="24" spans="1:14" ht="18.75" x14ac:dyDescent="0.3">
      <c r="A24" s="98"/>
      <c r="B24" s="104"/>
    </row>
    <row r="25" spans="1:14" ht="18.75" x14ac:dyDescent="0.3">
      <c r="A25" s="105" t="s">
        <v>1</v>
      </c>
      <c r="B25" s="104"/>
    </row>
    <row r="26" spans="1:14" ht="26.25" customHeight="1" x14ac:dyDescent="0.4">
      <c r="A26" s="106" t="s">
        <v>4</v>
      </c>
      <c r="B26" s="291" t="s">
        <v>122</v>
      </c>
      <c r="C26" s="291"/>
    </row>
    <row r="27" spans="1:14" ht="26.25" customHeight="1" x14ac:dyDescent="0.4">
      <c r="A27" s="107" t="s">
        <v>46</v>
      </c>
      <c r="B27" s="297" t="s">
        <v>123</v>
      </c>
      <c r="C27" s="298"/>
    </row>
    <row r="28" spans="1:14" ht="27" customHeight="1" x14ac:dyDescent="0.4">
      <c r="A28" s="107" t="s">
        <v>6</v>
      </c>
      <c r="B28" s="108">
        <v>99.15</v>
      </c>
    </row>
    <row r="29" spans="1:14" s="14" customFormat="1" ht="27" customHeight="1" x14ac:dyDescent="0.4">
      <c r="A29" s="107" t="s">
        <v>47</v>
      </c>
      <c r="B29" s="109">
        <v>0</v>
      </c>
      <c r="C29" s="299" t="s">
        <v>48</v>
      </c>
      <c r="D29" s="300"/>
      <c r="E29" s="300"/>
      <c r="F29" s="300"/>
      <c r="G29" s="301"/>
      <c r="I29" s="110"/>
      <c r="J29" s="110"/>
      <c r="K29" s="110"/>
      <c r="L29" s="110"/>
    </row>
    <row r="30" spans="1:14" s="14" customFormat="1" ht="19.5" customHeight="1" x14ac:dyDescent="0.3">
      <c r="A30" s="107" t="s">
        <v>49</v>
      </c>
      <c r="B30" s="111">
        <v>99.15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14" customFormat="1" ht="27" customHeight="1" x14ac:dyDescent="0.4">
      <c r="A31" s="107" t="s">
        <v>50</v>
      </c>
      <c r="B31" s="114">
        <v>1</v>
      </c>
      <c r="C31" s="302" t="s">
        <v>51</v>
      </c>
      <c r="D31" s="303"/>
      <c r="E31" s="303"/>
      <c r="F31" s="303"/>
      <c r="G31" s="303"/>
      <c r="H31" s="304"/>
      <c r="I31" s="110"/>
      <c r="J31" s="110"/>
      <c r="K31" s="110"/>
      <c r="L31" s="110"/>
    </row>
    <row r="32" spans="1:14" s="14" customFormat="1" ht="27" customHeight="1" x14ac:dyDescent="0.4">
      <c r="A32" s="107" t="s">
        <v>52</v>
      </c>
      <c r="B32" s="114">
        <v>1</v>
      </c>
      <c r="C32" s="302" t="s">
        <v>53</v>
      </c>
      <c r="D32" s="303"/>
      <c r="E32" s="303"/>
      <c r="F32" s="303"/>
      <c r="G32" s="303"/>
      <c r="H32" s="304"/>
      <c r="I32" s="110"/>
      <c r="J32" s="110"/>
      <c r="K32" s="110"/>
      <c r="L32" s="115"/>
      <c r="M32" s="115"/>
      <c r="N32" s="116"/>
    </row>
    <row r="33" spans="1:14" s="14" customFormat="1" ht="17.25" customHeight="1" x14ac:dyDescent="0.3">
      <c r="A33" s="107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14" customFormat="1" ht="18.75" x14ac:dyDescent="0.3">
      <c r="A34" s="107" t="s">
        <v>54</v>
      </c>
      <c r="B34" s="119">
        <f>B31/B32</f>
        <v>1</v>
      </c>
      <c r="C34" s="97" t="s">
        <v>55</v>
      </c>
      <c r="D34" s="97"/>
      <c r="E34" s="97"/>
      <c r="F34" s="97"/>
      <c r="G34" s="97"/>
      <c r="I34" s="110"/>
      <c r="J34" s="110"/>
      <c r="K34" s="110"/>
      <c r="L34" s="115"/>
      <c r="M34" s="115"/>
      <c r="N34" s="116"/>
    </row>
    <row r="35" spans="1:14" s="14" customFormat="1" ht="19.5" customHeight="1" x14ac:dyDescent="0.3">
      <c r="A35" s="107"/>
      <c r="B35" s="111"/>
      <c r="G35" s="97"/>
      <c r="I35" s="110"/>
      <c r="J35" s="110"/>
      <c r="K35" s="110"/>
      <c r="L35" s="115"/>
      <c r="M35" s="115"/>
      <c r="N35" s="116"/>
    </row>
    <row r="36" spans="1:14" s="14" customFormat="1" ht="27" customHeight="1" x14ac:dyDescent="0.4">
      <c r="A36" s="120" t="s">
        <v>56</v>
      </c>
      <c r="B36" s="121">
        <v>100</v>
      </c>
      <c r="C36" s="97"/>
      <c r="D36" s="305" t="s">
        <v>57</v>
      </c>
      <c r="E36" s="306"/>
      <c r="F36" s="305" t="s">
        <v>58</v>
      </c>
      <c r="G36" s="307"/>
      <c r="J36" s="110"/>
      <c r="K36" s="110"/>
      <c r="L36" s="115"/>
      <c r="M36" s="115"/>
      <c r="N36" s="116"/>
    </row>
    <row r="37" spans="1:14" s="14" customFormat="1" ht="27" customHeight="1" x14ac:dyDescent="0.4">
      <c r="A37" s="122" t="s">
        <v>59</v>
      </c>
      <c r="B37" s="123">
        <v>4</v>
      </c>
      <c r="C37" s="124" t="s">
        <v>60</v>
      </c>
      <c r="D37" s="125" t="s">
        <v>61</v>
      </c>
      <c r="E37" s="126" t="s">
        <v>62</v>
      </c>
      <c r="F37" s="125" t="s">
        <v>61</v>
      </c>
      <c r="G37" s="127" t="s">
        <v>62</v>
      </c>
      <c r="I37" s="128" t="s">
        <v>63</v>
      </c>
      <c r="J37" s="110"/>
      <c r="K37" s="110"/>
      <c r="L37" s="115"/>
      <c r="M37" s="115"/>
      <c r="N37" s="116"/>
    </row>
    <row r="38" spans="1:14" s="14" customFormat="1" ht="26.25" customHeight="1" x14ac:dyDescent="0.4">
      <c r="A38" s="122" t="s">
        <v>64</v>
      </c>
      <c r="B38" s="123">
        <v>50</v>
      </c>
      <c r="C38" s="129">
        <v>1</v>
      </c>
      <c r="D38" s="130">
        <v>29732995</v>
      </c>
      <c r="E38" s="131">
        <f>IF(ISBLANK(D38),"-",$D$48/$D$45*D38)</f>
        <v>29617671.19279306</v>
      </c>
      <c r="F38" s="130">
        <v>30519662</v>
      </c>
      <c r="G38" s="132">
        <f>IF(ISBLANK(F38),"-",$D$48/$F$45*F38)</f>
        <v>30567331.753870156</v>
      </c>
      <c r="I38" s="133"/>
      <c r="J38" s="110"/>
      <c r="K38" s="110"/>
      <c r="L38" s="115"/>
      <c r="M38" s="115"/>
      <c r="N38" s="116"/>
    </row>
    <row r="39" spans="1:14" s="14" customFormat="1" ht="26.25" customHeight="1" x14ac:dyDescent="0.4">
      <c r="A39" s="122" t="s">
        <v>65</v>
      </c>
      <c r="B39" s="123">
        <v>1</v>
      </c>
      <c r="C39" s="134">
        <v>2</v>
      </c>
      <c r="D39" s="135">
        <v>30023303</v>
      </c>
      <c r="E39" s="136">
        <f>IF(ISBLANK(D39),"-",$D$48/$D$45*D39)</f>
        <v>29906853.190389916</v>
      </c>
      <c r="F39" s="135">
        <v>30331778</v>
      </c>
      <c r="G39" s="137">
        <f>IF(ISBLANK(F39),"-",$D$48/$F$45*F39)</f>
        <v>30379154.291116994</v>
      </c>
      <c r="I39" s="309">
        <f>ABS((F43/D43*D42)-F42)/D42</f>
        <v>2.1530190103424104E-2</v>
      </c>
      <c r="J39" s="110"/>
      <c r="K39" s="110"/>
      <c r="L39" s="115"/>
      <c r="M39" s="115"/>
      <c r="N39" s="116"/>
    </row>
    <row r="40" spans="1:14" ht="26.25" customHeight="1" x14ac:dyDescent="0.4">
      <c r="A40" s="122" t="s">
        <v>66</v>
      </c>
      <c r="B40" s="123">
        <v>1</v>
      </c>
      <c r="C40" s="134">
        <v>3</v>
      </c>
      <c r="D40" s="135">
        <v>29504346</v>
      </c>
      <c r="E40" s="136">
        <f>IF(ISBLANK(D40),"-",$D$48/$D$45*D40)</f>
        <v>29389909.041668996</v>
      </c>
      <c r="F40" s="135">
        <v>29846130</v>
      </c>
      <c r="G40" s="137">
        <f>IF(ISBLANK(F40),"-",$D$48/$F$45*F40)</f>
        <v>29892747.740100682</v>
      </c>
      <c r="I40" s="309"/>
      <c r="L40" s="115"/>
      <c r="M40" s="115"/>
      <c r="N40" s="138"/>
    </row>
    <row r="41" spans="1:14" ht="27" customHeight="1" x14ac:dyDescent="0.4">
      <c r="A41" s="122" t="s">
        <v>67</v>
      </c>
      <c r="B41" s="123">
        <v>1</v>
      </c>
      <c r="C41" s="139">
        <v>4</v>
      </c>
      <c r="D41" s="140"/>
      <c r="E41" s="141" t="str">
        <f>IF(ISBLANK(D41),"-",$D$48/$D$45*D41)</f>
        <v>-</v>
      </c>
      <c r="F41" s="140"/>
      <c r="G41" s="142" t="str">
        <f>IF(ISBLANK(F41),"-",$D$48/$F$45*F41)</f>
        <v>-</v>
      </c>
      <c r="I41" s="143"/>
      <c r="L41" s="115"/>
      <c r="M41" s="115"/>
      <c r="N41" s="138"/>
    </row>
    <row r="42" spans="1:14" ht="27" customHeight="1" x14ac:dyDescent="0.4">
      <c r="A42" s="122" t="s">
        <v>68</v>
      </c>
      <c r="B42" s="123">
        <v>1</v>
      </c>
      <c r="C42" s="144" t="s">
        <v>69</v>
      </c>
      <c r="D42" s="145">
        <f>AVERAGE(D38:D41)</f>
        <v>29753548</v>
      </c>
      <c r="E42" s="146">
        <f>AVERAGE(E38:E41)</f>
        <v>29638144.474950656</v>
      </c>
      <c r="F42" s="145">
        <f>AVERAGE(F38:F41)</f>
        <v>30232523.333333332</v>
      </c>
      <c r="G42" s="147">
        <f>AVERAGE(G38:G41)</f>
        <v>30279744.595029276</v>
      </c>
      <c r="H42" s="148"/>
    </row>
    <row r="43" spans="1:14" ht="26.25" customHeight="1" x14ac:dyDescent="0.4">
      <c r="A43" s="122" t="s">
        <v>70</v>
      </c>
      <c r="B43" s="123">
        <v>1</v>
      </c>
      <c r="C43" s="149" t="s">
        <v>71</v>
      </c>
      <c r="D43" s="150">
        <v>20.25</v>
      </c>
      <c r="E43" s="138"/>
      <c r="F43" s="150">
        <v>20.14</v>
      </c>
      <c r="H43" s="148"/>
    </row>
    <row r="44" spans="1:14" ht="26.25" customHeight="1" x14ac:dyDescent="0.4">
      <c r="A44" s="122" t="s">
        <v>72</v>
      </c>
      <c r="B44" s="123">
        <v>1</v>
      </c>
      <c r="C44" s="151" t="s">
        <v>73</v>
      </c>
      <c r="D44" s="152">
        <f>D43*$B$34</f>
        <v>20.25</v>
      </c>
      <c r="E44" s="153"/>
      <c r="F44" s="152">
        <f>F43*$B$34</f>
        <v>20.14</v>
      </c>
      <c r="H44" s="148"/>
    </row>
    <row r="45" spans="1:14" ht="19.5" customHeight="1" x14ac:dyDescent="0.3">
      <c r="A45" s="122" t="s">
        <v>74</v>
      </c>
      <c r="B45" s="154">
        <f>(B44/B43)*(B42/B41)*(B40/B39)*(B38/B37)*B36</f>
        <v>1250</v>
      </c>
      <c r="C45" s="151" t="s">
        <v>75</v>
      </c>
      <c r="D45" s="155">
        <f>D44*$B$30/100</f>
        <v>20.077875000000002</v>
      </c>
      <c r="E45" s="156"/>
      <c r="F45" s="155">
        <f>F44*$B$30/100</f>
        <v>19.968810000000001</v>
      </c>
      <c r="H45" s="148"/>
    </row>
    <row r="46" spans="1:14" ht="19.5" customHeight="1" x14ac:dyDescent="0.3">
      <c r="A46" s="310" t="s">
        <v>76</v>
      </c>
      <c r="B46" s="311"/>
      <c r="C46" s="151" t="s">
        <v>77</v>
      </c>
      <c r="D46" s="157">
        <f>D45/$B$45</f>
        <v>1.6062300000000002E-2</v>
      </c>
      <c r="E46" s="158"/>
      <c r="F46" s="159">
        <f>F45/$B$45</f>
        <v>1.5975048000000002E-2</v>
      </c>
      <c r="H46" s="148"/>
    </row>
    <row r="47" spans="1:14" ht="27" customHeight="1" x14ac:dyDescent="0.4">
      <c r="A47" s="312"/>
      <c r="B47" s="313"/>
      <c r="C47" s="160" t="s">
        <v>78</v>
      </c>
      <c r="D47" s="161">
        <v>1.6E-2</v>
      </c>
      <c r="E47" s="162"/>
      <c r="F47" s="158"/>
      <c r="H47" s="148"/>
    </row>
    <row r="48" spans="1:14" ht="18.75" x14ac:dyDescent="0.3">
      <c r="C48" s="163" t="s">
        <v>79</v>
      </c>
      <c r="D48" s="155">
        <f>D47*$B$45</f>
        <v>20</v>
      </c>
      <c r="F48" s="164"/>
      <c r="H48" s="148"/>
    </row>
    <row r="49" spans="1:12" ht="19.5" customHeight="1" x14ac:dyDescent="0.3">
      <c r="C49" s="165" t="s">
        <v>80</v>
      </c>
      <c r="D49" s="166">
        <f>D48/B34</f>
        <v>20</v>
      </c>
      <c r="F49" s="164"/>
      <c r="H49" s="148"/>
    </row>
    <row r="50" spans="1:12" ht="18.75" x14ac:dyDescent="0.3">
      <c r="C50" s="120" t="s">
        <v>81</v>
      </c>
      <c r="D50" s="167">
        <f>AVERAGE(E38:E41,G38:G41)</f>
        <v>29958944.534989968</v>
      </c>
      <c r="F50" s="168"/>
      <c r="H50" s="148"/>
    </row>
    <row r="51" spans="1:12" ht="18.75" x14ac:dyDescent="0.3">
      <c r="C51" s="122" t="s">
        <v>82</v>
      </c>
      <c r="D51" s="169">
        <f>STDEV(E38:E41,G38:G41)/D50</f>
        <v>1.4883264793791892E-2</v>
      </c>
      <c r="F51" s="168"/>
      <c r="H51" s="148"/>
    </row>
    <row r="52" spans="1:12" ht="19.5" customHeight="1" x14ac:dyDescent="0.3">
      <c r="C52" s="170" t="s">
        <v>18</v>
      </c>
      <c r="D52" s="171">
        <f>COUNT(E38:E41,G38:G41)</f>
        <v>6</v>
      </c>
      <c r="F52" s="168"/>
    </row>
    <row r="54" spans="1:12" ht="18.75" x14ac:dyDescent="0.3">
      <c r="A54" s="172" t="s">
        <v>1</v>
      </c>
      <c r="B54" s="173" t="s">
        <v>83</v>
      </c>
    </row>
    <row r="55" spans="1:12" ht="18.75" x14ac:dyDescent="0.3">
      <c r="A55" s="97" t="s">
        <v>84</v>
      </c>
      <c r="B55" s="174" t="str">
        <f>B21</f>
        <v xml:space="preserve">Nevirapine USP 200mg </v>
      </c>
    </row>
    <row r="56" spans="1:12" ht="26.25" customHeight="1" x14ac:dyDescent="0.4">
      <c r="A56" s="175" t="s">
        <v>85</v>
      </c>
      <c r="B56" s="176">
        <v>200</v>
      </c>
      <c r="C56" s="97" t="str">
        <f>B20</f>
        <v>Nevirapine USP</v>
      </c>
      <c r="H56" s="177"/>
    </row>
    <row r="57" spans="1:12" ht="18.75" x14ac:dyDescent="0.3">
      <c r="A57" s="174" t="s">
        <v>86</v>
      </c>
      <c r="B57" s="266">
        <f>Uniformity!C46</f>
        <v>362.553</v>
      </c>
      <c r="H57" s="177"/>
    </row>
    <row r="58" spans="1:12" ht="19.5" customHeight="1" x14ac:dyDescent="0.3">
      <c r="H58" s="177"/>
    </row>
    <row r="59" spans="1:12" s="14" customFormat="1" ht="27" customHeight="1" x14ac:dyDescent="0.4">
      <c r="A59" s="120" t="s">
        <v>87</v>
      </c>
      <c r="B59" s="121">
        <v>100</v>
      </c>
      <c r="C59" s="97"/>
      <c r="D59" s="178" t="s">
        <v>88</v>
      </c>
      <c r="E59" s="179" t="s">
        <v>60</v>
      </c>
      <c r="F59" s="179" t="s">
        <v>61</v>
      </c>
      <c r="G59" s="179" t="s">
        <v>89</v>
      </c>
      <c r="H59" s="124" t="s">
        <v>90</v>
      </c>
      <c r="L59" s="110"/>
    </row>
    <row r="60" spans="1:12" s="14" customFormat="1" ht="26.25" customHeight="1" x14ac:dyDescent="0.4">
      <c r="A60" s="122" t="s">
        <v>91</v>
      </c>
      <c r="B60" s="123">
        <v>4</v>
      </c>
      <c r="C60" s="314" t="s">
        <v>92</v>
      </c>
      <c r="D60" s="317">
        <v>362.18</v>
      </c>
      <c r="E60" s="180">
        <v>1</v>
      </c>
      <c r="F60" s="181">
        <v>34972060</v>
      </c>
      <c r="G60" s="267">
        <f>IF(ISBLANK(F60),"-",(F60/$D$50*$D$47*$B$68)*($B$57/$D$60))</f>
        <v>194.755842155332</v>
      </c>
      <c r="H60" s="182">
        <f t="shared" ref="H60:H71" si="0">IF(ISBLANK(F60),"-",G60/$B$56)</f>
        <v>0.97377921077666008</v>
      </c>
      <c r="L60" s="110"/>
    </row>
    <row r="61" spans="1:12" s="14" customFormat="1" ht="26.25" customHeight="1" x14ac:dyDescent="0.4">
      <c r="A61" s="122" t="s">
        <v>93</v>
      </c>
      <c r="B61" s="123">
        <v>50</v>
      </c>
      <c r="C61" s="315"/>
      <c r="D61" s="318"/>
      <c r="E61" s="183">
        <v>2</v>
      </c>
      <c r="F61" s="135">
        <v>34951785</v>
      </c>
      <c r="G61" s="268">
        <f>IF(ISBLANK(F61),"-",(F61/$D$50*$D$47*$B$68)*($B$57/$D$60))</f>
        <v>194.64293274422786</v>
      </c>
      <c r="H61" s="184">
        <f t="shared" si="0"/>
        <v>0.97321466372113929</v>
      </c>
      <c r="L61" s="110"/>
    </row>
    <row r="62" spans="1:12" s="14" customFormat="1" ht="26.25" customHeight="1" x14ac:dyDescent="0.4">
      <c r="A62" s="122" t="s">
        <v>94</v>
      </c>
      <c r="B62" s="123">
        <v>3</v>
      </c>
      <c r="C62" s="315"/>
      <c r="D62" s="318"/>
      <c r="E62" s="183">
        <v>3</v>
      </c>
      <c r="F62" s="185">
        <v>35034024</v>
      </c>
      <c r="G62" s="268">
        <f>IF(ISBLANK(F62),"-",(F62/$D$50*$D$47*$B$68)*($B$57/$D$60))</f>
        <v>195.10091336369987</v>
      </c>
      <c r="H62" s="184">
        <f t="shared" si="0"/>
        <v>0.9755045668184994</v>
      </c>
      <c r="L62" s="110"/>
    </row>
    <row r="63" spans="1:12" ht="27" customHeight="1" x14ac:dyDescent="0.4">
      <c r="A63" s="122" t="s">
        <v>95</v>
      </c>
      <c r="B63" s="123">
        <v>25</v>
      </c>
      <c r="C63" s="316"/>
      <c r="D63" s="319"/>
      <c r="E63" s="186">
        <v>4</v>
      </c>
      <c r="F63" s="187"/>
      <c r="G63" s="268" t="str">
        <f>IF(ISBLANK(F63),"-",(F63/$D$50*$D$47*$B$68)*($B$57/$D$60))</f>
        <v>-</v>
      </c>
      <c r="H63" s="184" t="str">
        <f t="shared" si="0"/>
        <v>-</v>
      </c>
    </row>
    <row r="64" spans="1:12" ht="26.25" customHeight="1" x14ac:dyDescent="0.4">
      <c r="A64" s="122" t="s">
        <v>96</v>
      </c>
      <c r="B64" s="123">
        <v>1</v>
      </c>
      <c r="C64" s="314" t="s">
        <v>97</v>
      </c>
      <c r="D64" s="317">
        <v>361.3</v>
      </c>
      <c r="E64" s="180">
        <v>1</v>
      </c>
      <c r="F64" s="181">
        <v>35228765</v>
      </c>
      <c r="G64" s="269">
        <f>IF(ISBLANK(F64),"-",(F64/$D$50*$D$47*$B$68)*($B$57/$D$64))</f>
        <v>196.66324496621954</v>
      </c>
      <c r="H64" s="188">
        <f t="shared" si="0"/>
        <v>0.98331622483109771</v>
      </c>
    </row>
    <row r="65" spans="1:8" ht="26.25" customHeight="1" x14ac:dyDescent="0.4">
      <c r="A65" s="122" t="s">
        <v>98</v>
      </c>
      <c r="B65" s="123">
        <v>1</v>
      </c>
      <c r="C65" s="315"/>
      <c r="D65" s="318"/>
      <c r="E65" s="183">
        <v>2</v>
      </c>
      <c r="F65" s="135">
        <v>35162996</v>
      </c>
      <c r="G65" s="270">
        <f>IF(ISBLANK(F65),"-",(F65/$D$50*$D$47*$B$68)*($B$57/$D$64))</f>
        <v>196.29609201725341</v>
      </c>
      <c r="H65" s="189">
        <f t="shared" si="0"/>
        <v>0.9814804600862671</v>
      </c>
    </row>
    <row r="66" spans="1:8" ht="26.25" customHeight="1" x14ac:dyDescent="0.4">
      <c r="A66" s="122" t="s">
        <v>99</v>
      </c>
      <c r="B66" s="123">
        <v>1</v>
      </c>
      <c r="C66" s="315"/>
      <c r="D66" s="318"/>
      <c r="E66" s="183">
        <v>3</v>
      </c>
      <c r="F66" s="135">
        <v>35220645</v>
      </c>
      <c r="G66" s="270">
        <f>IF(ISBLANK(F66),"-",(F66/$D$50*$D$47*$B$68)*($B$57/$D$64))</f>
        <v>196.61791537407728</v>
      </c>
      <c r="H66" s="189">
        <f t="shared" si="0"/>
        <v>0.98308957687038645</v>
      </c>
    </row>
    <row r="67" spans="1:8" ht="27" customHeight="1" x14ac:dyDescent="0.4">
      <c r="A67" s="122" t="s">
        <v>100</v>
      </c>
      <c r="B67" s="123">
        <v>1</v>
      </c>
      <c r="C67" s="316"/>
      <c r="D67" s="319"/>
      <c r="E67" s="186">
        <v>4</v>
      </c>
      <c r="F67" s="187"/>
      <c r="G67" s="271" t="str">
        <f>IF(ISBLANK(F67),"-",(F67/$D$50*$D$47*$B$68)*($B$57/$D$64))</f>
        <v>-</v>
      </c>
      <c r="H67" s="190" t="str">
        <f t="shared" si="0"/>
        <v>-</v>
      </c>
    </row>
    <row r="68" spans="1:8" ht="26.25" customHeight="1" x14ac:dyDescent="0.4">
      <c r="A68" s="122" t="s">
        <v>101</v>
      </c>
      <c r="B68" s="191">
        <f>(B67/B66)*(B65/B64)*(B63/B62)*(B61/B60)*B59</f>
        <v>10416.666666666668</v>
      </c>
      <c r="C68" s="314" t="s">
        <v>102</v>
      </c>
      <c r="D68" s="317">
        <v>362.68</v>
      </c>
      <c r="E68" s="180">
        <v>1</v>
      </c>
      <c r="F68" s="181">
        <v>35524758</v>
      </c>
      <c r="G68" s="269">
        <f>IF(ISBLANK(F68),"-",(F68/$D$50*$D$47*$B$68)*($B$57/$D$68))</f>
        <v>197.56102233108268</v>
      </c>
      <c r="H68" s="184">
        <f t="shared" si="0"/>
        <v>0.9878051116554134</v>
      </c>
    </row>
    <row r="69" spans="1:8" ht="27" customHeight="1" x14ac:dyDescent="0.4">
      <c r="A69" s="170" t="s">
        <v>103</v>
      </c>
      <c r="B69" s="192">
        <f>(D47*B68)/B56*B57</f>
        <v>302.12750000000005</v>
      </c>
      <c r="C69" s="315"/>
      <c r="D69" s="318"/>
      <c r="E69" s="183">
        <v>2</v>
      </c>
      <c r="F69" s="135">
        <v>35456336</v>
      </c>
      <c r="G69" s="270">
        <f>IF(ISBLANK(F69),"-",(F69/$D$50*$D$47*$B$68)*($B$57/$D$68))</f>
        <v>197.18051248299486</v>
      </c>
      <c r="H69" s="184">
        <f t="shared" si="0"/>
        <v>0.98590256241497431</v>
      </c>
    </row>
    <row r="70" spans="1:8" ht="26.25" customHeight="1" x14ac:dyDescent="0.4">
      <c r="A70" s="327" t="s">
        <v>76</v>
      </c>
      <c r="B70" s="328"/>
      <c r="C70" s="315"/>
      <c r="D70" s="318"/>
      <c r="E70" s="183">
        <v>3</v>
      </c>
      <c r="F70" s="135">
        <v>35505621</v>
      </c>
      <c r="G70" s="270">
        <f>IF(ISBLANK(F70),"-",(F70/$D$50*$D$47*$B$68)*($B$57/$D$68))</f>
        <v>197.45459724904975</v>
      </c>
      <c r="H70" s="184">
        <f t="shared" si="0"/>
        <v>0.98727298624524873</v>
      </c>
    </row>
    <row r="71" spans="1:8" ht="27" customHeight="1" x14ac:dyDescent="0.4">
      <c r="A71" s="329"/>
      <c r="B71" s="330"/>
      <c r="C71" s="326"/>
      <c r="D71" s="319"/>
      <c r="E71" s="186">
        <v>4</v>
      </c>
      <c r="F71" s="187"/>
      <c r="G71" s="271" t="str">
        <f>IF(ISBLANK(F71),"-",(F71/$D$50*$D$47*$B$68)*($B$57/$D$68))</f>
        <v>-</v>
      </c>
      <c r="H71" s="193" t="str">
        <f t="shared" si="0"/>
        <v>-</v>
      </c>
    </row>
    <row r="72" spans="1:8" ht="26.25" customHeight="1" x14ac:dyDescent="0.4">
      <c r="A72" s="194"/>
      <c r="B72" s="194"/>
      <c r="C72" s="194"/>
      <c r="D72" s="194"/>
      <c r="E72" s="194"/>
      <c r="F72" s="196" t="s">
        <v>69</v>
      </c>
      <c r="G72" s="276">
        <f>AVERAGE(G60:G71)</f>
        <v>196.25256363154858</v>
      </c>
      <c r="H72" s="197">
        <f>AVERAGE(H60:H71)</f>
        <v>0.98126281815774297</v>
      </c>
    </row>
    <row r="73" spans="1:8" ht="26.25" customHeight="1" x14ac:dyDescent="0.4">
      <c r="C73" s="194"/>
      <c r="D73" s="194"/>
      <c r="E73" s="194"/>
      <c r="F73" s="198" t="s">
        <v>82</v>
      </c>
      <c r="G73" s="272">
        <f>STDEV(G60:G71)/G72</f>
        <v>5.8318869693937065E-3</v>
      </c>
      <c r="H73" s="272">
        <f>STDEV(H60:H71)/H72</f>
        <v>5.8318869693936961E-3</v>
      </c>
    </row>
    <row r="74" spans="1:8" ht="27" customHeight="1" x14ac:dyDescent="0.4">
      <c r="A74" s="194"/>
      <c r="B74" s="194"/>
      <c r="C74" s="195"/>
      <c r="D74" s="195"/>
      <c r="E74" s="199"/>
      <c r="F74" s="200" t="s">
        <v>18</v>
      </c>
      <c r="G74" s="201">
        <f>COUNT(G60:G71)</f>
        <v>9</v>
      </c>
      <c r="H74" s="201">
        <f>COUNT(H60:H71)</f>
        <v>9</v>
      </c>
    </row>
    <row r="76" spans="1:8" ht="26.25" customHeight="1" x14ac:dyDescent="0.4">
      <c r="A76" s="106" t="s">
        <v>104</v>
      </c>
      <c r="B76" s="202" t="s">
        <v>105</v>
      </c>
      <c r="C76" s="322" t="str">
        <f>B20</f>
        <v>Nevirapine USP</v>
      </c>
      <c r="D76" s="322"/>
      <c r="E76" s="203" t="s">
        <v>106</v>
      </c>
      <c r="F76" s="203"/>
      <c r="G76" s="204">
        <f>H72</f>
        <v>0.98126281815774297</v>
      </c>
      <c r="H76" s="205"/>
    </row>
    <row r="77" spans="1:8" ht="18.75" x14ac:dyDescent="0.3">
      <c r="A77" s="105" t="s">
        <v>107</v>
      </c>
      <c r="B77" s="105" t="s">
        <v>108</v>
      </c>
    </row>
    <row r="78" spans="1:8" ht="18.75" x14ac:dyDescent="0.3">
      <c r="A78" s="105"/>
      <c r="B78" s="105"/>
    </row>
    <row r="79" spans="1:8" ht="26.25" customHeight="1" x14ac:dyDescent="0.4">
      <c r="A79" s="106" t="s">
        <v>4</v>
      </c>
      <c r="B79" s="308" t="str">
        <f>B26</f>
        <v>Nevirapine</v>
      </c>
      <c r="C79" s="308"/>
    </row>
    <row r="80" spans="1:8" ht="26.25" customHeight="1" x14ac:dyDescent="0.4">
      <c r="A80" s="107" t="s">
        <v>46</v>
      </c>
      <c r="B80" s="308" t="str">
        <f>B27</f>
        <v>N1-2</v>
      </c>
      <c r="C80" s="308"/>
    </row>
    <row r="81" spans="1:12" ht="27" customHeight="1" x14ac:dyDescent="0.4">
      <c r="A81" s="107" t="s">
        <v>6</v>
      </c>
      <c r="B81" s="206">
        <f>B28</f>
        <v>99.15</v>
      </c>
    </row>
    <row r="82" spans="1:12" s="14" customFormat="1" ht="27" customHeight="1" x14ac:dyDescent="0.4">
      <c r="A82" s="107" t="s">
        <v>47</v>
      </c>
      <c r="B82" s="109">
        <v>0</v>
      </c>
      <c r="C82" s="299" t="s">
        <v>48</v>
      </c>
      <c r="D82" s="300"/>
      <c r="E82" s="300"/>
      <c r="F82" s="300"/>
      <c r="G82" s="301"/>
      <c r="I82" s="110"/>
      <c r="J82" s="110"/>
      <c r="K82" s="110"/>
      <c r="L82" s="110"/>
    </row>
    <row r="83" spans="1:12" s="14" customFormat="1" ht="19.5" customHeight="1" x14ac:dyDescent="0.3">
      <c r="A83" s="107" t="s">
        <v>49</v>
      </c>
      <c r="B83" s="111">
        <f>B81-B82</f>
        <v>99.15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4" customFormat="1" ht="27" customHeight="1" x14ac:dyDescent="0.4">
      <c r="A84" s="107" t="s">
        <v>50</v>
      </c>
      <c r="B84" s="114">
        <v>1</v>
      </c>
      <c r="C84" s="302" t="s">
        <v>109</v>
      </c>
      <c r="D84" s="303"/>
      <c r="E84" s="303"/>
      <c r="F84" s="303"/>
      <c r="G84" s="303"/>
      <c r="H84" s="304"/>
      <c r="I84" s="110"/>
      <c r="J84" s="110"/>
      <c r="K84" s="110"/>
      <c r="L84" s="110"/>
    </row>
    <row r="85" spans="1:12" s="14" customFormat="1" ht="27" customHeight="1" x14ac:dyDescent="0.4">
      <c r="A85" s="107" t="s">
        <v>52</v>
      </c>
      <c r="B85" s="114">
        <v>1</v>
      </c>
      <c r="C85" s="302" t="s">
        <v>110</v>
      </c>
      <c r="D85" s="303"/>
      <c r="E85" s="303"/>
      <c r="F85" s="303"/>
      <c r="G85" s="303"/>
      <c r="H85" s="304"/>
      <c r="I85" s="110"/>
      <c r="J85" s="110"/>
      <c r="K85" s="110"/>
      <c r="L85" s="110"/>
    </row>
    <row r="86" spans="1:12" s="14" customFormat="1" ht="18.75" x14ac:dyDescent="0.3">
      <c r="A86" s="107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14" customFormat="1" ht="18.75" x14ac:dyDescent="0.3">
      <c r="A87" s="107" t="s">
        <v>54</v>
      </c>
      <c r="B87" s="119">
        <f>B84/B85</f>
        <v>1</v>
      </c>
      <c r="C87" s="97" t="s">
        <v>55</v>
      </c>
      <c r="D87" s="97"/>
      <c r="E87" s="97"/>
      <c r="F87" s="97"/>
      <c r="G87" s="97"/>
      <c r="I87" s="110"/>
      <c r="J87" s="110"/>
      <c r="K87" s="110"/>
      <c r="L87" s="110"/>
    </row>
    <row r="88" spans="1:12" ht="19.5" customHeight="1" x14ac:dyDescent="0.3">
      <c r="A88" s="105"/>
      <c r="B88" s="105"/>
    </row>
    <row r="89" spans="1:12" ht="27" customHeight="1" x14ac:dyDescent="0.4">
      <c r="A89" s="120" t="s">
        <v>56</v>
      </c>
      <c r="B89" s="121">
        <v>100</v>
      </c>
      <c r="D89" s="207" t="s">
        <v>57</v>
      </c>
      <c r="E89" s="208"/>
      <c r="F89" s="305" t="s">
        <v>58</v>
      </c>
      <c r="G89" s="307"/>
    </row>
    <row r="90" spans="1:12" ht="27" customHeight="1" x14ac:dyDescent="0.4">
      <c r="A90" s="122" t="s">
        <v>59</v>
      </c>
      <c r="B90" s="123">
        <v>3</v>
      </c>
      <c r="C90" s="209" t="s">
        <v>60</v>
      </c>
      <c r="D90" s="125" t="s">
        <v>61</v>
      </c>
      <c r="E90" s="126" t="s">
        <v>62</v>
      </c>
      <c r="F90" s="125" t="s">
        <v>61</v>
      </c>
      <c r="G90" s="210" t="s">
        <v>62</v>
      </c>
      <c r="I90" s="128" t="s">
        <v>63</v>
      </c>
    </row>
    <row r="91" spans="1:12" ht="26.25" customHeight="1" x14ac:dyDescent="0.4">
      <c r="A91" s="122" t="s">
        <v>64</v>
      </c>
      <c r="B91" s="123">
        <v>25</v>
      </c>
      <c r="C91" s="211">
        <v>1</v>
      </c>
      <c r="D91" s="130">
        <v>44764212</v>
      </c>
      <c r="E91" s="131">
        <f>IF(ISBLANK(D91),"-",$D$101/$D$98*D91)</f>
        <v>32964948.792737834</v>
      </c>
      <c r="F91" s="130">
        <v>44790829</v>
      </c>
      <c r="G91" s="132">
        <f>IF(ISBLANK(F91),"-",$D$101/$F$98*F91)</f>
        <v>33412706.811544504</v>
      </c>
      <c r="I91" s="133"/>
    </row>
    <row r="92" spans="1:12" ht="26.25" customHeight="1" x14ac:dyDescent="0.4">
      <c r="A92" s="122" t="s">
        <v>65</v>
      </c>
      <c r="B92" s="123">
        <v>1</v>
      </c>
      <c r="C92" s="195">
        <v>2</v>
      </c>
      <c r="D92" s="135">
        <v>44875282</v>
      </c>
      <c r="E92" s="136">
        <f>IF(ISBLANK(D92),"-",$D$101/$D$98*D92)</f>
        <v>33046742.187479362</v>
      </c>
      <c r="F92" s="135">
        <v>44815395</v>
      </c>
      <c r="G92" s="137">
        <f>IF(ISBLANK(F92),"-",$D$101/$F$98*F92)</f>
        <v>33431032.361079041</v>
      </c>
      <c r="I92" s="309">
        <f>ABS((F96/D96*D95)-F95)/D95</f>
        <v>1.2373423780995929E-2</v>
      </c>
    </row>
    <row r="93" spans="1:12" ht="26.25" customHeight="1" x14ac:dyDescent="0.4">
      <c r="A93" s="122" t="s">
        <v>66</v>
      </c>
      <c r="B93" s="123">
        <v>1</v>
      </c>
      <c r="C93" s="195">
        <v>3</v>
      </c>
      <c r="D93" s="135">
        <v>44822801</v>
      </c>
      <c r="E93" s="136">
        <f>IF(ISBLANK(D93),"-",$D$101/$D$98*D93)</f>
        <v>33008094.495488454</v>
      </c>
      <c r="F93" s="135">
        <v>44796804</v>
      </c>
      <c r="G93" s="137">
        <f>IF(ISBLANK(F93),"-",$D$101/$F$98*F93)</f>
        <v>33417163.994580768</v>
      </c>
      <c r="I93" s="309"/>
    </row>
    <row r="94" spans="1:12" ht="27" customHeight="1" x14ac:dyDescent="0.4">
      <c r="A94" s="122" t="s">
        <v>67</v>
      </c>
      <c r="B94" s="123">
        <v>1</v>
      </c>
      <c r="C94" s="212">
        <v>4</v>
      </c>
      <c r="D94" s="140"/>
      <c r="E94" s="141" t="str">
        <f>IF(ISBLANK(D94),"-",$D$101/$D$98*D94)</f>
        <v>-</v>
      </c>
      <c r="F94" s="213"/>
      <c r="G94" s="142" t="str">
        <f>IF(ISBLANK(F94),"-",$D$101/$F$98*F94)</f>
        <v>-</v>
      </c>
      <c r="I94" s="143"/>
    </row>
    <row r="95" spans="1:12" ht="27" customHeight="1" x14ac:dyDescent="0.4">
      <c r="A95" s="122" t="s">
        <v>68</v>
      </c>
      <c r="B95" s="123">
        <v>1</v>
      </c>
      <c r="C95" s="214" t="s">
        <v>69</v>
      </c>
      <c r="D95" s="215">
        <f>AVERAGE(D91:D94)</f>
        <v>44820765</v>
      </c>
      <c r="E95" s="146">
        <f>AVERAGE(E91:E94)</f>
        <v>33006595.15856855</v>
      </c>
      <c r="F95" s="216">
        <f>AVERAGE(F91:F94)</f>
        <v>44801009.333333336</v>
      </c>
      <c r="G95" s="217">
        <f>AVERAGE(G91:G94)</f>
        <v>33420301.055734772</v>
      </c>
    </row>
    <row r="96" spans="1:12" ht="26.25" customHeight="1" x14ac:dyDescent="0.4">
      <c r="A96" s="122" t="s">
        <v>70</v>
      </c>
      <c r="B96" s="108">
        <v>1</v>
      </c>
      <c r="C96" s="218" t="s">
        <v>111</v>
      </c>
      <c r="D96" s="219">
        <v>20.29</v>
      </c>
      <c r="E96" s="138"/>
      <c r="F96" s="150">
        <v>20.03</v>
      </c>
    </row>
    <row r="97" spans="1:10" ht="26.25" customHeight="1" x14ac:dyDescent="0.4">
      <c r="A97" s="122" t="s">
        <v>72</v>
      </c>
      <c r="B97" s="108">
        <v>1</v>
      </c>
      <c r="C97" s="220" t="s">
        <v>112</v>
      </c>
      <c r="D97" s="221">
        <f>D96*$B$87</f>
        <v>20.29</v>
      </c>
      <c r="E97" s="153"/>
      <c r="F97" s="152">
        <f>F96*$B$87</f>
        <v>20.03</v>
      </c>
    </row>
    <row r="98" spans="1:10" ht="19.5" customHeight="1" x14ac:dyDescent="0.3">
      <c r="A98" s="122" t="s">
        <v>74</v>
      </c>
      <c r="B98" s="222">
        <f>(B97/B96)*(B95/B94)*(B93/B92)*(B91/B90)*B89</f>
        <v>833.33333333333337</v>
      </c>
      <c r="C98" s="220" t="s">
        <v>113</v>
      </c>
      <c r="D98" s="223">
        <f>D97*$B$83/100</f>
        <v>20.117535</v>
      </c>
      <c r="E98" s="156"/>
      <c r="F98" s="155">
        <f>F97*$B$83/100</f>
        <v>19.859745000000004</v>
      </c>
    </row>
    <row r="99" spans="1:10" ht="19.5" customHeight="1" x14ac:dyDescent="0.3">
      <c r="A99" s="310" t="s">
        <v>76</v>
      </c>
      <c r="B99" s="324"/>
      <c r="C99" s="220" t="s">
        <v>114</v>
      </c>
      <c r="D99" s="224">
        <f>D98/$B$98</f>
        <v>2.4141041999999998E-2</v>
      </c>
      <c r="E99" s="156"/>
      <c r="F99" s="159">
        <f>F98/$B$98</f>
        <v>2.3831694000000004E-2</v>
      </c>
      <c r="G99" s="225"/>
      <c r="H99" s="148"/>
    </row>
    <row r="100" spans="1:10" ht="19.5" customHeight="1" x14ac:dyDescent="0.3">
      <c r="A100" s="312"/>
      <c r="B100" s="325"/>
      <c r="C100" s="220" t="s">
        <v>78</v>
      </c>
      <c r="D100" s="226">
        <f>$B$56/$B$116</f>
        <v>1.7777777777777778E-2</v>
      </c>
      <c r="F100" s="164"/>
      <c r="G100" s="227"/>
      <c r="H100" s="148"/>
    </row>
    <row r="101" spans="1:10" ht="18.75" x14ac:dyDescent="0.3">
      <c r="C101" s="220" t="s">
        <v>79</v>
      </c>
      <c r="D101" s="221">
        <f>D100*$B$98</f>
        <v>14.814814814814815</v>
      </c>
      <c r="F101" s="164"/>
      <c r="G101" s="225"/>
      <c r="H101" s="148"/>
    </row>
    <row r="102" spans="1:10" ht="19.5" customHeight="1" x14ac:dyDescent="0.3">
      <c r="C102" s="228" t="s">
        <v>80</v>
      </c>
      <c r="D102" s="229">
        <f>D101/B34</f>
        <v>14.814814814814815</v>
      </c>
      <c r="F102" s="168"/>
      <c r="G102" s="225"/>
      <c r="H102" s="148"/>
      <c r="J102" s="230"/>
    </row>
    <row r="103" spans="1:10" ht="18.75" x14ac:dyDescent="0.3">
      <c r="C103" s="231" t="s">
        <v>115</v>
      </c>
      <c r="D103" s="232">
        <f>AVERAGE(E91:E94,G91:G94)</f>
        <v>33213448.107151661</v>
      </c>
      <c r="F103" s="168"/>
      <c r="G103" s="233"/>
      <c r="H103" s="148"/>
      <c r="J103" s="234"/>
    </row>
    <row r="104" spans="1:10" ht="18.75" x14ac:dyDescent="0.3">
      <c r="C104" s="198" t="s">
        <v>82</v>
      </c>
      <c r="D104" s="235">
        <f>STDEV(E91:E94,G91:G94)/D103</f>
        <v>6.8691773503963957E-3</v>
      </c>
      <c r="F104" s="168"/>
      <c r="G104" s="225"/>
      <c r="H104" s="148"/>
      <c r="J104" s="234"/>
    </row>
    <row r="105" spans="1:10" ht="19.5" customHeight="1" x14ac:dyDescent="0.3">
      <c r="C105" s="200" t="s">
        <v>18</v>
      </c>
      <c r="D105" s="236">
        <f>COUNT(E91:E94,G91:G94)</f>
        <v>6</v>
      </c>
      <c r="F105" s="168"/>
      <c r="G105" s="225"/>
      <c r="H105" s="148"/>
      <c r="J105" s="234"/>
    </row>
    <row r="106" spans="1:10" ht="19.5" customHeight="1" x14ac:dyDescent="0.3">
      <c r="A106" s="172"/>
      <c r="B106" s="172"/>
      <c r="C106" s="172"/>
      <c r="D106" s="172"/>
      <c r="E106" s="172"/>
    </row>
    <row r="107" spans="1:10" ht="26.25" customHeight="1" x14ac:dyDescent="0.4">
      <c r="A107" s="120" t="s">
        <v>116</v>
      </c>
      <c r="B107" s="121">
        <v>900</v>
      </c>
      <c r="C107" s="237" t="s">
        <v>125</v>
      </c>
      <c r="D107" s="238" t="s">
        <v>61</v>
      </c>
      <c r="E107" s="239" t="s">
        <v>117</v>
      </c>
      <c r="F107" s="240" t="s">
        <v>118</v>
      </c>
    </row>
    <row r="108" spans="1:10" ht="26.25" customHeight="1" x14ac:dyDescent="0.4">
      <c r="A108" s="122" t="s">
        <v>119</v>
      </c>
      <c r="B108" s="123">
        <v>2</v>
      </c>
      <c r="C108" s="241">
        <v>1</v>
      </c>
      <c r="D108" s="242">
        <v>31092894</v>
      </c>
      <c r="E108" s="273">
        <f t="shared" ref="E108:E113" si="1">IF(ISBLANK(D108),"-",D108/$D$103*$D$100*$B$116)</f>
        <v>187.23075002444531</v>
      </c>
      <c r="F108" s="243">
        <f t="shared" ref="F108:F113" si="2">IF(ISBLANK(D108), "-", E108/$B$56)</f>
        <v>0.93615375012222657</v>
      </c>
    </row>
    <row r="109" spans="1:10" ht="26.25" customHeight="1" x14ac:dyDescent="0.4">
      <c r="A109" s="122" t="s">
        <v>93</v>
      </c>
      <c r="B109" s="123">
        <v>25</v>
      </c>
      <c r="C109" s="241">
        <v>2</v>
      </c>
      <c r="D109" s="242">
        <v>32236723</v>
      </c>
      <c r="E109" s="274">
        <f t="shared" si="1"/>
        <v>194.11849619467031</v>
      </c>
      <c r="F109" s="244">
        <f t="shared" si="2"/>
        <v>0.9705924809733516</v>
      </c>
    </row>
    <row r="110" spans="1:10" ht="26.25" customHeight="1" x14ac:dyDescent="0.4">
      <c r="A110" s="122" t="s">
        <v>94</v>
      </c>
      <c r="B110" s="123">
        <v>1</v>
      </c>
      <c r="C110" s="241">
        <v>3</v>
      </c>
      <c r="D110" s="242">
        <v>31519571</v>
      </c>
      <c r="E110" s="274">
        <f t="shared" si="1"/>
        <v>189.80005266729938</v>
      </c>
      <c r="F110" s="244">
        <f t="shared" si="2"/>
        <v>0.9490002633364969</v>
      </c>
    </row>
    <row r="111" spans="1:10" ht="26.25" customHeight="1" x14ac:dyDescent="0.4">
      <c r="A111" s="122" t="s">
        <v>95</v>
      </c>
      <c r="B111" s="123">
        <v>1</v>
      </c>
      <c r="C111" s="241">
        <v>4</v>
      </c>
      <c r="D111" s="242">
        <v>31068172</v>
      </c>
      <c r="E111" s="274">
        <f t="shared" si="1"/>
        <v>187.08188261435143</v>
      </c>
      <c r="F111" s="244">
        <f t="shared" si="2"/>
        <v>0.93540941307175718</v>
      </c>
    </row>
    <row r="112" spans="1:10" ht="26.25" customHeight="1" x14ac:dyDescent="0.4">
      <c r="A112" s="122" t="s">
        <v>96</v>
      </c>
      <c r="B112" s="123">
        <v>1</v>
      </c>
      <c r="C112" s="241">
        <v>5</v>
      </c>
      <c r="D112" s="242">
        <v>31835763</v>
      </c>
      <c r="E112" s="274">
        <f t="shared" si="1"/>
        <v>191.70405251085623</v>
      </c>
      <c r="F112" s="244">
        <f t="shared" si="2"/>
        <v>0.95852026255428113</v>
      </c>
    </row>
    <row r="113" spans="1:10" ht="26.25" customHeight="1" x14ac:dyDescent="0.4">
      <c r="A113" s="122" t="s">
        <v>98</v>
      </c>
      <c r="B113" s="123">
        <v>1</v>
      </c>
      <c r="C113" s="245">
        <v>6</v>
      </c>
      <c r="D113" s="246">
        <v>30226289</v>
      </c>
      <c r="E113" s="275">
        <f t="shared" si="1"/>
        <v>182.01235175875368</v>
      </c>
      <c r="F113" s="247">
        <f t="shared" si="2"/>
        <v>0.91006175879376838</v>
      </c>
    </row>
    <row r="114" spans="1:10" ht="26.25" customHeight="1" x14ac:dyDescent="0.4">
      <c r="A114" s="122" t="s">
        <v>99</v>
      </c>
      <c r="B114" s="123">
        <v>1</v>
      </c>
      <c r="C114" s="241"/>
      <c r="D114" s="195"/>
      <c r="E114" s="96"/>
      <c r="F114" s="248"/>
    </row>
    <row r="115" spans="1:10" ht="26.25" customHeight="1" x14ac:dyDescent="0.4">
      <c r="A115" s="122" t="s">
        <v>100</v>
      </c>
      <c r="B115" s="123">
        <v>1</v>
      </c>
      <c r="C115" s="241"/>
      <c r="D115" s="249" t="s">
        <v>69</v>
      </c>
      <c r="E115" s="277">
        <f>AVERAGE(E108:E113)</f>
        <v>188.65793096172942</v>
      </c>
      <c r="F115" s="250">
        <f>AVERAGE(F108:F113)</f>
        <v>0.9432896548086469</v>
      </c>
    </row>
    <row r="116" spans="1:10" ht="27" customHeight="1" x14ac:dyDescent="0.4">
      <c r="A116" s="122" t="s">
        <v>101</v>
      </c>
      <c r="B116" s="154">
        <f>(B115/B114)*(B113/B112)*(B111/B110)*(B109/B108)*B107</f>
        <v>11250</v>
      </c>
      <c r="C116" s="251"/>
      <c r="D116" s="214" t="s">
        <v>82</v>
      </c>
      <c r="E116" s="252">
        <f>STDEV(E108:E113)/E115</f>
        <v>2.2373998628863655E-2</v>
      </c>
      <c r="F116" s="252">
        <f>STDEV(F108:F113)/F115</f>
        <v>2.2373998628863665E-2</v>
      </c>
      <c r="I116" s="96"/>
    </row>
    <row r="117" spans="1:10" ht="27" customHeight="1" x14ac:dyDescent="0.4">
      <c r="A117" s="310" t="s">
        <v>76</v>
      </c>
      <c r="B117" s="311"/>
      <c r="C117" s="253"/>
      <c r="D117" s="254" t="s">
        <v>18</v>
      </c>
      <c r="E117" s="255">
        <f>COUNT(E108:E113)</f>
        <v>6</v>
      </c>
      <c r="F117" s="255">
        <f>COUNT(F108:F113)</f>
        <v>6</v>
      </c>
      <c r="I117" s="96"/>
      <c r="J117" s="234"/>
    </row>
    <row r="118" spans="1:10" ht="19.5" customHeight="1" x14ac:dyDescent="0.3">
      <c r="A118" s="312"/>
      <c r="B118" s="313"/>
      <c r="C118" s="96"/>
      <c r="D118" s="96"/>
      <c r="E118" s="96"/>
      <c r="F118" s="195"/>
      <c r="G118" s="96"/>
      <c r="H118" s="96"/>
      <c r="I118" s="96"/>
    </row>
    <row r="119" spans="1:10" ht="18.75" x14ac:dyDescent="0.3">
      <c r="A119" s="264"/>
      <c r="B119" s="118"/>
      <c r="C119" s="96"/>
      <c r="D119" s="96"/>
      <c r="E119" s="96"/>
      <c r="F119" s="195"/>
      <c r="G119" s="96"/>
      <c r="H119" s="96"/>
      <c r="I119" s="96"/>
    </row>
    <row r="120" spans="1:10" ht="26.25" customHeight="1" x14ac:dyDescent="0.4">
      <c r="A120" s="106" t="s">
        <v>104</v>
      </c>
      <c r="B120" s="202" t="s">
        <v>120</v>
      </c>
      <c r="C120" s="322" t="str">
        <f>B20</f>
        <v>Nevirapine USP</v>
      </c>
      <c r="D120" s="322"/>
      <c r="E120" s="203" t="s">
        <v>121</v>
      </c>
      <c r="F120" s="203"/>
      <c r="G120" s="204">
        <f>F115</f>
        <v>0.9432896548086469</v>
      </c>
      <c r="H120" s="96"/>
      <c r="I120" s="96"/>
    </row>
    <row r="121" spans="1:10" ht="19.5" customHeight="1" x14ac:dyDescent="0.3">
      <c r="A121" s="256"/>
      <c r="B121" s="256"/>
      <c r="C121" s="257"/>
      <c r="D121" s="257"/>
      <c r="E121" s="257"/>
      <c r="F121" s="257"/>
      <c r="G121" s="257"/>
      <c r="H121" s="257"/>
    </row>
    <row r="122" spans="1:10" ht="18.75" x14ac:dyDescent="0.3">
      <c r="B122" s="323" t="s">
        <v>24</v>
      </c>
      <c r="C122" s="323"/>
      <c r="E122" s="209" t="s">
        <v>25</v>
      </c>
      <c r="F122" s="258"/>
      <c r="G122" s="323" t="s">
        <v>26</v>
      </c>
      <c r="H122" s="323"/>
    </row>
    <row r="123" spans="1:10" ht="69.95" customHeight="1" x14ac:dyDescent="0.3">
      <c r="A123" s="259" t="s">
        <v>27</v>
      </c>
      <c r="B123" s="260"/>
      <c r="C123" s="260"/>
      <c r="E123" s="260"/>
      <c r="F123" s="96"/>
      <c r="G123" s="261"/>
      <c r="H123" s="261"/>
    </row>
    <row r="124" spans="1:10" ht="69.95" customHeight="1" x14ac:dyDescent="0.3">
      <c r="A124" s="259" t="s">
        <v>28</v>
      </c>
      <c r="B124" s="262"/>
      <c r="C124" s="50" t="s">
        <v>126</v>
      </c>
      <c r="D124" s="225"/>
      <c r="E124" s="331">
        <v>42429</v>
      </c>
      <c r="F124" s="96"/>
      <c r="G124" s="263"/>
      <c r="H124" s="263"/>
    </row>
    <row r="125" spans="1:10" ht="18.75" x14ac:dyDescent="0.3">
      <c r="A125" s="194"/>
      <c r="B125" s="194"/>
      <c r="C125" s="195"/>
      <c r="D125" s="195"/>
      <c r="E125" s="195"/>
      <c r="F125" s="199"/>
      <c r="G125" s="195"/>
      <c r="H125" s="195"/>
      <c r="I125" s="96"/>
    </row>
    <row r="126" spans="1:10" ht="18.75" x14ac:dyDescent="0.3">
      <c r="A126" s="194"/>
      <c r="B126" s="194"/>
      <c r="C126" s="195"/>
      <c r="D126" s="195"/>
      <c r="E126" s="195"/>
      <c r="F126" s="199"/>
      <c r="G126" s="195"/>
      <c r="H126" s="195"/>
      <c r="I126" s="96"/>
    </row>
    <row r="127" spans="1:10" ht="18.75" x14ac:dyDescent="0.3">
      <c r="A127" s="194"/>
      <c r="B127" s="194"/>
      <c r="C127" s="195"/>
      <c r="D127" s="195"/>
      <c r="E127" s="195"/>
      <c r="F127" s="199"/>
      <c r="G127" s="195"/>
      <c r="H127" s="195"/>
      <c r="I127" s="96"/>
    </row>
    <row r="128" spans="1:10" ht="18.75" x14ac:dyDescent="0.3">
      <c r="A128" s="194"/>
      <c r="B128" s="194"/>
      <c r="C128" s="195"/>
      <c r="D128" s="195"/>
      <c r="E128" s="195"/>
      <c r="F128" s="199"/>
      <c r="G128" s="195"/>
      <c r="H128" s="195"/>
      <c r="I128" s="96"/>
    </row>
    <row r="129" spans="1:9" ht="18.75" x14ac:dyDescent="0.3">
      <c r="A129" s="194"/>
      <c r="B129" s="194"/>
      <c r="C129" s="195"/>
      <c r="D129" s="195"/>
      <c r="E129" s="195"/>
      <c r="F129" s="199"/>
      <c r="G129" s="195"/>
      <c r="H129" s="195"/>
      <c r="I129" s="96"/>
    </row>
    <row r="130" spans="1:9" ht="18.75" x14ac:dyDescent="0.3">
      <c r="A130" s="194"/>
      <c r="B130" s="194"/>
      <c r="C130" s="195"/>
      <c r="D130" s="195"/>
      <c r="E130" s="195"/>
      <c r="F130" s="199"/>
      <c r="G130" s="195"/>
      <c r="H130" s="195"/>
      <c r="I130" s="96"/>
    </row>
    <row r="131" spans="1:9" ht="18.75" x14ac:dyDescent="0.3">
      <c r="A131" s="194"/>
      <c r="B131" s="194"/>
      <c r="C131" s="195"/>
      <c r="D131" s="195"/>
      <c r="E131" s="195"/>
      <c r="F131" s="199"/>
      <c r="G131" s="195"/>
      <c r="H131" s="195"/>
      <c r="I131" s="96"/>
    </row>
    <row r="132" spans="1:9" ht="18.75" x14ac:dyDescent="0.3">
      <c r="A132" s="194"/>
      <c r="B132" s="194"/>
      <c r="C132" s="195"/>
      <c r="D132" s="195"/>
      <c r="E132" s="195"/>
      <c r="F132" s="199"/>
      <c r="G132" s="195"/>
      <c r="H132" s="195"/>
      <c r="I132" s="96"/>
    </row>
    <row r="133" spans="1:9" ht="18.75" x14ac:dyDescent="0.3">
      <c r="A133" s="194"/>
      <c r="B133" s="194"/>
      <c r="C133" s="195"/>
      <c r="D133" s="195"/>
      <c r="E133" s="195"/>
      <c r="F133" s="199"/>
      <c r="G133" s="195"/>
      <c r="H133" s="195"/>
      <c r="I133" s="96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23749999999999999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 USP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2016-02-29T08:33:31Z</cp:lastPrinted>
  <dcterms:created xsi:type="dcterms:W3CDTF">2005-07-05T10:19:27Z</dcterms:created>
  <dcterms:modified xsi:type="dcterms:W3CDTF">2016-02-29T08:38:18Z</dcterms:modified>
</cp:coreProperties>
</file>