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C46" i="3"/>
  <c r="D50" i="3" s="1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4" l="1"/>
  <c r="D24" i="3"/>
  <c r="D31" i="3"/>
  <c r="D39" i="3"/>
  <c r="D25" i="3"/>
  <c r="D33" i="3"/>
  <c r="D40" i="3"/>
  <c r="D28" i="3"/>
  <c r="D35" i="3"/>
  <c r="D41" i="3"/>
  <c r="D29" i="3"/>
  <c r="D36" i="3"/>
  <c r="C49" i="3"/>
  <c r="D27" i="3"/>
  <c r="D32" i="3"/>
  <c r="D37" i="3"/>
  <c r="D43" i="3"/>
  <c r="D49" i="3"/>
  <c r="I92" i="4"/>
  <c r="D101" i="4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2" i="4" l="1"/>
  <c r="G91" i="4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2" i="4"/>
  <c r="E95" i="4"/>
  <c r="D105" i="4"/>
  <c r="D103" i="4"/>
  <c r="G65" i="4" l="1"/>
  <c r="H65" i="4" s="1"/>
  <c r="D51" i="4"/>
  <c r="G60" i="4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<sst xmlns="http://schemas.openxmlformats.org/spreadsheetml/2006/main" count="233" uniqueCount="126">
  <si>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</si>
  <si>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</si>
  <si>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</si>
  <si>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</si>
  <si>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</si>
  <si>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</si>
  <si>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</si>
  <si>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</si>
  <si>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</si>
  <si>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</si>
  <si>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</si>
  <si>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</si>
  <si>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</si>
  <si>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</si>
  <si>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</si>
  <si>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</si>
  <si>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</si>
  <si>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</si>
  <si>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</si>
  <si>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</si>
  <si>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</si>
  <si>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</si>
  <si>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</si>
  <si>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</si>
  <si>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</si>
  <si>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</si>
  <si>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</si>
  <si>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</si>
  <si>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</si>
  <si>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</si>
  <si>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</si>
  <si>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</si>
  <si>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</si>
  <si>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</si>
  <si>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</si>
  <si>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</si>
  <si>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</si>
  <si>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</si>
  <si>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</si>
  <si>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</si>
  <si>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</si>
  <si>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</si>
  <si>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</si>
  <si>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</si>
  <si>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</si>
  <si>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</si>
  <si>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</si>
  <si>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</si>
  <si>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</si>
  <si>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</si>
  <si>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</si>
  <si>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</si>
  <si>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</si>
  <si>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</si>
  <si>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</si>
  <si>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</si>
  <si>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</si>
  <si>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</si>
  <si>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</si>
  <si>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</si>
  <si>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</si>
  <si>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</si>
  <si>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</si>
  <si>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</si>
  <si>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</si>
  <si>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</si>
  <si>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</si>
  <si>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</si>
  <si>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</si>
  <si>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</si>
  <si>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</si>
  <si>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</si>
  <si>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</si>
  <si>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</si>
  <si>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</si>
  <si>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</si>
  <si>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</si>
  <si>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</si>
  <si>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</si>
  <si>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</si>
  <si>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</si>
  <si>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</si>
  <si>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</si>
  <si>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</si>
  <si>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</si>
  <si>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</si>
  <si>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</si>
  <si>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</si>
  <si>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</si>
  <si>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</si>
  <si>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</si>
  <si>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</si>
  <si>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</si>
  <si>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</si>
  <si>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</si>
  <si>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</si>
  <si>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</si>
  <si>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</si>
  <si>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</si>
  <si>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</si>
  <si>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</si>
  <si>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</si>
  <si>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</si>
  <si>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</si>
  <si>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</si>
  <si>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</si>
  <si>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</si>
  <si>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</si>
  <si>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</si>
  <si>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</si>
  <si>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</si>
  <si>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</si>
  <si>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</si>
  <si>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</si>
  <si>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</si>
  <si>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</si>
  <si>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</si>
  <si>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</si>
  <si>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</si>
  <si>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</si>
  <si>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</si>
  <si>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</si>
  <si>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</si>
  <si>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</si>
  <si>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NDQB201601703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</si>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</sst>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F32" sqref="F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2">
        <v>42410.661458333336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29657913</v>
      </c>
      <c r="C24" s="18">
        <v>9047.59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29636996</v>
      </c>
      <c r="C25" s="18">
        <v>8936.6299999999992</v>
      </c>
      <c r="D25" s="19">
        <v>1.1399999999999999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29616173</v>
      </c>
      <c r="C26" s="18">
        <v>8967.61</v>
      </c>
      <c r="D26" s="19">
        <v>1.1399999999999999</v>
      </c>
      <c r="E26" s="19">
        <v>9.4700000000000006</v>
      </c>
    </row>
    <row r="27" spans="1:6" ht="16.5" customHeight="1" x14ac:dyDescent="0.3">
      <c r="A27" s="17">
        <v>4</v>
      </c>
      <c r="B27" s="18">
        <v>29496134</v>
      </c>
      <c r="C27" s="18">
        <v>8998.3799999999992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29538739</v>
      </c>
      <c r="C28" s="18">
        <v>8973.6299999999992</v>
      </c>
      <c r="D28" s="19">
        <v>1.1299999999999999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29560919</v>
      </c>
      <c r="C29" s="21">
        <v>8926.24</v>
      </c>
      <c r="D29" s="22">
        <v>1.1399999999999999</v>
      </c>
      <c r="E29" s="22">
        <v>9.4600000000000009</v>
      </c>
    </row>
    <row r="30" spans="1:6" ht="16.5" customHeight="1" x14ac:dyDescent="0.3">
      <c r="A30" s="23" t="s">
        <v>16</v>
      </c>
      <c r="B30" s="24">
        <f>AVERAGE(B24:B29)</f>
        <v>29584479</v>
      </c>
      <c r="C30" s="25">
        <f>AVERAGE(C24:C29)</f>
        <v>8975.0133333333324</v>
      </c>
      <c r="D30" s="26">
        <f>AVERAGE(D24:D29)</f>
        <v>1.1366666666666665</v>
      </c>
      <c r="E30" s="26">
        <f>AVERAGE(E24:E29)</f>
        <v>9.4649999999999999</v>
      </c>
    </row>
    <row r="31" spans="1:6" ht="16.5" customHeight="1" x14ac:dyDescent="0.3">
      <c r="A31" s="27" t="s">
        <v>17</v>
      </c>
      <c r="B31" s="28">
        <f>(STDEV(B24:B29)/B30)</f>
        <v>2.1166955224606117E-3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81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16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17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24</v>
      </c>
      <c r="C59" s="28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3" sqref="D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29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30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31</v>
      </c>
      <c r="B14" s="292"/>
      <c r="C14" s="60" t="s">
        <v>5</v>
      </c>
    </row>
    <row r="15" spans="1:7" ht="16.5" customHeight="1" x14ac:dyDescent="0.3">
      <c r="A15" s="292" t="s">
        <v>32</v>
      </c>
      <c r="B15" s="292"/>
      <c r="C15" s="60" t="s">
        <v>124</v>
      </c>
    </row>
    <row r="16" spans="1:7" ht="16.5" customHeight="1" x14ac:dyDescent="0.3">
      <c r="A16" s="292" t="s">
        <v>33</v>
      </c>
      <c r="B16" s="292"/>
      <c r="C16" s="60" t="s">
        <v>8</v>
      </c>
    </row>
    <row r="17" spans="1:5" ht="16.5" customHeight="1" x14ac:dyDescent="0.3">
      <c r="A17" s="292" t="s">
        <v>34</v>
      </c>
      <c r="B17" s="292"/>
      <c r="C17" s="60" t="s">
        <v>10</v>
      </c>
    </row>
    <row r="18" spans="1:5" ht="16.5" customHeight="1" x14ac:dyDescent="0.3">
      <c r="A18" s="292" t="s">
        <v>35</v>
      </c>
      <c r="B18" s="292"/>
      <c r="C18" s="97">
        <v>42409.522048611114</v>
      </c>
    </row>
    <row r="19" spans="1:5" ht="16.5" customHeight="1" x14ac:dyDescent="0.3">
      <c r="A19" s="292" t="s">
        <v>36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37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848.56</v>
      </c>
      <c r="D24" s="87">
        <f t="shared" ref="D24:D43" si="0">(C24-$C$46)/$C$46</f>
        <v>-5.0929653207139386E-3</v>
      </c>
      <c r="E24" s="53"/>
    </row>
    <row r="25" spans="1:5" ht="15.75" customHeight="1" x14ac:dyDescent="0.3">
      <c r="C25" s="95">
        <v>846.13</v>
      </c>
      <c r="D25" s="88">
        <f t="shared" si="0"/>
        <v>-7.9420556552461056E-3</v>
      </c>
      <c r="E25" s="53"/>
    </row>
    <row r="26" spans="1:5" ht="15.75" customHeight="1" x14ac:dyDescent="0.3">
      <c r="C26" s="95">
        <v>849.62</v>
      </c>
      <c r="D26" s="88">
        <f t="shared" si="0"/>
        <v>-3.8501522529755319E-3</v>
      </c>
      <c r="E26" s="53"/>
    </row>
    <row r="27" spans="1:5" ht="15.75" customHeight="1" x14ac:dyDescent="0.3">
      <c r="C27" s="95">
        <v>855.83</v>
      </c>
      <c r="D27" s="88">
        <f t="shared" si="0"/>
        <v>3.4308563797179757E-3</v>
      </c>
      <c r="E27" s="53"/>
    </row>
    <row r="28" spans="1:5" ht="15.75" customHeight="1" x14ac:dyDescent="0.3">
      <c r="C28" s="95">
        <v>850.4</v>
      </c>
      <c r="D28" s="88">
        <f t="shared" si="0"/>
        <v>-2.9356294295454668E-3</v>
      </c>
      <c r="E28" s="53"/>
    </row>
    <row r="29" spans="1:5" ht="15.75" customHeight="1" x14ac:dyDescent="0.3">
      <c r="C29" s="95">
        <v>854.9</v>
      </c>
      <c r="D29" s="88">
        <f t="shared" si="0"/>
        <v>2.340463782551247E-3</v>
      </c>
      <c r="E29" s="53"/>
    </row>
    <row r="30" spans="1:5" ht="15.75" customHeight="1" x14ac:dyDescent="0.3">
      <c r="C30" s="95">
        <v>858.6</v>
      </c>
      <c r="D30" s="88">
        <f t="shared" si="0"/>
        <v>6.6785848680530431E-3</v>
      </c>
      <c r="E30" s="53"/>
    </row>
    <row r="31" spans="1:5" ht="15.75" customHeight="1" x14ac:dyDescent="0.3">
      <c r="C31" s="95">
        <v>853.65</v>
      </c>
      <c r="D31" s="88">
        <f t="shared" si="0"/>
        <v>8.7488233474660414E-4</v>
      </c>
      <c r="E31" s="53"/>
    </row>
    <row r="32" spans="1:5" ht="15.75" customHeight="1" x14ac:dyDescent="0.3">
      <c r="C32" s="95">
        <v>860.11</v>
      </c>
      <c r="D32" s="88">
        <f t="shared" si="0"/>
        <v>8.4490072570010399E-3</v>
      </c>
      <c r="E32" s="53"/>
    </row>
    <row r="33" spans="1:7" ht="15.75" customHeight="1" x14ac:dyDescent="0.3">
      <c r="C33" s="95">
        <v>856.83</v>
      </c>
      <c r="D33" s="88">
        <f t="shared" si="0"/>
        <v>4.6033215379616896E-3</v>
      </c>
      <c r="E33" s="53"/>
    </row>
    <row r="34" spans="1:7" ht="15.75" customHeight="1" x14ac:dyDescent="0.3">
      <c r="C34" s="95">
        <v>858.45</v>
      </c>
      <c r="D34" s="88">
        <f t="shared" si="0"/>
        <v>6.5027150943165121E-3</v>
      </c>
      <c r="E34" s="53"/>
    </row>
    <row r="35" spans="1:7" ht="15.75" customHeight="1" x14ac:dyDescent="0.3">
      <c r="C35" s="95">
        <v>850.66</v>
      </c>
      <c r="D35" s="88">
        <f t="shared" si="0"/>
        <v>-2.6307884884021119E-3</v>
      </c>
      <c r="E35" s="53"/>
    </row>
    <row r="36" spans="1:7" ht="15.75" customHeight="1" x14ac:dyDescent="0.3">
      <c r="C36" s="95">
        <v>853.59</v>
      </c>
      <c r="D36" s="88">
        <f t="shared" si="0"/>
        <v>8.0453442525204525E-4</v>
      </c>
      <c r="E36" s="53"/>
    </row>
    <row r="37" spans="1:7" ht="15.75" customHeight="1" x14ac:dyDescent="0.3">
      <c r="C37" s="95">
        <v>848.75</v>
      </c>
      <c r="D37" s="88">
        <f>(C37-$C$46)/$C$46</f>
        <v>-4.8701969406475688E-3</v>
      </c>
      <c r="E37" s="53"/>
    </row>
    <row r="38" spans="1:7" ht="15.75" customHeight="1" x14ac:dyDescent="0.3">
      <c r="C38" s="95">
        <v>851.5</v>
      </c>
      <c r="D38" s="88">
        <f>(C38-$C$46)/$C$46</f>
        <v>-1.6459177554773547E-3</v>
      </c>
      <c r="E38" s="53"/>
    </row>
    <row r="39" spans="1:7" ht="15.75" customHeight="1" x14ac:dyDescent="0.3">
      <c r="C39" s="95">
        <v>854.1</v>
      </c>
      <c r="D39" s="88">
        <f t="shared" si="0"/>
        <v>1.4024916559563288E-3</v>
      </c>
      <c r="E39" s="53"/>
    </row>
    <row r="40" spans="1:7" ht="15.75" customHeight="1" x14ac:dyDescent="0.3">
      <c r="C40" s="95">
        <v>849</v>
      </c>
      <c r="D40" s="88">
        <f t="shared" si="0"/>
        <v>-4.5770806510866402E-3</v>
      </c>
      <c r="E40" s="53"/>
    </row>
    <row r="41" spans="1:7" ht="15.75" customHeight="1" x14ac:dyDescent="0.3">
      <c r="C41" s="95">
        <v>844.12</v>
      </c>
      <c r="D41" s="88">
        <f t="shared" si="0"/>
        <v>-1.029871062331596E-2</v>
      </c>
      <c r="E41" s="53"/>
    </row>
    <row r="42" spans="1:7" ht="15.75" customHeight="1" x14ac:dyDescent="0.3">
      <c r="C42" s="95">
        <v>855.63</v>
      </c>
      <c r="D42" s="88">
        <f t="shared" si="0"/>
        <v>3.1963633480691796E-3</v>
      </c>
      <c r="E42" s="53"/>
    </row>
    <row r="43" spans="1:7" ht="16.5" customHeight="1" x14ac:dyDescent="0.3">
      <c r="C43" s="96">
        <v>854.92</v>
      </c>
      <c r="D43" s="89">
        <f t="shared" si="0"/>
        <v>2.3639130857161001E-3</v>
      </c>
      <c r="E43" s="53"/>
    </row>
    <row r="44" spans="1:7" ht="16.5" customHeight="1" x14ac:dyDescent="0.3">
      <c r="C44" s="54">
        <v>855.63</v>
      </c>
      <c r="D44" s="53"/>
      <c r="E44" s="55"/>
    </row>
    <row r="45" spans="1:7" ht="16.5" customHeight="1" x14ac:dyDescent="0.3">
      <c r="B45" s="82" t="s">
        <v>40</v>
      </c>
      <c r="C45" s="83">
        <v>854.92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852.90380952380951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5">
        <f>C46</f>
        <v>852.90380952380951</v>
      </c>
      <c r="C49" s="93">
        <f>-IF(C46&lt;=80,10%,IF(C46&lt;250,7.5%,5%))</f>
        <v>-0.05</v>
      </c>
      <c r="D49" s="81">
        <f>IF(C46&lt;=80,C46*0.9,IF(C46&lt;250,C46*0.925,C46*0.95))</f>
        <v>810.25861904761905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895.54899999999998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3" zoomScale="55" zoomScaleNormal="40" zoomScalePageLayoutView="55" workbookViewId="0">
      <selection activeCell="E73" sqref="E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43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44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8" t="s">
        <v>29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45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31</v>
      </c>
      <c r="B18" s="327" t="s">
        <v>5</v>
      </c>
      <c r="C18" s="327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124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2" t="s">
        <v>8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2" t="s">
        <v>10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35</v>
      </c>
      <c r="B22" s="105">
        <v>42410.694097222222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42413.179375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122</v>
      </c>
      <c r="C26" s="327"/>
    </row>
    <row r="27" spans="1:14" ht="26.25" customHeight="1" x14ac:dyDescent="0.4">
      <c r="A27" s="109" t="s">
        <v>46</v>
      </c>
      <c r="B27" s="324" t="s">
        <v>123</v>
      </c>
      <c r="C27" s="325"/>
    </row>
    <row r="28" spans="1:14" ht="27" customHeight="1" x14ac:dyDescent="0.4">
      <c r="A28" s="109" t="s">
        <v>6</v>
      </c>
      <c r="B28" s="110">
        <v>99.15</v>
      </c>
    </row>
    <row r="29" spans="1:14" s="14" customFormat="1" ht="27" customHeight="1" x14ac:dyDescent="0.4">
      <c r="A29" s="109" t="s">
        <v>47</v>
      </c>
      <c r="B29" s="111">
        <v>0</v>
      </c>
      <c r="C29" s="301" t="s">
        <v>48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4" t="s">
        <v>51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4" t="s">
        <v>53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7" t="s">
        <v>57</v>
      </c>
      <c r="E36" s="326"/>
      <c r="F36" s="307" t="s">
        <v>58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4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50</v>
      </c>
      <c r="C38" s="131">
        <v>1</v>
      </c>
      <c r="D38" s="132">
        <v>29732995</v>
      </c>
      <c r="E38" s="133">
        <f>IF(ISBLANK(D38),"-",$D$48/$D$45*D38)</f>
        <v>29617671.19279306</v>
      </c>
      <c r="F38" s="132">
        <v>30519662</v>
      </c>
      <c r="G38" s="134">
        <f>IF(ISBLANK(F38),"-",$D$48/$F$45*F38)</f>
        <v>30567331.753870156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30023303</v>
      </c>
      <c r="E39" s="138">
        <f>IF(ISBLANK(D39),"-",$D$48/$D$45*D39)</f>
        <v>29906853.190389916</v>
      </c>
      <c r="F39" s="137">
        <v>30331778</v>
      </c>
      <c r="G39" s="139">
        <f>IF(ISBLANK(F39),"-",$D$48/$F$45*F39)</f>
        <v>30379154.291116994</v>
      </c>
      <c r="I39" s="309">
        <f>ABS((F43/D43*D42)-F42)/D42</f>
        <v>2.1530190103424104E-2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29504346</v>
      </c>
      <c r="E40" s="138">
        <f>IF(ISBLANK(D40),"-",$D$48/$D$45*D40)</f>
        <v>29389909.041668996</v>
      </c>
      <c r="F40" s="137">
        <v>29846130</v>
      </c>
      <c r="G40" s="139">
        <f>IF(ISBLANK(F40),"-",$D$48/$F$45*F40)</f>
        <v>29892747.740100682</v>
      </c>
      <c r="I40" s="309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29753548</v>
      </c>
      <c r="E42" s="148">
        <f>AVERAGE(E38:E41)</f>
        <v>29638144.474950656</v>
      </c>
      <c r="F42" s="147">
        <f>AVERAGE(F38:F41)</f>
        <v>30232523.333333332</v>
      </c>
      <c r="G42" s="149">
        <f>AVERAGE(G38:G41)</f>
        <v>30279744.595029276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20.25</v>
      </c>
      <c r="E43" s="140"/>
      <c r="F43" s="152">
        <v>20.14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20.25</v>
      </c>
      <c r="E44" s="155"/>
      <c r="F44" s="154">
        <f>F43*$B$34</f>
        <v>20.14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1250</v>
      </c>
      <c r="C45" s="153" t="s">
        <v>75</v>
      </c>
      <c r="D45" s="157">
        <f>D44*$B$30/100</f>
        <v>20.077875000000002</v>
      </c>
      <c r="E45" s="158"/>
      <c r="F45" s="157">
        <f>F44*$B$30/100</f>
        <v>19.968810000000001</v>
      </c>
      <c r="H45" s="150"/>
    </row>
    <row r="46" spans="1:14" ht="19.5" customHeight="1" x14ac:dyDescent="0.3">
      <c r="A46" s="295" t="s">
        <v>76</v>
      </c>
      <c r="B46" s="296"/>
      <c r="C46" s="153" t="s">
        <v>77</v>
      </c>
      <c r="D46" s="159">
        <f>D45/$B$45</f>
        <v>1.6062300000000002E-2</v>
      </c>
      <c r="E46" s="160"/>
      <c r="F46" s="161">
        <f>F45/$B$45</f>
        <v>1.5975048000000002E-2</v>
      </c>
      <c r="H46" s="150"/>
    </row>
    <row r="47" spans="1:14" ht="27" customHeight="1" x14ac:dyDescent="0.4">
      <c r="A47" s="297"/>
      <c r="B47" s="298"/>
      <c r="C47" s="162" t="s">
        <v>78</v>
      </c>
      <c r="D47" s="163">
        <v>1.6E-2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29958944.534989968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1.4883264793791892E-2</v>
      </c>
      <c r="F51" s="170"/>
      <c r="H51" s="150"/>
    </row>
    <row r="52" spans="1:12" ht="19.5" customHeight="1" x14ac:dyDescent="0.3">
      <c r="C52" s="172" t="s">
        <v>18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 xml:space="preserve">Nevirapine USP 200mg 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86</v>
      </c>
      <c r="B57" s="268">
        <f>Uniformity!C46</f>
        <v>852.90380952380951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4</v>
      </c>
      <c r="C60" s="312" t="s">
        <v>92</v>
      </c>
      <c r="D60" s="315">
        <v>851.53</v>
      </c>
      <c r="E60" s="182">
        <v>1</v>
      </c>
      <c r="F60" s="183">
        <v>34840037</v>
      </c>
      <c r="G60" s="269">
        <f>IF(ISBLANK(F60),"-",(F60/$D$50*$D$47*$B$68)*($B$57/$D$60))</f>
        <v>194.13370783147775</v>
      </c>
      <c r="H60" s="184">
        <f t="shared" ref="H60:H71" si="0">IF(ISBLANK(F60),"-",G60/$B$56)</f>
        <v>0.97066853915738871</v>
      </c>
      <c r="L60" s="112"/>
    </row>
    <row r="61" spans="1:12" s="14" customFormat="1" ht="26.25" customHeight="1" x14ac:dyDescent="0.4">
      <c r="A61" s="124" t="s">
        <v>93</v>
      </c>
      <c r="B61" s="125">
        <v>50</v>
      </c>
      <c r="C61" s="313"/>
      <c r="D61" s="316"/>
      <c r="E61" s="185">
        <v>2</v>
      </c>
      <c r="F61" s="137">
        <v>34755737</v>
      </c>
      <c r="G61" s="270">
        <f>IF(ISBLANK(F61),"-",(F61/$D$50*$D$47*$B$68)*($B$57/$D$60))</f>
        <v>193.66397608090031</v>
      </c>
      <c r="H61" s="186">
        <f t="shared" si="0"/>
        <v>0.96831988040450157</v>
      </c>
      <c r="L61" s="112"/>
    </row>
    <row r="62" spans="1:12" s="14" customFormat="1" ht="26.25" customHeight="1" x14ac:dyDescent="0.4">
      <c r="A62" s="124" t="s">
        <v>94</v>
      </c>
      <c r="B62" s="125">
        <v>3</v>
      </c>
      <c r="C62" s="313"/>
      <c r="D62" s="316"/>
      <c r="E62" s="185">
        <v>3</v>
      </c>
      <c r="F62" s="187">
        <v>35040674</v>
      </c>
      <c r="G62" s="270">
        <f>IF(ISBLANK(F62),"-",(F62/$D$50*$D$47*$B$68)*($B$57/$D$60))</f>
        <v>195.25168611428458</v>
      </c>
      <c r="H62" s="186">
        <f t="shared" si="0"/>
        <v>0.97625843057142292</v>
      </c>
      <c r="L62" s="112"/>
    </row>
    <row r="63" spans="1:12" ht="27" customHeight="1" x14ac:dyDescent="0.4">
      <c r="A63" s="124" t="s">
        <v>95</v>
      </c>
      <c r="B63" s="125">
        <v>25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2" t="s">
        <v>97</v>
      </c>
      <c r="D64" s="315">
        <v>853.68</v>
      </c>
      <c r="E64" s="182">
        <v>1</v>
      </c>
      <c r="F64" s="183">
        <v>35251922</v>
      </c>
      <c r="G64" s="271">
        <f>IF(ISBLANK(F64),"-",(F64/$D$50*$D$47*$B$68)*($B$57/$D$64))</f>
        <v>195.93408291757052</v>
      </c>
      <c r="H64" s="190">
        <f t="shared" si="0"/>
        <v>0.97967041458785264</v>
      </c>
    </row>
    <row r="65" spans="1:8" ht="26.25" customHeight="1" x14ac:dyDescent="0.4">
      <c r="A65" s="124" t="s">
        <v>98</v>
      </c>
      <c r="B65" s="125">
        <v>1</v>
      </c>
      <c r="C65" s="313"/>
      <c r="D65" s="316"/>
      <c r="E65" s="185">
        <v>2</v>
      </c>
      <c r="F65" s="137">
        <v>35391713</v>
      </c>
      <c r="G65" s="272">
        <f>IF(ISBLANK(F65),"-",(F65/$D$50*$D$47*$B$68)*($B$57/$D$64))</f>
        <v>196.71105676271665</v>
      </c>
      <c r="H65" s="191">
        <f t="shared" si="0"/>
        <v>0.98355528381358326</v>
      </c>
    </row>
    <row r="66" spans="1:8" ht="26.25" customHeight="1" x14ac:dyDescent="0.4">
      <c r="A66" s="124" t="s">
        <v>99</v>
      </c>
      <c r="B66" s="125">
        <v>1</v>
      </c>
      <c r="C66" s="313"/>
      <c r="D66" s="316"/>
      <c r="E66" s="185">
        <v>3</v>
      </c>
      <c r="F66" s="137">
        <v>35311757</v>
      </c>
      <c r="G66" s="272">
        <f>IF(ISBLANK(F66),"-",(F66/$D$50*$D$47*$B$68)*($B$57/$D$64))</f>
        <v>196.26665246800169</v>
      </c>
      <c r="H66" s="191">
        <f t="shared" si="0"/>
        <v>0.98133326234000851</v>
      </c>
    </row>
    <row r="67" spans="1:8" ht="27" customHeight="1" x14ac:dyDescent="0.4">
      <c r="A67" s="124" t="s">
        <v>100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10416.666666666668</v>
      </c>
      <c r="C68" s="312" t="s">
        <v>102</v>
      </c>
      <c r="D68" s="315">
        <v>854.84</v>
      </c>
      <c r="E68" s="182">
        <v>1</v>
      </c>
      <c r="F68" s="183">
        <v>35508347</v>
      </c>
      <c r="G68" s="271">
        <f>IF(ISBLANK(F68),"-",(F68/$D$50*$D$47*$B$68)*($B$57/$D$68))</f>
        <v>197.09150896847368</v>
      </c>
      <c r="H68" s="186">
        <f t="shared" si="0"/>
        <v>0.98545754484236836</v>
      </c>
    </row>
    <row r="69" spans="1:8" ht="27" customHeight="1" x14ac:dyDescent="0.4">
      <c r="A69" s="172" t="s">
        <v>103</v>
      </c>
      <c r="B69" s="194">
        <f>(D47*B68)/B56*B57</f>
        <v>710.75317460317467</v>
      </c>
      <c r="C69" s="313"/>
      <c r="D69" s="316"/>
      <c r="E69" s="185">
        <v>2</v>
      </c>
      <c r="F69" s="137">
        <v>35582064</v>
      </c>
      <c r="G69" s="272">
        <f>IF(ISBLANK(F69),"-",(F69/$D$50*$D$47*$B$68)*($B$57/$D$68))</f>
        <v>197.50068021957779</v>
      </c>
      <c r="H69" s="186">
        <f t="shared" si="0"/>
        <v>0.98750340109788892</v>
      </c>
    </row>
    <row r="70" spans="1:8" ht="26.25" customHeight="1" x14ac:dyDescent="0.4">
      <c r="A70" s="318" t="s">
        <v>76</v>
      </c>
      <c r="B70" s="319"/>
      <c r="C70" s="313"/>
      <c r="D70" s="316"/>
      <c r="E70" s="185">
        <v>3</v>
      </c>
      <c r="F70" s="137">
        <v>35619218</v>
      </c>
      <c r="G70" s="272">
        <f>IF(ISBLANK(F70),"-",(F70/$D$50*$D$47*$B$68)*($B$57/$D$68))</f>
        <v>197.70690603809348</v>
      </c>
      <c r="H70" s="186">
        <f t="shared" si="0"/>
        <v>0.98853453019046744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196.02891748901072</v>
      </c>
      <c r="H72" s="199">
        <f>AVERAGE(H60:H71)</f>
        <v>0.98014458744505362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7.3107247269350124E-3</v>
      </c>
      <c r="H73" s="274">
        <f>STDEV(H60:H71)/H72</f>
        <v>7.3107247269350211E-3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18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299" t="str">
        <f>B20</f>
        <v>Nevirapine USP</v>
      </c>
      <c r="D76" s="299"/>
      <c r="E76" s="205" t="s">
        <v>106</v>
      </c>
      <c r="F76" s="205"/>
      <c r="G76" s="206">
        <f>H72</f>
        <v>0.98014458744505362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Nevirapine</v>
      </c>
      <c r="C79" s="322"/>
    </row>
    <row r="80" spans="1:8" ht="26.25" customHeight="1" x14ac:dyDescent="0.4">
      <c r="A80" s="109" t="s">
        <v>46</v>
      </c>
      <c r="B80" s="322" t="str">
        <f>B27</f>
        <v>N1-2</v>
      </c>
      <c r="C80" s="322"/>
    </row>
    <row r="81" spans="1:12" ht="27" customHeight="1" x14ac:dyDescent="0.4">
      <c r="A81" s="109" t="s">
        <v>6</v>
      </c>
      <c r="B81" s="208">
        <f>B28</f>
        <v>99.15</v>
      </c>
    </row>
    <row r="82" spans="1:12" s="14" customFormat="1" ht="27" customHeight="1" x14ac:dyDescent="0.4">
      <c r="A82" s="109" t="s">
        <v>47</v>
      </c>
      <c r="B82" s="111">
        <v>0</v>
      </c>
      <c r="C82" s="301" t="s">
        <v>48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4" t="s">
        <v>109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4" t="s">
        <v>110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7" t="s">
        <v>58</v>
      </c>
      <c r="G89" s="308"/>
    </row>
    <row r="90" spans="1:12" ht="27" customHeight="1" x14ac:dyDescent="0.4">
      <c r="A90" s="124" t="s">
        <v>59</v>
      </c>
      <c r="B90" s="125">
        <v>3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25</v>
      </c>
      <c r="C91" s="213">
        <v>1</v>
      </c>
      <c r="D91" s="132">
        <v>44764212</v>
      </c>
      <c r="E91" s="133">
        <f>IF(ISBLANK(D91),"-",$D$101/$D$98*D91)</f>
        <v>32964948.792737834</v>
      </c>
      <c r="F91" s="132">
        <v>44790829</v>
      </c>
      <c r="G91" s="134">
        <f>IF(ISBLANK(F91),"-",$D$101/$F$98*F91)</f>
        <v>33412706.811544504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44875282</v>
      </c>
      <c r="E92" s="138">
        <f>IF(ISBLANK(D92),"-",$D$101/$D$98*D92)</f>
        <v>33046742.187479362</v>
      </c>
      <c r="F92" s="137">
        <v>44815395</v>
      </c>
      <c r="G92" s="139">
        <f>IF(ISBLANK(F92),"-",$D$101/$F$98*F92)</f>
        <v>33431032.361079041</v>
      </c>
      <c r="I92" s="309">
        <f>ABS((F96/D96*D95)-F95)/D95</f>
        <v>1.2373423780995929E-2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44822801</v>
      </c>
      <c r="E93" s="138">
        <f>IF(ISBLANK(D93),"-",$D$101/$D$98*D93)</f>
        <v>33008094.495488454</v>
      </c>
      <c r="F93" s="137">
        <v>44796804</v>
      </c>
      <c r="G93" s="139">
        <f>IF(ISBLANK(F93),"-",$D$101/$F$98*F93)</f>
        <v>33417163.994580768</v>
      </c>
      <c r="I93" s="309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44820765</v>
      </c>
      <c r="E95" s="148">
        <f>AVERAGE(E91:E94)</f>
        <v>33006595.15856855</v>
      </c>
      <c r="F95" s="218">
        <f>AVERAGE(F91:F94)</f>
        <v>44801009.333333336</v>
      </c>
      <c r="G95" s="219">
        <f>AVERAGE(G91:G94)</f>
        <v>33420301.055734772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20.29</v>
      </c>
      <c r="E96" s="140"/>
      <c r="F96" s="152">
        <v>20.03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20.29</v>
      </c>
      <c r="E97" s="155"/>
      <c r="F97" s="154">
        <f>F96*$B$87</f>
        <v>20.03</v>
      </c>
    </row>
    <row r="98" spans="1:10" ht="19.5" customHeight="1" x14ac:dyDescent="0.3">
      <c r="A98" s="124" t="s">
        <v>74</v>
      </c>
      <c r="B98" s="224">
        <f>(B97/B96)*(B95/B94)*(B93/B92)*(B91/B90)*B89</f>
        <v>833.33333333333337</v>
      </c>
      <c r="C98" s="222" t="s">
        <v>113</v>
      </c>
      <c r="D98" s="225">
        <f>D97*$B$83/100</f>
        <v>20.117535</v>
      </c>
      <c r="E98" s="158"/>
      <c r="F98" s="157">
        <f>F97*$B$83/100</f>
        <v>19.859745000000004</v>
      </c>
    </row>
    <row r="99" spans="1:10" ht="19.5" customHeight="1" x14ac:dyDescent="0.3">
      <c r="A99" s="295" t="s">
        <v>76</v>
      </c>
      <c r="B99" s="310"/>
      <c r="C99" s="222" t="s">
        <v>114</v>
      </c>
      <c r="D99" s="226">
        <f>D98/$B$98</f>
        <v>2.4141041999999998E-2</v>
      </c>
      <c r="E99" s="158"/>
      <c r="F99" s="161">
        <f>F98/$B$98</f>
        <v>2.3831694000000004E-2</v>
      </c>
      <c r="G99" s="227"/>
      <c r="H99" s="150"/>
    </row>
    <row r="100" spans="1:10" ht="19.5" customHeight="1" x14ac:dyDescent="0.3">
      <c r="A100" s="297"/>
      <c r="B100" s="311"/>
      <c r="C100" s="222" t="s">
        <v>78</v>
      </c>
      <c r="D100" s="228">
        <f>$B$56/$B$116</f>
        <v>1.7777777777777778E-2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14.814814814814815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14.814814814814815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33213448.107151661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6.8691773503963957E-3</v>
      </c>
      <c r="F104" s="170"/>
      <c r="G104" s="227"/>
      <c r="H104" s="150"/>
      <c r="J104" s="236"/>
    </row>
    <row r="105" spans="1:10" ht="19.5" customHeight="1" x14ac:dyDescent="0.3">
      <c r="C105" s="202" t="s">
        <v>18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125</v>
      </c>
      <c r="D107" s="240" t="s">
        <v>61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2</v>
      </c>
      <c r="C108" s="243">
        <v>1</v>
      </c>
      <c r="D108" s="244">
        <v>28520724</v>
      </c>
      <c r="E108" s="275">
        <f t="shared" ref="E108:E113" si="1">IF(ISBLANK(D108),"-",D108/$D$103*$D$100*$B$116)</f>
        <v>171.74202394155392</v>
      </c>
      <c r="F108" s="245">
        <f t="shared" ref="F108:F113" si="2">IF(ISBLANK(D108), "-", E108/$B$56)</f>
        <v>0.85871011970776967</v>
      </c>
    </row>
    <row r="109" spans="1:10" ht="26.25" customHeight="1" x14ac:dyDescent="0.4">
      <c r="A109" s="124" t="s">
        <v>93</v>
      </c>
      <c r="B109" s="125">
        <v>25</v>
      </c>
      <c r="C109" s="243">
        <v>2</v>
      </c>
      <c r="D109" s="244">
        <v>30987729</v>
      </c>
      <c r="E109" s="276">
        <f t="shared" si="1"/>
        <v>186.59748244162336</v>
      </c>
      <c r="F109" s="246">
        <f t="shared" si="2"/>
        <v>0.93298741220811676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29947383</v>
      </c>
      <c r="E110" s="276">
        <f t="shared" si="1"/>
        <v>180.33287542675583</v>
      </c>
      <c r="F110" s="246">
        <f t="shared" si="2"/>
        <v>0.90166437713377912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30059563</v>
      </c>
      <c r="E111" s="276">
        <f t="shared" si="1"/>
        <v>181.0083849350616</v>
      </c>
      <c r="F111" s="246">
        <f t="shared" si="2"/>
        <v>0.90504192467530797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29811758</v>
      </c>
      <c r="E112" s="276">
        <f t="shared" si="1"/>
        <v>179.5161881646417</v>
      </c>
      <c r="F112" s="246">
        <f t="shared" si="2"/>
        <v>0.8975809408232085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27660516</v>
      </c>
      <c r="E113" s="277">
        <f t="shared" si="1"/>
        <v>166.56214621717655</v>
      </c>
      <c r="F113" s="249">
        <f t="shared" si="2"/>
        <v>0.83281073108588277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177.62651685446883</v>
      </c>
      <c r="F115" s="252">
        <f>AVERAGE(F108:F113)</f>
        <v>0.88813258427234409</v>
      </c>
      <c r="G115" s="2">
        <v>8</v>
      </c>
    </row>
    <row r="116" spans="1:10" ht="27" customHeight="1" x14ac:dyDescent="0.4">
      <c r="A116" s="124" t="s">
        <v>101</v>
      </c>
      <c r="B116" s="156">
        <f>(B115/B114)*(B113/B112)*(B111/B110)*(B109/B108)*B107</f>
        <v>11250</v>
      </c>
      <c r="C116" s="253"/>
      <c r="D116" s="216" t="s">
        <v>82</v>
      </c>
      <c r="E116" s="254">
        <f>STDEV(E108:E113)/E115</f>
        <v>4.0585909332319856E-2</v>
      </c>
      <c r="F116" s="254">
        <f>STDEV(F108:F113)/F115</f>
        <v>4.0585909332319828E-2</v>
      </c>
      <c r="I116" s="98"/>
    </row>
    <row r="117" spans="1:10" ht="27" customHeight="1" x14ac:dyDescent="0.4">
      <c r="A117" s="295" t="s">
        <v>76</v>
      </c>
      <c r="B117" s="296"/>
      <c r="C117" s="255"/>
      <c r="D117" s="256" t="s">
        <v>18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120</v>
      </c>
      <c r="C120" s="299" t="str">
        <f>B20</f>
        <v>Nevirapine USP</v>
      </c>
      <c r="D120" s="299"/>
      <c r="E120" s="205" t="s">
        <v>121</v>
      </c>
      <c r="F120" s="205"/>
      <c r="G120" s="206">
        <f>F115</f>
        <v>0.88813258427234409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24</v>
      </c>
      <c r="C122" s="300"/>
      <c r="E122" s="211" t="s">
        <v>25</v>
      </c>
      <c r="F122" s="260"/>
      <c r="G122" s="300" t="s">
        <v>26</v>
      </c>
      <c r="H122" s="300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2005-07-05T10:19:27Z</dcterms:created>
  <dcterms:modified xsi:type="dcterms:W3CDTF">2016-02-18T05:40:50Z</dcterms:modified>
</cp:coreProperties>
</file>