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D46" i="4" s="1"/>
  <c r="C46" i="3"/>
  <c r="D50" i="3" s="1"/>
  <c r="C45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35" i="3" l="1"/>
  <c r="D37" i="3"/>
  <c r="D28" i="3"/>
  <c r="D43" i="3"/>
  <c r="D29" i="3"/>
  <c r="D24" i="3"/>
  <c r="D32" i="3"/>
  <c r="D39" i="3"/>
  <c r="D27" i="3"/>
  <c r="D33" i="3"/>
  <c r="D40" i="3"/>
  <c r="D49" i="3"/>
  <c r="D25" i="3"/>
  <c r="D31" i="3"/>
  <c r="D36" i="3"/>
  <c r="D41" i="3"/>
  <c r="C49" i="3"/>
  <c r="I92" i="4"/>
  <c r="D101" i="4"/>
  <c r="G92" i="4" s="1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1" i="4" l="1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1" i="4"/>
  <c r="G65" i="4"/>
  <c r="H65" i="4" s="1"/>
  <c r="D52" i="4"/>
  <c r="E95" i="4"/>
  <c r="D105" i="4"/>
  <c r="D103" i="4"/>
  <c r="G60" i="4" l="1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<sst xmlns="http://schemas.openxmlformats.org/spreadsheetml/2006/main" count="236" uniqueCount="127">
  <si>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</si>
  <si>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</si>
  <si>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</si>
  <si>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</si>
  <si>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</si>
  <si>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</si>
  <si>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</si>
  <si>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</si>
  <si>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</si>
  <si>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</si>
  <si>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</si>
  <si>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</si>
  <si>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</si>
  <si>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</si>
  <si>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</si>
  <si>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</si>
  <si>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</si>
  <si>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</si>
  <si>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</si>
  <si>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</si>
  <si>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</si>
  <si>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</si>
  <si>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</si>
  <si>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</si>
  <si>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</si>
  <si>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</si>
  <si>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</si>
  <si>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</si>
  <si>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</si>
  <si>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</si>
  <si>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</si>
  <si>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</si>
  <si>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</si>
  <si>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</si>
  <si>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</si>
  <si>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</si>
  <si>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</si>
  <si>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</si>
  <si>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</si>
  <si>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</si>
  <si>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</si>
  <si>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</si>
  <si>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</si>
  <si>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</si>
  <si>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</si>
  <si>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</si>
  <si>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</si>
  <si>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</si>
  <si>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</si>
  <si>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</si>
  <si>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</si>
  <si>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</si>
  <si>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</si>
  <si>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</si>
  <si>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</si>
  <si>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</si>
  <si>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</si>
  <si>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</si>
  <si>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</si>
  <si>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</si>
  <si>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</si>
  <si>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</si>
  <si>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</si>
  <si>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</si>
  <si>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</si>
  <si>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</si>
  <si>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</si>
  <si>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</si>
  <si>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</si>
  <si>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</si>
  <si>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</si>
  <si>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</si>
  <si>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</si>
  <si>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</si>
  <si>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</si>
  <si>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</si>
  <si>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</si>
  <si>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</si>
  <si>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</si>
  <si>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</si>
  <si>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</si>
  <si>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</si>
  <si>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</si>
  <si>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</si>
  <si>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</si>
  <si>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</si>
  <si>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</si>
  <si>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</si>
  <si>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</si>
  <si>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</si>
  <si>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</si>
  <si>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</si>
  <si>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</si>
  <si>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</si>
  <si>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</si>
  <si>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</si>
  <si>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</si>
  <si>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</si>
  <si>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</si>
  <si>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</si>
  <si>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</si>
  <si>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</si>
  <si>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</si>
  <si>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</si>
  <si>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</si>
  <si>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</si>
  <si>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</si>
  <si>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</si>
  <si>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</si>
  <si>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</si>
  <si>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</si>
  <si>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</si>
  <si>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</si>
  <si>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</si>
  <si>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</si>
  <si>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</si>
  <si>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</si>
  <si>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</si>
  <si>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</si>
  <si>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</si>
  <si>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</si>
  <si>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</si>
  <si>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</si>
  <si>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</si>
  <si>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NDQB201601704</t>
  </si>
  <si>
    <t>TABLET No.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</si>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</sst>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12" fillId="2" borderId="11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31" zoomScale="60" zoomScaleNormal="100" workbookViewId="0">
      <selection activeCell="C61" sqref="C61: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0">
        <v>42410.661458333336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29499660</v>
      </c>
      <c r="C24" s="18">
        <v>9107.86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29657913</v>
      </c>
      <c r="C25" s="18">
        <v>9047.59</v>
      </c>
      <c r="D25" s="19">
        <v>1.1299999999999999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29636996</v>
      </c>
      <c r="C26" s="18">
        <v>8936.6299999999992</v>
      </c>
      <c r="D26" s="19">
        <v>1.1399999999999999</v>
      </c>
      <c r="E26" s="19">
        <v>9.4600000000000009</v>
      </c>
    </row>
    <row r="27" spans="1:6" ht="16.5" customHeight="1" x14ac:dyDescent="0.3">
      <c r="A27" s="17">
        <v>4</v>
      </c>
      <c r="B27" s="18">
        <v>29616173</v>
      </c>
      <c r="C27" s="18">
        <v>8967.61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29496134</v>
      </c>
      <c r="C28" s="18">
        <v>8998.3799999999992</v>
      </c>
      <c r="D28" s="19">
        <v>1.1399999999999999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29538739</v>
      </c>
      <c r="C29" s="21">
        <v>8973.6299999999992</v>
      </c>
      <c r="D29" s="22">
        <v>1.1299999999999999</v>
      </c>
      <c r="E29" s="22">
        <v>9.4700000000000006</v>
      </c>
    </row>
    <row r="30" spans="1:6" ht="16.5" customHeight="1" x14ac:dyDescent="0.3">
      <c r="A30" s="23" t="s">
        <v>16</v>
      </c>
      <c r="B30" s="24">
        <f>AVERAGE(B24:B29)</f>
        <v>29574269.166666668</v>
      </c>
      <c r="C30" s="25">
        <f>AVERAGE(C24:C29)</f>
        <v>9005.2833333333328</v>
      </c>
      <c r="D30" s="26">
        <f>AVERAGE(D24:D29)</f>
        <v>1.1349999999999998</v>
      </c>
      <c r="E30" s="26">
        <f>AVERAGE(E24:E29)</f>
        <v>9.4649999999999999</v>
      </c>
    </row>
    <row r="31" spans="1:6" ht="16.5" customHeight="1" x14ac:dyDescent="0.3">
      <c r="A31" s="27" t="s">
        <v>17</v>
      </c>
      <c r="B31" s="28">
        <f>(STDEV(B24:B29)/B30)</f>
        <v>2.4204615515426623E-3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79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16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17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24</v>
      </c>
      <c r="C59" s="28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262" t="s">
        <v>126</v>
      </c>
      <c r="D61" s="225"/>
      <c r="E61" s="331">
        <v>42429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29</v>
      </c>
      <c r="B11" s="287"/>
      <c r="C11" s="287"/>
      <c r="D11" s="287"/>
      <c r="E11" s="287"/>
      <c r="F11" s="288"/>
      <c r="G11" s="89"/>
    </row>
    <row r="12" spans="1:7" ht="16.5" customHeight="1" x14ac:dyDescent="0.3">
      <c r="A12" s="285" t="s">
        <v>30</v>
      </c>
      <c r="B12" s="285"/>
      <c r="C12" s="285"/>
      <c r="D12" s="285"/>
      <c r="E12" s="285"/>
      <c r="F12" s="285"/>
      <c r="G12" s="88"/>
    </row>
    <row r="14" spans="1:7" ht="16.5" customHeight="1" x14ac:dyDescent="0.3">
      <c r="A14" s="290" t="s">
        <v>31</v>
      </c>
      <c r="B14" s="290"/>
      <c r="C14" s="60" t="s">
        <v>5</v>
      </c>
    </row>
    <row r="15" spans="1:7" ht="16.5" customHeight="1" x14ac:dyDescent="0.3">
      <c r="A15" s="290" t="s">
        <v>32</v>
      </c>
      <c r="B15" s="290"/>
      <c r="C15" s="60" t="s">
        <v>124</v>
      </c>
    </row>
    <row r="16" spans="1:7" ht="16.5" customHeight="1" x14ac:dyDescent="0.3">
      <c r="A16" s="290" t="s">
        <v>33</v>
      </c>
      <c r="B16" s="290"/>
      <c r="C16" s="60" t="s">
        <v>8</v>
      </c>
    </row>
    <row r="17" spans="1:5" ht="16.5" customHeight="1" x14ac:dyDescent="0.3">
      <c r="A17" s="290" t="s">
        <v>34</v>
      </c>
      <c r="B17" s="290"/>
      <c r="C17" s="60" t="s">
        <v>10</v>
      </c>
    </row>
    <row r="18" spans="1:5" ht="16.5" customHeight="1" x14ac:dyDescent="0.3">
      <c r="A18" s="290" t="s">
        <v>35</v>
      </c>
      <c r="B18" s="290"/>
      <c r="C18" s="95">
        <v>42409.578738425924</v>
      </c>
    </row>
    <row r="19" spans="1:5" ht="16.5" customHeight="1" x14ac:dyDescent="0.3">
      <c r="A19" s="290" t="s">
        <v>36</v>
      </c>
      <c r="B19" s="290"/>
      <c r="C19" s="95" t="e">
        <f>#REF!</f>
        <v>#REF!</v>
      </c>
    </row>
    <row r="20" spans="1:5" ht="16.5" customHeight="1" x14ac:dyDescent="0.3">
      <c r="A20" s="62"/>
      <c r="B20" s="62"/>
      <c r="C20" s="75"/>
    </row>
    <row r="21" spans="1:5" ht="16.5" customHeight="1" x14ac:dyDescent="0.3">
      <c r="A21" s="285" t="s">
        <v>1</v>
      </c>
      <c r="B21" s="285"/>
      <c r="C21" s="59" t="s">
        <v>37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4" t="s">
        <v>38</v>
      </c>
      <c r="D23" s="83" t="s">
        <v>39</v>
      </c>
      <c r="E23" s="52"/>
    </row>
    <row r="24" spans="1:5" ht="15.75" customHeight="1" x14ac:dyDescent="0.3">
      <c r="C24" s="93">
        <v>362.98</v>
      </c>
      <c r="D24" s="85">
        <f t="shared" ref="D24:D43" si="0">(C24-$C$46)/$C$46</f>
        <v>3.3765619881773305E-3</v>
      </c>
      <c r="E24" s="53"/>
    </row>
    <row r="25" spans="1:5" ht="15.75" customHeight="1" x14ac:dyDescent="0.3">
      <c r="C25" s="93">
        <v>364.7</v>
      </c>
      <c r="D25" s="86">
        <f t="shared" si="0"/>
        <v>8.1311150947386713E-3</v>
      </c>
      <c r="E25" s="53"/>
    </row>
    <row r="26" spans="1:5" ht="15.75" customHeight="1" x14ac:dyDescent="0.3">
      <c r="C26" s="93">
        <v>365.41</v>
      </c>
      <c r="D26" s="86">
        <f t="shared" si="0"/>
        <v>1.0093750388726334E-2</v>
      </c>
      <c r="E26" s="53"/>
    </row>
    <row r="27" spans="1:5" ht="15.75" customHeight="1" x14ac:dyDescent="0.3">
      <c r="C27" s="93">
        <v>363.5</v>
      </c>
      <c r="D27" s="86">
        <f t="shared" si="0"/>
        <v>4.8139850203935235E-3</v>
      </c>
      <c r="E27" s="53"/>
    </row>
    <row r="28" spans="1:5" ht="15.75" customHeight="1" x14ac:dyDescent="0.3">
      <c r="C28" s="93">
        <v>362.15</v>
      </c>
      <c r="D28" s="86">
        <f t="shared" si="0"/>
        <v>1.0822136867551357E-3</v>
      </c>
      <c r="E28" s="53"/>
    </row>
    <row r="29" spans="1:5" ht="15.75" customHeight="1" x14ac:dyDescent="0.3">
      <c r="C29" s="93">
        <v>370.5</v>
      </c>
      <c r="D29" s="86">
        <f t="shared" si="0"/>
        <v>2.416391045407373E-2</v>
      </c>
      <c r="E29" s="53"/>
    </row>
    <row r="30" spans="1:5" ht="15.75" customHeight="1" x14ac:dyDescent="0.3">
      <c r="C30" s="93">
        <v>368.85</v>
      </c>
      <c r="D30" s="86">
        <f t="shared" si="0"/>
        <v>1.9602856601849173E-2</v>
      </c>
      <c r="E30" s="53"/>
    </row>
    <row r="31" spans="1:5" ht="15.75" customHeight="1" x14ac:dyDescent="0.3">
      <c r="C31" s="93">
        <v>347.5</v>
      </c>
      <c r="D31" s="86">
        <f t="shared" si="0"/>
        <v>-3.941441597087552E-2</v>
      </c>
      <c r="E31" s="53"/>
    </row>
    <row r="32" spans="1:5" ht="15.75" customHeight="1" x14ac:dyDescent="0.3">
      <c r="C32" s="93">
        <v>362.53</v>
      </c>
      <c r="D32" s="86">
        <f t="shared" si="0"/>
        <v>2.1326382102977628E-3</v>
      </c>
      <c r="E32" s="53"/>
    </row>
    <row r="33" spans="1:7" ht="15.75" customHeight="1" x14ac:dyDescent="0.3">
      <c r="C33" s="93">
        <v>359.96</v>
      </c>
      <c r="D33" s="86">
        <f t="shared" si="0"/>
        <v>-4.9715486989248079E-3</v>
      </c>
      <c r="E33" s="53"/>
    </row>
    <row r="34" spans="1:7" ht="15.75" customHeight="1" x14ac:dyDescent="0.3">
      <c r="C34" s="93">
        <v>355.44</v>
      </c>
      <c r="D34" s="86">
        <f t="shared" si="0"/>
        <v>-1.7466071978958261E-2</v>
      </c>
      <c r="E34" s="53"/>
    </row>
    <row r="35" spans="1:7" ht="15.75" customHeight="1" x14ac:dyDescent="0.3">
      <c r="C35" s="93">
        <v>363.22</v>
      </c>
      <c r="D35" s="86">
        <f t="shared" si="0"/>
        <v>4.0399880030463908E-3</v>
      </c>
      <c r="E35" s="53"/>
    </row>
    <row r="36" spans="1:7" ht="15.75" customHeight="1" x14ac:dyDescent="0.3">
      <c r="C36" s="93">
        <v>364.69</v>
      </c>
      <c r="D36" s="86">
        <f t="shared" si="0"/>
        <v>8.103472344119152E-3</v>
      </c>
      <c r="E36" s="53"/>
    </row>
    <row r="37" spans="1:7" ht="15.75" customHeight="1" x14ac:dyDescent="0.3">
      <c r="C37" s="93">
        <v>368.22</v>
      </c>
      <c r="D37" s="86">
        <f t="shared" si="0"/>
        <v>1.7861363312817968E-2</v>
      </c>
      <c r="E37" s="53"/>
    </row>
    <row r="38" spans="1:7" ht="15.75" customHeight="1" x14ac:dyDescent="0.3">
      <c r="C38" s="93">
        <v>363.49</v>
      </c>
      <c r="D38" s="86">
        <f t="shared" si="0"/>
        <v>4.7863422697740059E-3</v>
      </c>
      <c r="E38" s="53"/>
    </row>
    <row r="39" spans="1:7" ht="15.75" customHeight="1" x14ac:dyDescent="0.3">
      <c r="C39" s="93">
        <v>366.68</v>
      </c>
      <c r="D39" s="86">
        <f t="shared" si="0"/>
        <v>1.3604379717408265E-2</v>
      </c>
      <c r="E39" s="53"/>
    </row>
    <row r="40" spans="1:7" ht="15.75" customHeight="1" x14ac:dyDescent="0.3">
      <c r="C40" s="93">
        <v>357.24</v>
      </c>
      <c r="D40" s="86">
        <f t="shared" si="0"/>
        <v>-1.2490376867440462E-2</v>
      </c>
      <c r="E40" s="53"/>
    </row>
    <row r="41" spans="1:7" ht="15.75" customHeight="1" x14ac:dyDescent="0.3">
      <c r="C41" s="93">
        <v>357.37</v>
      </c>
      <c r="D41" s="86">
        <f t="shared" si="0"/>
        <v>-1.2131021109386415E-2</v>
      </c>
      <c r="E41" s="53"/>
    </row>
    <row r="42" spans="1:7" ht="15.75" customHeight="1" x14ac:dyDescent="0.3">
      <c r="C42" s="93">
        <v>359</v>
      </c>
      <c r="D42" s="86">
        <f t="shared" si="0"/>
        <v>-7.6252527584008941E-3</v>
      </c>
      <c r="E42" s="53"/>
    </row>
    <row r="43" spans="1:7" ht="16.5" customHeight="1" x14ac:dyDescent="0.3">
      <c r="C43" s="94">
        <v>351.74</v>
      </c>
      <c r="D43" s="87">
        <f t="shared" si="0"/>
        <v>-2.7693889708189198E-2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0" t="s">
        <v>40</v>
      </c>
      <c r="C45" s="81">
        <f>SUM(C24:C44)</f>
        <v>7235.1699999999992</v>
      </c>
      <c r="D45" s="76"/>
      <c r="E45" s="54"/>
    </row>
    <row r="46" spans="1:7" ht="17.25" customHeight="1" x14ac:dyDescent="0.3">
      <c r="B46" s="80" t="s">
        <v>41</v>
      </c>
      <c r="C46" s="82">
        <f>AVERAGE(C24:C44)</f>
        <v>361.75849999999997</v>
      </c>
      <c r="E46" s="56"/>
    </row>
    <row r="47" spans="1:7" ht="17.25" customHeight="1" x14ac:dyDescent="0.3">
      <c r="A47" s="60"/>
      <c r="B47" s="77"/>
      <c r="D47" s="58"/>
      <c r="E47" s="56"/>
    </row>
    <row r="48" spans="1:7" ht="33.75" customHeight="1" x14ac:dyDescent="0.3">
      <c r="B48" s="90" t="s">
        <v>41</v>
      </c>
      <c r="C48" s="83" t="s">
        <v>42</v>
      </c>
      <c r="D48" s="78"/>
      <c r="G48" s="58"/>
    </row>
    <row r="49" spans="1:6" ht="17.25" customHeight="1" x14ac:dyDescent="0.3">
      <c r="B49" s="283">
        <f>C46</f>
        <v>361.75849999999997</v>
      </c>
      <c r="C49" s="91">
        <f>-IF(C46&lt;=80,10%,IF(C46&lt;250,7.5%,5%))</f>
        <v>-0.05</v>
      </c>
      <c r="D49" s="79">
        <f>IF(C46&lt;=80,C46*0.9,IF(C46&lt;250,C46*0.925,C46*0.95))</f>
        <v>343.67057499999993</v>
      </c>
    </row>
    <row r="50" spans="1:6" ht="17.25" customHeight="1" x14ac:dyDescent="0.3">
      <c r="B50" s="284"/>
      <c r="C50" s="92">
        <f>IF(C46&lt;=80, 10%, IF(C46&lt;250, 7.5%, 5%))</f>
        <v>0.05</v>
      </c>
      <c r="D50" s="79">
        <f>IF(C46&lt;=80, C46*1.1, IF(C46&lt;250, C46*1.075, C46*1.05))</f>
        <v>379.84642500000001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262" t="s">
        <v>126</v>
      </c>
      <c r="C54" s="225"/>
      <c r="D54" s="331">
        <v>42429</v>
      </c>
      <c r="E54" s="61"/>
      <c r="F5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9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43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44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6"/>
    </row>
    <row r="16" spans="1:9" ht="19.5" customHeight="1" x14ac:dyDescent="0.3">
      <c r="A16" s="292" t="s">
        <v>29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45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98" t="s">
        <v>31</v>
      </c>
      <c r="B18" s="291" t="s">
        <v>5</v>
      </c>
      <c r="C18" s="291"/>
      <c r="D18" s="265"/>
      <c r="E18" s="99"/>
      <c r="F18" s="100"/>
      <c r="G18" s="100"/>
      <c r="H18" s="100"/>
    </row>
    <row r="19" spans="1:14" ht="26.25" customHeight="1" x14ac:dyDescent="0.4">
      <c r="A19" s="98" t="s">
        <v>32</v>
      </c>
      <c r="B19" s="101" t="s">
        <v>124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33</v>
      </c>
      <c r="B20" s="296" t="s">
        <v>8</v>
      </c>
      <c r="C20" s="296"/>
      <c r="D20" s="100"/>
      <c r="E20" s="100"/>
      <c r="F20" s="100"/>
      <c r="G20" s="100"/>
      <c r="H20" s="100"/>
    </row>
    <row r="21" spans="1:14" ht="26.25" customHeight="1" x14ac:dyDescent="0.4">
      <c r="A21" s="98" t="s">
        <v>34</v>
      </c>
      <c r="B21" s="296" t="s">
        <v>10</v>
      </c>
      <c r="C21" s="296"/>
      <c r="D21" s="296"/>
      <c r="E21" s="296"/>
      <c r="F21" s="296"/>
      <c r="G21" s="296"/>
      <c r="H21" s="296"/>
      <c r="I21" s="102"/>
    </row>
    <row r="22" spans="1:14" ht="26.25" customHeight="1" x14ac:dyDescent="0.4">
      <c r="A22" s="98" t="s">
        <v>35</v>
      </c>
      <c r="B22" s="103">
        <v>42410.704305555555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36</v>
      </c>
      <c r="B23" s="103">
        <v>42413.179375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291" t="s">
        <v>122</v>
      </c>
      <c r="C26" s="291"/>
    </row>
    <row r="27" spans="1:14" ht="26.25" customHeight="1" x14ac:dyDescent="0.4">
      <c r="A27" s="107" t="s">
        <v>46</v>
      </c>
      <c r="B27" s="297" t="s">
        <v>123</v>
      </c>
      <c r="C27" s="298"/>
    </row>
    <row r="28" spans="1:14" ht="27" customHeight="1" x14ac:dyDescent="0.4">
      <c r="A28" s="107" t="s">
        <v>6</v>
      </c>
      <c r="B28" s="108">
        <v>99.15</v>
      </c>
    </row>
    <row r="29" spans="1:14" s="14" customFormat="1" ht="27" customHeight="1" x14ac:dyDescent="0.4">
      <c r="A29" s="107" t="s">
        <v>47</v>
      </c>
      <c r="B29" s="109">
        <v>0</v>
      </c>
      <c r="C29" s="299" t="s">
        <v>48</v>
      </c>
      <c r="D29" s="300"/>
      <c r="E29" s="300"/>
      <c r="F29" s="300"/>
      <c r="G29" s="301"/>
      <c r="I29" s="110"/>
      <c r="J29" s="110"/>
      <c r="K29" s="110"/>
      <c r="L29" s="110"/>
    </row>
    <row r="30" spans="1:14" s="14" customFormat="1" ht="19.5" customHeight="1" x14ac:dyDescent="0.3">
      <c r="A30" s="107" t="s">
        <v>49</v>
      </c>
      <c r="B30" s="111">
        <v>99.15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50</v>
      </c>
      <c r="B31" s="114">
        <v>1</v>
      </c>
      <c r="C31" s="302" t="s">
        <v>51</v>
      </c>
      <c r="D31" s="303"/>
      <c r="E31" s="303"/>
      <c r="F31" s="303"/>
      <c r="G31" s="303"/>
      <c r="H31" s="304"/>
      <c r="I31" s="110"/>
      <c r="J31" s="110"/>
      <c r="K31" s="110"/>
      <c r="L31" s="110"/>
    </row>
    <row r="32" spans="1:14" s="14" customFormat="1" ht="27" customHeight="1" x14ac:dyDescent="0.4">
      <c r="A32" s="107" t="s">
        <v>52</v>
      </c>
      <c r="B32" s="114">
        <v>1</v>
      </c>
      <c r="C32" s="302" t="s">
        <v>53</v>
      </c>
      <c r="D32" s="303"/>
      <c r="E32" s="303"/>
      <c r="F32" s="303"/>
      <c r="G32" s="303"/>
      <c r="H32" s="304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54</v>
      </c>
      <c r="B34" s="119">
        <f>B31/B32</f>
        <v>1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56</v>
      </c>
      <c r="B36" s="121">
        <v>100</v>
      </c>
      <c r="C36" s="97"/>
      <c r="D36" s="305" t="s">
        <v>57</v>
      </c>
      <c r="E36" s="306"/>
      <c r="F36" s="305" t="s">
        <v>58</v>
      </c>
      <c r="G36" s="307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59</v>
      </c>
      <c r="B37" s="123">
        <v>4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64</v>
      </c>
      <c r="B38" s="123">
        <v>50</v>
      </c>
      <c r="C38" s="129">
        <v>1</v>
      </c>
      <c r="D38" s="130">
        <v>29732995</v>
      </c>
      <c r="E38" s="131">
        <f>IF(ISBLANK(D38),"-",$D$48/$D$45*D38)</f>
        <v>29617671.19279306</v>
      </c>
      <c r="F38" s="130">
        <v>30519662</v>
      </c>
      <c r="G38" s="132">
        <f>IF(ISBLANK(F38),"-",$D$48/$F$45*F38)</f>
        <v>30567331.753870156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65</v>
      </c>
      <c r="B39" s="123">
        <v>1</v>
      </c>
      <c r="C39" s="134">
        <v>2</v>
      </c>
      <c r="D39" s="135">
        <v>30023303</v>
      </c>
      <c r="E39" s="136">
        <f>IF(ISBLANK(D39),"-",$D$48/$D$45*D39)</f>
        <v>29906853.190389916</v>
      </c>
      <c r="F39" s="135">
        <v>30331778</v>
      </c>
      <c r="G39" s="137">
        <f>IF(ISBLANK(F39),"-",$D$48/$F$45*F39)</f>
        <v>30379154.291116994</v>
      </c>
      <c r="I39" s="309">
        <f>ABS((F43/D43*D42)-F42)/D42</f>
        <v>2.1530190103424104E-2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66</v>
      </c>
      <c r="B40" s="123">
        <v>1</v>
      </c>
      <c r="C40" s="134">
        <v>3</v>
      </c>
      <c r="D40" s="135">
        <v>29504346</v>
      </c>
      <c r="E40" s="136">
        <f>IF(ISBLANK(D40),"-",$D$48/$D$45*D40)</f>
        <v>29389909.041668996</v>
      </c>
      <c r="F40" s="135">
        <v>29846130</v>
      </c>
      <c r="G40" s="137">
        <f>IF(ISBLANK(F40),"-",$D$48/$F$45*F40)</f>
        <v>29892747.740100682</v>
      </c>
      <c r="I40" s="309"/>
      <c r="L40" s="115"/>
      <c r="M40" s="115"/>
      <c r="N40" s="138"/>
    </row>
    <row r="41" spans="1:14" ht="27" customHeight="1" x14ac:dyDescent="0.4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68</v>
      </c>
      <c r="B42" s="123">
        <v>1</v>
      </c>
      <c r="C42" s="144" t="s">
        <v>69</v>
      </c>
      <c r="D42" s="145">
        <f>AVERAGE(D38:D41)</f>
        <v>29753548</v>
      </c>
      <c r="E42" s="146">
        <f>AVERAGE(E38:E41)</f>
        <v>29638144.474950656</v>
      </c>
      <c r="F42" s="145">
        <f>AVERAGE(F38:F41)</f>
        <v>30232523.333333332</v>
      </c>
      <c r="G42" s="147">
        <f>AVERAGE(G38:G41)</f>
        <v>30279744.595029276</v>
      </c>
      <c r="H42" s="148"/>
    </row>
    <row r="43" spans="1:14" ht="26.25" customHeight="1" x14ac:dyDescent="0.4">
      <c r="A43" s="122" t="s">
        <v>70</v>
      </c>
      <c r="B43" s="123">
        <v>1</v>
      </c>
      <c r="C43" s="149" t="s">
        <v>71</v>
      </c>
      <c r="D43" s="150">
        <v>20.25</v>
      </c>
      <c r="E43" s="138"/>
      <c r="F43" s="150">
        <v>20.14</v>
      </c>
      <c r="H43" s="148"/>
    </row>
    <row r="44" spans="1:14" ht="26.25" customHeight="1" x14ac:dyDescent="0.4">
      <c r="A44" s="122" t="s">
        <v>72</v>
      </c>
      <c r="B44" s="123">
        <v>1</v>
      </c>
      <c r="C44" s="151" t="s">
        <v>73</v>
      </c>
      <c r="D44" s="152">
        <f>D43*$B$34</f>
        <v>20.25</v>
      </c>
      <c r="E44" s="153"/>
      <c r="F44" s="152">
        <f>F43*$B$34</f>
        <v>20.14</v>
      </c>
      <c r="H44" s="148"/>
    </row>
    <row r="45" spans="1:14" ht="19.5" customHeight="1" x14ac:dyDescent="0.3">
      <c r="A45" s="122" t="s">
        <v>74</v>
      </c>
      <c r="B45" s="154">
        <f>(B44/B43)*(B42/B41)*(B40/B39)*(B38/B37)*B36</f>
        <v>1250</v>
      </c>
      <c r="C45" s="151" t="s">
        <v>75</v>
      </c>
      <c r="D45" s="155">
        <f>D44*$B$30/100</f>
        <v>20.077875000000002</v>
      </c>
      <c r="E45" s="156"/>
      <c r="F45" s="155">
        <f>F44*$B$30/100</f>
        <v>19.968810000000001</v>
      </c>
      <c r="H45" s="148"/>
    </row>
    <row r="46" spans="1:14" ht="19.5" customHeight="1" x14ac:dyDescent="0.3">
      <c r="A46" s="310" t="s">
        <v>76</v>
      </c>
      <c r="B46" s="311"/>
      <c r="C46" s="151" t="s">
        <v>77</v>
      </c>
      <c r="D46" s="157">
        <f>D45/$B$45</f>
        <v>1.6062300000000002E-2</v>
      </c>
      <c r="E46" s="158"/>
      <c r="F46" s="159">
        <f>F45/$B$45</f>
        <v>1.5975048000000002E-2</v>
      </c>
      <c r="H46" s="148"/>
    </row>
    <row r="47" spans="1:14" ht="27" customHeight="1" x14ac:dyDescent="0.4">
      <c r="A47" s="312"/>
      <c r="B47" s="313"/>
      <c r="C47" s="160" t="s">
        <v>78</v>
      </c>
      <c r="D47" s="161">
        <v>1.6E-2</v>
      </c>
      <c r="E47" s="162"/>
      <c r="F47" s="158"/>
      <c r="H47" s="148"/>
    </row>
    <row r="48" spans="1:14" ht="18.75" x14ac:dyDescent="0.3">
      <c r="C48" s="163" t="s">
        <v>79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80</v>
      </c>
      <c r="D49" s="166">
        <f>D48/B34</f>
        <v>20</v>
      </c>
      <c r="F49" s="164"/>
      <c r="H49" s="148"/>
    </row>
    <row r="50" spans="1:12" ht="18.75" x14ac:dyDescent="0.3">
      <c r="C50" s="120" t="s">
        <v>81</v>
      </c>
      <c r="D50" s="167">
        <f>AVERAGE(E38:E41,G38:G41)</f>
        <v>29958944.534989968</v>
      </c>
      <c r="F50" s="168"/>
      <c r="H50" s="148"/>
    </row>
    <row r="51" spans="1:12" ht="18.75" x14ac:dyDescent="0.3">
      <c r="C51" s="122" t="s">
        <v>82</v>
      </c>
      <c r="D51" s="169">
        <f>STDEV(E38:E41,G38:G41)/D50</f>
        <v>1.4883264793791892E-2</v>
      </c>
      <c r="F51" s="168"/>
      <c r="H51" s="148"/>
    </row>
    <row r="52" spans="1:12" ht="19.5" customHeight="1" x14ac:dyDescent="0.3">
      <c r="C52" s="170" t="s">
        <v>18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83</v>
      </c>
    </row>
    <row r="55" spans="1:12" ht="18.75" x14ac:dyDescent="0.3">
      <c r="A55" s="97" t="s">
        <v>84</v>
      </c>
      <c r="B55" s="174" t="str">
        <f>B21</f>
        <v xml:space="preserve">Nevirapine USP 200mg </v>
      </c>
    </row>
    <row r="56" spans="1:12" ht="26.25" customHeight="1" x14ac:dyDescent="0.4">
      <c r="A56" s="175" t="s">
        <v>85</v>
      </c>
      <c r="B56" s="176">
        <v>200</v>
      </c>
      <c r="C56" s="97" t="str">
        <f>B20</f>
        <v>Nevirapine USP</v>
      </c>
      <c r="H56" s="177"/>
    </row>
    <row r="57" spans="1:12" ht="18.75" x14ac:dyDescent="0.3">
      <c r="A57" s="174" t="s">
        <v>86</v>
      </c>
      <c r="B57" s="266">
        <f>Uniformity!C46</f>
        <v>361.75849999999997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87</v>
      </c>
      <c r="B59" s="121">
        <v>100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4" customFormat="1" ht="26.25" customHeight="1" x14ac:dyDescent="0.4">
      <c r="A60" s="122" t="s">
        <v>91</v>
      </c>
      <c r="B60" s="123">
        <v>4</v>
      </c>
      <c r="C60" s="314" t="s">
        <v>92</v>
      </c>
      <c r="D60" s="317">
        <v>363.95</v>
      </c>
      <c r="E60" s="180">
        <v>1</v>
      </c>
      <c r="F60" s="181">
        <v>35927382</v>
      </c>
      <c r="G60" s="267">
        <f>IF(ISBLANK(F60),"-",(F60/$D$50*$D$47*$B$68)*($B$57/$D$60))</f>
        <v>198.66658791475064</v>
      </c>
      <c r="H60" s="182">
        <f t="shared" ref="H60:H71" si="0">IF(ISBLANK(F60),"-",G60/$B$56)</f>
        <v>0.99333293957375313</v>
      </c>
      <c r="L60" s="110"/>
    </row>
    <row r="61" spans="1:12" s="14" customFormat="1" ht="26.25" customHeight="1" x14ac:dyDescent="0.4">
      <c r="A61" s="122" t="s">
        <v>93</v>
      </c>
      <c r="B61" s="123">
        <v>50</v>
      </c>
      <c r="C61" s="315"/>
      <c r="D61" s="318"/>
      <c r="E61" s="183">
        <v>2</v>
      </c>
      <c r="F61" s="135">
        <v>35935778</v>
      </c>
      <c r="G61" s="268">
        <f>IF(ISBLANK(F61),"-",(F61/$D$50*$D$47*$B$68)*($B$57/$D$60))</f>
        <v>198.7130150290929</v>
      </c>
      <c r="H61" s="184">
        <f t="shared" si="0"/>
        <v>0.99356507514546455</v>
      </c>
      <c r="L61" s="110"/>
    </row>
    <row r="62" spans="1:12" s="14" customFormat="1" ht="26.25" customHeight="1" x14ac:dyDescent="0.4">
      <c r="A62" s="122" t="s">
        <v>94</v>
      </c>
      <c r="B62" s="123">
        <v>3</v>
      </c>
      <c r="C62" s="315"/>
      <c r="D62" s="318"/>
      <c r="E62" s="183">
        <v>3</v>
      </c>
      <c r="F62" s="185">
        <v>36012397</v>
      </c>
      <c r="G62" s="268">
        <f>IF(ISBLANK(F62),"-",(F62/$D$50*$D$47*$B$68)*($B$57/$D$60))</f>
        <v>199.13669286065439</v>
      </c>
      <c r="H62" s="184">
        <f t="shared" si="0"/>
        <v>0.99568346430327193</v>
      </c>
      <c r="L62" s="110"/>
    </row>
    <row r="63" spans="1:12" ht="27" customHeight="1" x14ac:dyDescent="0.4">
      <c r="A63" s="122" t="s">
        <v>95</v>
      </c>
      <c r="B63" s="123">
        <v>25</v>
      </c>
      <c r="C63" s="316"/>
      <c r="D63" s="319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96</v>
      </c>
      <c r="B64" s="123">
        <v>1</v>
      </c>
      <c r="C64" s="314" t="s">
        <v>97</v>
      </c>
      <c r="D64" s="317">
        <v>366.38</v>
      </c>
      <c r="E64" s="180">
        <v>1</v>
      </c>
      <c r="F64" s="181">
        <v>36461516</v>
      </c>
      <c r="G64" s="269">
        <f>IF(ISBLANK(F64),"-",(F64/$D$50*$D$47*$B$68)*($B$57/$D$64))</f>
        <v>200.28293563983678</v>
      </c>
      <c r="H64" s="188">
        <f t="shared" si="0"/>
        <v>1.0014146781991839</v>
      </c>
    </row>
    <row r="65" spans="1:8" ht="26.25" customHeight="1" x14ac:dyDescent="0.4">
      <c r="A65" s="122" t="s">
        <v>98</v>
      </c>
      <c r="B65" s="123">
        <v>1</v>
      </c>
      <c r="C65" s="315"/>
      <c r="D65" s="318"/>
      <c r="E65" s="183">
        <v>2</v>
      </c>
      <c r="F65" s="135">
        <v>36467562</v>
      </c>
      <c r="G65" s="270">
        <f>IF(ISBLANK(F65),"-",(F65/$D$50*$D$47*$B$68)*($B$57/$D$64))</f>
        <v>200.31614628935779</v>
      </c>
      <c r="H65" s="189">
        <f t="shared" si="0"/>
        <v>1.0015807314467891</v>
      </c>
    </row>
    <row r="66" spans="1:8" ht="26.25" customHeight="1" x14ac:dyDescent="0.4">
      <c r="A66" s="122" t="s">
        <v>99</v>
      </c>
      <c r="B66" s="123">
        <v>1</v>
      </c>
      <c r="C66" s="315"/>
      <c r="D66" s="318"/>
      <c r="E66" s="183">
        <v>3</v>
      </c>
      <c r="F66" s="135">
        <v>36544377</v>
      </c>
      <c r="G66" s="270">
        <f>IF(ISBLANK(F66),"-",(F66/$D$50*$D$47*$B$68)*($B$57/$D$64))</f>
        <v>200.73809072252874</v>
      </c>
      <c r="H66" s="189">
        <f t="shared" si="0"/>
        <v>1.0036904536126436</v>
      </c>
    </row>
    <row r="67" spans="1:8" ht="27" customHeight="1" x14ac:dyDescent="0.4">
      <c r="A67" s="122" t="s">
        <v>100</v>
      </c>
      <c r="B67" s="123">
        <v>1</v>
      </c>
      <c r="C67" s="316"/>
      <c r="D67" s="319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101</v>
      </c>
      <c r="B68" s="191">
        <f>(B67/B66)*(B65/B64)*(B63/B62)*(B61/B60)*B59</f>
        <v>10416.666666666668</v>
      </c>
      <c r="C68" s="314" t="s">
        <v>102</v>
      </c>
      <c r="D68" s="317">
        <v>361.14</v>
      </c>
      <c r="E68" s="180">
        <v>1</v>
      </c>
      <c r="F68" s="181">
        <v>36113145</v>
      </c>
      <c r="G68" s="269">
        <f>IF(ISBLANK(F68),"-",(F68/$D$50*$D$47*$B$68)*($B$57/$D$68))</f>
        <v>201.24759676501941</v>
      </c>
      <c r="H68" s="184">
        <f t="shared" si="0"/>
        <v>1.006237983825097</v>
      </c>
    </row>
    <row r="69" spans="1:8" ht="27" customHeight="1" x14ac:dyDescent="0.4">
      <c r="A69" s="170" t="s">
        <v>103</v>
      </c>
      <c r="B69" s="192">
        <f>(D47*B68)/B56*B57</f>
        <v>301.46541666666667</v>
      </c>
      <c r="C69" s="315"/>
      <c r="D69" s="318"/>
      <c r="E69" s="183">
        <v>2</v>
      </c>
      <c r="F69" s="135">
        <v>35929697</v>
      </c>
      <c r="G69" s="270">
        <f>IF(ISBLANK(F69),"-",(F69/$D$50*$D$47*$B$68)*($B$57/$D$68))</f>
        <v>200.22529673738816</v>
      </c>
      <c r="H69" s="184">
        <f t="shared" si="0"/>
        <v>1.0011264836869409</v>
      </c>
    </row>
    <row r="70" spans="1:8" ht="26.25" customHeight="1" x14ac:dyDescent="0.4">
      <c r="A70" s="327" t="s">
        <v>76</v>
      </c>
      <c r="B70" s="328"/>
      <c r="C70" s="315"/>
      <c r="D70" s="318"/>
      <c r="E70" s="183">
        <v>3</v>
      </c>
      <c r="F70" s="135">
        <v>36071895</v>
      </c>
      <c r="G70" s="270">
        <f>IF(ISBLANK(F70),"-",(F70/$D$50*$D$47*$B$68)*($B$57/$D$68))</f>
        <v>201.01772303437204</v>
      </c>
      <c r="H70" s="184">
        <f t="shared" si="0"/>
        <v>1.0050886151718601</v>
      </c>
    </row>
    <row r="71" spans="1:8" ht="27" customHeight="1" x14ac:dyDescent="0.4">
      <c r="A71" s="329"/>
      <c r="B71" s="330"/>
      <c r="C71" s="326"/>
      <c r="D71" s="319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69</v>
      </c>
      <c r="G72" s="276">
        <f>AVERAGE(G60:G71)</f>
        <v>200.03823166588896</v>
      </c>
      <c r="H72" s="197">
        <f>AVERAGE(H60:H71)</f>
        <v>1.0001911583294449</v>
      </c>
    </row>
    <row r="73" spans="1:8" ht="26.25" customHeight="1" x14ac:dyDescent="0.4">
      <c r="C73" s="194"/>
      <c r="D73" s="194"/>
      <c r="E73" s="194"/>
      <c r="F73" s="198" t="s">
        <v>82</v>
      </c>
      <c r="G73" s="272">
        <f>STDEV(G60:G71)/G72</f>
        <v>4.8513458770921758E-3</v>
      </c>
      <c r="H73" s="272">
        <f>STDEV(H60:H71)/H72</f>
        <v>4.8513458770921636E-3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18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104</v>
      </c>
      <c r="B76" s="202" t="s">
        <v>105</v>
      </c>
      <c r="C76" s="322" t="str">
        <f>B20</f>
        <v>Nevirapine USP</v>
      </c>
      <c r="D76" s="322"/>
      <c r="E76" s="203" t="s">
        <v>106</v>
      </c>
      <c r="F76" s="203"/>
      <c r="G76" s="204">
        <f>H72</f>
        <v>1.0001911583294449</v>
      </c>
      <c r="H76" s="205"/>
    </row>
    <row r="77" spans="1:8" ht="18.75" x14ac:dyDescent="0.3">
      <c r="A77" s="105" t="s">
        <v>107</v>
      </c>
      <c r="B77" s="105" t="s">
        <v>108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08" t="str">
        <f>B26</f>
        <v>Nevirapine</v>
      </c>
      <c r="C79" s="308"/>
    </row>
    <row r="80" spans="1:8" ht="26.25" customHeight="1" x14ac:dyDescent="0.4">
      <c r="A80" s="107" t="s">
        <v>46</v>
      </c>
      <c r="B80" s="308" t="str">
        <f>B27</f>
        <v>N1-2</v>
      </c>
      <c r="C80" s="308"/>
    </row>
    <row r="81" spans="1:12" ht="27" customHeight="1" x14ac:dyDescent="0.4">
      <c r="A81" s="107" t="s">
        <v>6</v>
      </c>
      <c r="B81" s="206">
        <f>B28</f>
        <v>99.15</v>
      </c>
    </row>
    <row r="82" spans="1:12" s="14" customFormat="1" ht="27" customHeight="1" x14ac:dyDescent="0.4">
      <c r="A82" s="107" t="s">
        <v>47</v>
      </c>
      <c r="B82" s="109">
        <v>0</v>
      </c>
      <c r="C82" s="299" t="s">
        <v>48</v>
      </c>
      <c r="D82" s="300"/>
      <c r="E82" s="300"/>
      <c r="F82" s="300"/>
      <c r="G82" s="301"/>
      <c r="I82" s="110"/>
      <c r="J82" s="110"/>
      <c r="K82" s="110"/>
      <c r="L82" s="110"/>
    </row>
    <row r="83" spans="1:12" s="14" customFormat="1" ht="19.5" customHeight="1" x14ac:dyDescent="0.3">
      <c r="A83" s="107" t="s">
        <v>49</v>
      </c>
      <c r="B83" s="111">
        <f>B81-B82</f>
        <v>99.15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50</v>
      </c>
      <c r="B84" s="114">
        <v>1</v>
      </c>
      <c r="C84" s="302" t="s">
        <v>109</v>
      </c>
      <c r="D84" s="303"/>
      <c r="E84" s="303"/>
      <c r="F84" s="303"/>
      <c r="G84" s="303"/>
      <c r="H84" s="304"/>
      <c r="I84" s="110"/>
      <c r="J84" s="110"/>
      <c r="K84" s="110"/>
      <c r="L84" s="110"/>
    </row>
    <row r="85" spans="1:12" s="14" customFormat="1" ht="27" customHeight="1" x14ac:dyDescent="0.4">
      <c r="A85" s="107" t="s">
        <v>52</v>
      </c>
      <c r="B85" s="114">
        <v>1</v>
      </c>
      <c r="C85" s="302" t="s">
        <v>110</v>
      </c>
      <c r="D85" s="303"/>
      <c r="E85" s="303"/>
      <c r="F85" s="303"/>
      <c r="G85" s="303"/>
      <c r="H85" s="304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54</v>
      </c>
      <c r="B87" s="119">
        <f>B84/B85</f>
        <v>1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56</v>
      </c>
      <c r="B89" s="121">
        <v>100</v>
      </c>
      <c r="D89" s="207" t="s">
        <v>57</v>
      </c>
      <c r="E89" s="208"/>
      <c r="F89" s="305" t="s">
        <v>58</v>
      </c>
      <c r="G89" s="307"/>
    </row>
    <row r="90" spans="1:12" ht="27" customHeight="1" x14ac:dyDescent="0.4">
      <c r="A90" s="122" t="s">
        <v>59</v>
      </c>
      <c r="B90" s="123">
        <v>3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 x14ac:dyDescent="0.4">
      <c r="A91" s="122" t="s">
        <v>64</v>
      </c>
      <c r="B91" s="123">
        <v>25</v>
      </c>
      <c r="C91" s="211">
        <v>1</v>
      </c>
      <c r="D91" s="130">
        <v>44764212</v>
      </c>
      <c r="E91" s="131">
        <f>IF(ISBLANK(D91),"-",$D$101/$D$98*D91)</f>
        <v>32964948.792737834</v>
      </c>
      <c r="F91" s="130">
        <v>44790829</v>
      </c>
      <c r="G91" s="132">
        <f>IF(ISBLANK(F91),"-",$D$101/$F$98*F91)</f>
        <v>33412706.811544504</v>
      </c>
      <c r="I91" s="133"/>
    </row>
    <row r="92" spans="1:12" ht="26.25" customHeight="1" x14ac:dyDescent="0.4">
      <c r="A92" s="122" t="s">
        <v>65</v>
      </c>
      <c r="B92" s="123">
        <v>1</v>
      </c>
      <c r="C92" s="195">
        <v>2</v>
      </c>
      <c r="D92" s="135">
        <v>44875282</v>
      </c>
      <c r="E92" s="136">
        <f>IF(ISBLANK(D92),"-",$D$101/$D$98*D92)</f>
        <v>33046742.187479362</v>
      </c>
      <c r="F92" s="135">
        <v>44815395</v>
      </c>
      <c r="G92" s="137">
        <f>IF(ISBLANK(F92),"-",$D$101/$F$98*F92)</f>
        <v>33431032.361079041</v>
      </c>
      <c r="I92" s="309">
        <f>ABS((F96/D96*D95)-F95)/D95</f>
        <v>1.2373423780995929E-2</v>
      </c>
    </row>
    <row r="93" spans="1:12" ht="26.25" customHeight="1" x14ac:dyDescent="0.4">
      <c r="A93" s="122" t="s">
        <v>66</v>
      </c>
      <c r="B93" s="123">
        <v>1</v>
      </c>
      <c r="C93" s="195">
        <v>3</v>
      </c>
      <c r="D93" s="135">
        <v>44822801</v>
      </c>
      <c r="E93" s="136">
        <f>IF(ISBLANK(D93),"-",$D$101/$D$98*D93)</f>
        <v>33008094.495488454</v>
      </c>
      <c r="F93" s="135">
        <v>44796804</v>
      </c>
      <c r="G93" s="137">
        <f>IF(ISBLANK(F93),"-",$D$101/$F$98*F93)</f>
        <v>33417163.994580768</v>
      </c>
      <c r="I93" s="309"/>
    </row>
    <row r="94" spans="1:12" ht="27" customHeight="1" x14ac:dyDescent="0.4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68</v>
      </c>
      <c r="B95" s="123">
        <v>1</v>
      </c>
      <c r="C95" s="214" t="s">
        <v>69</v>
      </c>
      <c r="D95" s="215">
        <f>AVERAGE(D91:D94)</f>
        <v>44820765</v>
      </c>
      <c r="E95" s="146">
        <f>AVERAGE(E91:E94)</f>
        <v>33006595.15856855</v>
      </c>
      <c r="F95" s="216">
        <f>AVERAGE(F91:F94)</f>
        <v>44801009.333333336</v>
      </c>
      <c r="G95" s="217">
        <f>AVERAGE(G91:G94)</f>
        <v>33420301.055734772</v>
      </c>
    </row>
    <row r="96" spans="1:12" ht="26.25" customHeight="1" x14ac:dyDescent="0.4">
      <c r="A96" s="122" t="s">
        <v>70</v>
      </c>
      <c r="B96" s="108">
        <v>1</v>
      </c>
      <c r="C96" s="218" t="s">
        <v>111</v>
      </c>
      <c r="D96" s="219">
        <v>20.29</v>
      </c>
      <c r="E96" s="138"/>
      <c r="F96" s="150">
        <v>20.03</v>
      </c>
    </row>
    <row r="97" spans="1:10" ht="26.25" customHeight="1" x14ac:dyDescent="0.4">
      <c r="A97" s="122" t="s">
        <v>72</v>
      </c>
      <c r="B97" s="108">
        <v>1</v>
      </c>
      <c r="C97" s="220" t="s">
        <v>112</v>
      </c>
      <c r="D97" s="221">
        <f>D96*$B$87</f>
        <v>20.29</v>
      </c>
      <c r="E97" s="153"/>
      <c r="F97" s="152">
        <f>F96*$B$87</f>
        <v>20.03</v>
      </c>
    </row>
    <row r="98" spans="1:10" ht="19.5" customHeight="1" x14ac:dyDescent="0.3">
      <c r="A98" s="122" t="s">
        <v>74</v>
      </c>
      <c r="B98" s="222">
        <f>(B97/B96)*(B95/B94)*(B93/B92)*(B91/B90)*B89</f>
        <v>833.33333333333337</v>
      </c>
      <c r="C98" s="220" t="s">
        <v>113</v>
      </c>
      <c r="D98" s="223">
        <f>D97*$B$83/100</f>
        <v>20.117535</v>
      </c>
      <c r="E98" s="156"/>
      <c r="F98" s="155">
        <f>F97*$B$83/100</f>
        <v>19.859745000000004</v>
      </c>
    </row>
    <row r="99" spans="1:10" ht="19.5" customHeight="1" x14ac:dyDescent="0.3">
      <c r="A99" s="310" t="s">
        <v>76</v>
      </c>
      <c r="B99" s="324"/>
      <c r="C99" s="220" t="s">
        <v>114</v>
      </c>
      <c r="D99" s="224">
        <f>D98/$B$98</f>
        <v>2.4141041999999998E-2</v>
      </c>
      <c r="E99" s="156"/>
      <c r="F99" s="159">
        <f>F98/$B$98</f>
        <v>2.3831694000000004E-2</v>
      </c>
      <c r="G99" s="225"/>
      <c r="H99" s="148"/>
    </row>
    <row r="100" spans="1:10" ht="19.5" customHeight="1" x14ac:dyDescent="0.3">
      <c r="A100" s="312"/>
      <c r="B100" s="325"/>
      <c r="C100" s="220" t="s">
        <v>78</v>
      </c>
      <c r="D100" s="226">
        <f>$B$56/$B$116</f>
        <v>1.7777777777777778E-2</v>
      </c>
      <c r="F100" s="164"/>
      <c r="G100" s="227"/>
      <c r="H100" s="148"/>
    </row>
    <row r="101" spans="1:10" ht="18.75" x14ac:dyDescent="0.3">
      <c r="C101" s="220" t="s">
        <v>79</v>
      </c>
      <c r="D101" s="221">
        <f>D100*$B$98</f>
        <v>14.814814814814815</v>
      </c>
      <c r="F101" s="164"/>
      <c r="G101" s="225"/>
      <c r="H101" s="148"/>
    </row>
    <row r="102" spans="1:10" ht="19.5" customHeight="1" x14ac:dyDescent="0.3">
      <c r="C102" s="228" t="s">
        <v>80</v>
      </c>
      <c r="D102" s="229">
        <f>D101/B34</f>
        <v>14.814814814814815</v>
      </c>
      <c r="F102" s="168"/>
      <c r="G102" s="225"/>
      <c r="H102" s="148"/>
      <c r="J102" s="230"/>
    </row>
    <row r="103" spans="1:10" ht="18.75" x14ac:dyDescent="0.3">
      <c r="C103" s="231" t="s">
        <v>115</v>
      </c>
      <c r="D103" s="232">
        <f>AVERAGE(E91:E94,G91:G94)</f>
        <v>33213448.107151661</v>
      </c>
      <c r="F103" s="168"/>
      <c r="G103" s="233"/>
      <c r="H103" s="148"/>
      <c r="J103" s="234"/>
    </row>
    <row r="104" spans="1:10" ht="18.75" x14ac:dyDescent="0.3">
      <c r="C104" s="198" t="s">
        <v>82</v>
      </c>
      <c r="D104" s="235">
        <f>STDEV(E91:E94,G91:G94)/D103</f>
        <v>6.8691773503963957E-3</v>
      </c>
      <c r="F104" s="168"/>
      <c r="G104" s="225"/>
      <c r="H104" s="148"/>
      <c r="J104" s="234"/>
    </row>
    <row r="105" spans="1:10" ht="19.5" customHeight="1" x14ac:dyDescent="0.3">
      <c r="C105" s="200" t="s">
        <v>18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116</v>
      </c>
      <c r="B107" s="121">
        <v>900</v>
      </c>
      <c r="C107" s="237" t="s">
        <v>125</v>
      </c>
      <c r="D107" s="238" t="s">
        <v>61</v>
      </c>
      <c r="E107" s="239" t="s">
        <v>117</v>
      </c>
      <c r="F107" s="240" t="s">
        <v>118</v>
      </c>
    </row>
    <row r="108" spans="1:10" ht="26.25" customHeight="1" x14ac:dyDescent="0.4">
      <c r="A108" s="122" t="s">
        <v>119</v>
      </c>
      <c r="B108" s="123">
        <v>2</v>
      </c>
      <c r="C108" s="241">
        <v>1</v>
      </c>
      <c r="D108" s="242">
        <v>32880289</v>
      </c>
      <c r="E108" s="273">
        <f t="shared" ref="E108:E113" si="1">IF(ISBLANK(D108),"-",D108/$D$103*$D$100*$B$116)</f>
        <v>197.99383005295419</v>
      </c>
      <c r="F108" s="243">
        <f t="shared" ref="F108:F113" si="2">IF(ISBLANK(D108), "-", E108/$B$56)</f>
        <v>0.98996915026477095</v>
      </c>
    </row>
    <row r="109" spans="1:10" ht="26.25" customHeight="1" x14ac:dyDescent="0.4">
      <c r="A109" s="122" t="s">
        <v>93</v>
      </c>
      <c r="B109" s="123">
        <v>25</v>
      </c>
      <c r="C109" s="241">
        <v>2</v>
      </c>
      <c r="D109" s="242">
        <v>31895986</v>
      </c>
      <c r="E109" s="274">
        <f t="shared" si="1"/>
        <v>192.06669477434966</v>
      </c>
      <c r="F109" s="244">
        <f t="shared" si="2"/>
        <v>0.96033347387174828</v>
      </c>
    </row>
    <row r="110" spans="1:10" ht="26.25" customHeight="1" x14ac:dyDescent="0.4">
      <c r="A110" s="122" t="s">
        <v>94</v>
      </c>
      <c r="B110" s="123">
        <v>1</v>
      </c>
      <c r="C110" s="241">
        <v>3</v>
      </c>
      <c r="D110" s="242">
        <v>31721426</v>
      </c>
      <c r="E110" s="274">
        <f t="shared" si="1"/>
        <v>191.01555428790067</v>
      </c>
      <c r="F110" s="244">
        <f t="shared" si="2"/>
        <v>0.95507777143950334</v>
      </c>
    </row>
    <row r="111" spans="1:10" ht="26.25" customHeight="1" x14ac:dyDescent="0.4">
      <c r="A111" s="122" t="s">
        <v>95</v>
      </c>
      <c r="B111" s="123">
        <v>1</v>
      </c>
      <c r="C111" s="241">
        <v>4</v>
      </c>
      <c r="D111" s="242">
        <v>31430870</v>
      </c>
      <c r="E111" s="274">
        <f t="shared" si="1"/>
        <v>189.26592564914793</v>
      </c>
      <c r="F111" s="244">
        <f t="shared" si="2"/>
        <v>0.94632962824573963</v>
      </c>
    </row>
    <row r="112" spans="1:10" ht="26.25" customHeight="1" x14ac:dyDescent="0.4">
      <c r="A112" s="122" t="s">
        <v>96</v>
      </c>
      <c r="B112" s="123">
        <v>1</v>
      </c>
      <c r="C112" s="241">
        <v>5</v>
      </c>
      <c r="D112" s="242">
        <v>32203550</v>
      </c>
      <c r="E112" s="274">
        <f t="shared" si="1"/>
        <v>193.9187397593073</v>
      </c>
      <c r="F112" s="244">
        <f t="shared" si="2"/>
        <v>0.96959369879653645</v>
      </c>
    </row>
    <row r="113" spans="1:10" ht="26.25" customHeight="1" x14ac:dyDescent="0.4">
      <c r="A113" s="122" t="s">
        <v>98</v>
      </c>
      <c r="B113" s="123">
        <v>1</v>
      </c>
      <c r="C113" s="245">
        <v>6</v>
      </c>
      <c r="D113" s="246">
        <v>31844777</v>
      </c>
      <c r="E113" s="275">
        <f t="shared" si="1"/>
        <v>191.75833172914707</v>
      </c>
      <c r="F113" s="247">
        <f t="shared" si="2"/>
        <v>0.95879165864573535</v>
      </c>
    </row>
    <row r="114" spans="1:10" ht="26.25" customHeight="1" x14ac:dyDescent="0.4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100</v>
      </c>
      <c r="B115" s="123">
        <v>1</v>
      </c>
      <c r="C115" s="241"/>
      <c r="D115" s="249" t="s">
        <v>69</v>
      </c>
      <c r="E115" s="277">
        <f>AVERAGE(E108:E113)</f>
        <v>192.66984604213448</v>
      </c>
      <c r="F115" s="250">
        <f>AVERAGE(F108:F113)</f>
        <v>0.96334923021067231</v>
      </c>
    </row>
    <row r="116" spans="1:10" ht="27" customHeight="1" x14ac:dyDescent="0.4">
      <c r="A116" s="122" t="s">
        <v>101</v>
      </c>
      <c r="B116" s="154">
        <f>(B115/B114)*(B113/B112)*(B111/B110)*(B109/B108)*B107</f>
        <v>11250</v>
      </c>
      <c r="C116" s="251"/>
      <c r="D116" s="214" t="s">
        <v>82</v>
      </c>
      <c r="E116" s="252">
        <f>STDEV(E108:E113)/E115</f>
        <v>1.5643610192481231E-2</v>
      </c>
      <c r="F116" s="252">
        <f>STDEV(F108:F113)/F115</f>
        <v>1.5643610192481224E-2</v>
      </c>
      <c r="I116" s="96"/>
    </row>
    <row r="117" spans="1:10" ht="27" customHeight="1" x14ac:dyDescent="0.4">
      <c r="A117" s="310" t="s">
        <v>76</v>
      </c>
      <c r="B117" s="311"/>
      <c r="C117" s="253"/>
      <c r="D117" s="254" t="s">
        <v>18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312"/>
      <c r="B118" s="313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104</v>
      </c>
      <c r="B120" s="202" t="s">
        <v>120</v>
      </c>
      <c r="C120" s="322" t="str">
        <f>B20</f>
        <v>Nevirapine USP</v>
      </c>
      <c r="D120" s="322"/>
      <c r="E120" s="203" t="s">
        <v>121</v>
      </c>
      <c r="F120" s="203"/>
      <c r="G120" s="204">
        <f>F115</f>
        <v>0.96334923021067231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23" t="s">
        <v>24</v>
      </c>
      <c r="C122" s="323"/>
      <c r="E122" s="209" t="s">
        <v>25</v>
      </c>
      <c r="F122" s="258"/>
      <c r="G122" s="323" t="s">
        <v>26</v>
      </c>
      <c r="H122" s="323"/>
    </row>
    <row r="123" spans="1:10" ht="69.95" customHeight="1" x14ac:dyDescent="0.3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28</v>
      </c>
      <c r="B124" s="262"/>
      <c r="C124" s="262" t="s">
        <v>126</v>
      </c>
      <c r="E124" s="331">
        <v>42429</v>
      </c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18465909090909091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2016-02-29T09:10:34Z</cp:lastPrinted>
  <dcterms:created xsi:type="dcterms:W3CDTF">2005-07-05T10:19:27Z</dcterms:created>
  <dcterms:modified xsi:type="dcterms:W3CDTF">2016-02-29T09:35:37Z</dcterms:modified>
</cp:coreProperties>
</file>