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615" windowWidth="20730" windowHeight="10680" activeTab="5"/>
  </bookViews>
  <sheets>
    <sheet name="SST" sheetId="1" r:id="rId1"/>
    <sheet name="Uniformity" sheetId="2" r:id="rId2"/>
    <sheet name="ritonavir" sheetId="4" r:id="rId3"/>
    <sheet name="Atazanavir S2" sheetId="5" r:id="rId4"/>
    <sheet name=" RITONAVIR 2" sheetId="6" r:id="rId5"/>
    <sheet name="ATAZANAVIR 2" sheetId="7" r:id="rId6"/>
    <sheet name="SST 2" sheetId="8" r:id="rId7"/>
  </sheets>
  <externalReferences>
    <externalReference r:id="rId8"/>
  </externalReferences>
  <definedNames>
    <definedName name="_xlnm.Print_Area" localSheetId="4">' RITONAVIR 2'!$A$1:$H$148</definedName>
    <definedName name="_xlnm.Print_Area" localSheetId="3">'Atazanavir S2'!$A$1:$H$173</definedName>
    <definedName name="_xlnm.Print_Area" localSheetId="2">ritonavir!$A$1:$H$125</definedName>
    <definedName name="_xlnm.Print_Area" localSheetId="0">SST!$A$1:$G$80</definedName>
    <definedName name="_xlnm.Print_Area" localSheetId="1">Uniformity!$A$12:$G$54</definedName>
  </definedNames>
  <calcPr calcId="145621"/>
</workbook>
</file>

<file path=xl/calcChain.xml><?xml version="1.0" encoding="utf-8"?>
<calcChain xmlns="http://schemas.openxmlformats.org/spreadsheetml/2006/main">
  <c r="B26" i="8" l="1"/>
  <c r="B7" i="8"/>
  <c r="B36" i="8" l="1"/>
  <c r="E34" i="8"/>
  <c r="D34" i="8"/>
  <c r="C34" i="8"/>
  <c r="B34" i="8"/>
  <c r="B35" i="8" s="1"/>
  <c r="B17" i="8"/>
  <c r="E15" i="8"/>
  <c r="D15" i="8"/>
  <c r="C15" i="8"/>
  <c r="B15" i="8"/>
  <c r="B16" i="8" s="1"/>
  <c r="C141" i="7"/>
  <c r="B137" i="7"/>
  <c r="C124" i="7"/>
  <c r="B120" i="7"/>
  <c r="D102" i="7"/>
  <c r="D103" i="7" s="1"/>
  <c r="B100" i="7"/>
  <c r="F97" i="7"/>
  <c r="D97" i="7"/>
  <c r="G96" i="7"/>
  <c r="E96" i="7"/>
  <c r="B89" i="7"/>
  <c r="D99" i="7" s="1"/>
  <c r="B83" i="7"/>
  <c r="B84" i="7"/>
  <c r="C76" i="7"/>
  <c r="H71" i="7"/>
  <c r="G71" i="7"/>
  <c r="B68" i="7"/>
  <c r="H67" i="7"/>
  <c r="G67" i="7"/>
  <c r="H63" i="7"/>
  <c r="G63" i="7"/>
  <c r="B57" i="7"/>
  <c r="C56" i="7"/>
  <c r="B55" i="7"/>
  <c r="B45" i="7"/>
  <c r="D48" i="7" s="1"/>
  <c r="D49" i="7" s="1"/>
  <c r="F42" i="7"/>
  <c r="D42" i="7"/>
  <c r="G41" i="7"/>
  <c r="E41" i="7"/>
  <c r="B34" i="7"/>
  <c r="D44" i="7" s="1"/>
  <c r="B30" i="7"/>
  <c r="C141" i="6"/>
  <c r="B137" i="6"/>
  <c r="C124" i="6"/>
  <c r="B120" i="6"/>
  <c r="D102" i="6"/>
  <c r="B100" i="6"/>
  <c r="F97" i="6"/>
  <c r="D97" i="6"/>
  <c r="G96" i="6"/>
  <c r="E96" i="6"/>
  <c r="B89" i="6"/>
  <c r="D99" i="6" s="1"/>
  <c r="B83" i="6"/>
  <c r="B82" i="6"/>
  <c r="B84" i="6" s="1"/>
  <c r="B81" i="6"/>
  <c r="B80" i="6"/>
  <c r="C76" i="6"/>
  <c r="H71" i="6"/>
  <c r="G71" i="6"/>
  <c r="B68" i="6"/>
  <c r="H67" i="6"/>
  <c r="G67" i="6"/>
  <c r="H63" i="6"/>
  <c r="G63" i="6"/>
  <c r="B57" i="6"/>
  <c r="C56" i="6"/>
  <c r="B55" i="6"/>
  <c r="B45" i="6"/>
  <c r="D48" i="6" s="1"/>
  <c r="F42" i="6"/>
  <c r="D42" i="6"/>
  <c r="G41" i="6"/>
  <c r="E41" i="6"/>
  <c r="B34" i="6"/>
  <c r="D44" i="6" s="1"/>
  <c r="D45" i="6" s="1"/>
  <c r="B30" i="6"/>
  <c r="D49" i="6" l="1"/>
  <c r="F99" i="6"/>
  <c r="F100" i="6" s="1"/>
  <c r="F101" i="6" s="1"/>
  <c r="F44" i="6"/>
  <c r="F45" i="6" s="1"/>
  <c r="G38" i="6" s="1"/>
  <c r="D45" i="7"/>
  <c r="D46" i="7" s="1"/>
  <c r="B69" i="6"/>
  <c r="B69" i="7"/>
  <c r="D103" i="6"/>
  <c r="D104" i="6" s="1"/>
  <c r="D46" i="6"/>
  <c r="F99" i="7"/>
  <c r="F100" i="7" s="1"/>
  <c r="F101" i="7" s="1"/>
  <c r="F44" i="7"/>
  <c r="F45" i="7" s="1"/>
  <c r="G39" i="7" s="1"/>
  <c r="D104" i="7"/>
  <c r="D100" i="7"/>
  <c r="D101" i="7" s="1"/>
  <c r="E38" i="7"/>
  <c r="E39" i="7"/>
  <c r="E40" i="7"/>
  <c r="D100" i="6"/>
  <c r="D101" i="6" s="1"/>
  <c r="E39" i="6"/>
  <c r="E38" i="6"/>
  <c r="E40" i="6"/>
  <c r="D68" i="4"/>
  <c r="D64" i="4"/>
  <c r="D60" i="4"/>
  <c r="F46" i="6" l="1"/>
  <c r="G40" i="6"/>
  <c r="G39" i="6"/>
  <c r="D52" i="6" s="1"/>
  <c r="G40" i="7"/>
  <c r="D52" i="7" s="1"/>
  <c r="E94" i="6"/>
  <c r="E93" i="6"/>
  <c r="E95" i="6"/>
  <c r="G94" i="7"/>
  <c r="E93" i="7"/>
  <c r="F46" i="7"/>
  <c r="G38" i="7"/>
  <c r="G95" i="7"/>
  <c r="E95" i="7"/>
  <c r="E42" i="7"/>
  <c r="D50" i="7"/>
  <c r="E94" i="7"/>
  <c r="G93" i="7"/>
  <c r="G95" i="6"/>
  <c r="G42" i="6"/>
  <c r="G94" i="6"/>
  <c r="E42" i="6"/>
  <c r="G93" i="6"/>
  <c r="B63" i="1"/>
  <c r="B74" i="1"/>
  <c r="E72" i="1"/>
  <c r="D72" i="1"/>
  <c r="C72" i="1"/>
  <c r="B72" i="1"/>
  <c r="B73" i="1" s="1"/>
  <c r="B64" i="1"/>
  <c r="D50" i="6" l="1"/>
  <c r="G68" i="6" s="1"/>
  <c r="H68" i="6" s="1"/>
  <c r="G42" i="7"/>
  <c r="E97" i="6"/>
  <c r="G97" i="6"/>
  <c r="G97" i="7"/>
  <c r="D105" i="7"/>
  <c r="E112" i="7" s="1"/>
  <c r="F112" i="7" s="1"/>
  <c r="D107" i="7"/>
  <c r="G68" i="7"/>
  <c r="H68" i="7" s="1"/>
  <c r="G70" i="7"/>
  <c r="H70" i="7" s="1"/>
  <c r="G69" i="7"/>
  <c r="H69" i="7" s="1"/>
  <c r="G66" i="7"/>
  <c r="H66" i="7" s="1"/>
  <c r="G64" i="7"/>
  <c r="H64" i="7" s="1"/>
  <c r="G62" i="7"/>
  <c r="H62" i="7" s="1"/>
  <c r="G60" i="7"/>
  <c r="H60" i="7" s="1"/>
  <c r="G65" i="7"/>
  <c r="H65" i="7" s="1"/>
  <c r="G61" i="7"/>
  <c r="H61" i="7" s="1"/>
  <c r="E97" i="7"/>
  <c r="D51" i="7"/>
  <c r="D107" i="6"/>
  <c r="G69" i="6"/>
  <c r="H69" i="6" s="1"/>
  <c r="G66" i="6"/>
  <c r="H66" i="6" s="1"/>
  <c r="G64" i="6"/>
  <c r="H64" i="6" s="1"/>
  <c r="G62" i="6"/>
  <c r="H62" i="6" s="1"/>
  <c r="G60" i="6"/>
  <c r="H60" i="6" s="1"/>
  <c r="G65" i="6"/>
  <c r="H65" i="6" s="1"/>
  <c r="G61" i="6"/>
  <c r="H61" i="6" s="1"/>
  <c r="D51" i="6"/>
  <c r="G70" i="6"/>
  <c r="H70" i="6" s="1"/>
  <c r="D105" i="6"/>
  <c r="B44" i="1"/>
  <c r="B6" i="1"/>
  <c r="C168" i="5"/>
  <c r="B159" i="5"/>
  <c r="B141" i="5"/>
  <c r="D144" i="5" s="1"/>
  <c r="F140" i="5"/>
  <c r="F141" i="5" s="1"/>
  <c r="F142" i="5" s="1"/>
  <c r="F138" i="5"/>
  <c r="D138" i="5"/>
  <c r="G137" i="5"/>
  <c r="E137" i="5"/>
  <c r="B130" i="5"/>
  <c r="D140" i="5" s="1"/>
  <c r="D141" i="5" s="1"/>
  <c r="D142" i="5" s="1"/>
  <c r="B116" i="5"/>
  <c r="D101" i="5"/>
  <c r="D100" i="5"/>
  <c r="B98" i="5"/>
  <c r="D97" i="5"/>
  <c r="D98" i="5" s="1"/>
  <c r="G94" i="5"/>
  <c r="E94" i="5"/>
  <c r="B87" i="5"/>
  <c r="F97" i="5" s="1"/>
  <c r="F98" i="5" s="1"/>
  <c r="F99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G41" i="5"/>
  <c r="E41" i="5"/>
  <c r="B34" i="5"/>
  <c r="F44" i="5" s="1"/>
  <c r="F45" i="5" s="1"/>
  <c r="F46" i="5" s="1"/>
  <c r="E134" i="7" l="1"/>
  <c r="F134" i="7" s="1"/>
  <c r="E115" i="7"/>
  <c r="F115" i="7" s="1"/>
  <c r="E116" i="7"/>
  <c r="F116" i="7" s="1"/>
  <c r="E117" i="7"/>
  <c r="F117" i="7" s="1"/>
  <c r="E114" i="7"/>
  <c r="F114" i="7" s="1"/>
  <c r="E133" i="7"/>
  <c r="F133" i="7" s="1"/>
  <c r="E130" i="7"/>
  <c r="F130" i="7" s="1"/>
  <c r="E129" i="7"/>
  <c r="F129" i="7" s="1"/>
  <c r="D106" i="7"/>
  <c r="E132" i="7"/>
  <c r="F132" i="7" s="1"/>
  <c r="E113" i="7"/>
  <c r="F113" i="7" s="1"/>
  <c r="E131" i="7"/>
  <c r="F131" i="7" s="1"/>
  <c r="H74" i="7"/>
  <c r="H72" i="7"/>
  <c r="G76" i="7" s="1"/>
  <c r="E130" i="6"/>
  <c r="F130" i="6" s="1"/>
  <c r="E116" i="6"/>
  <c r="F116" i="6" s="1"/>
  <c r="E133" i="6"/>
  <c r="F133" i="6" s="1"/>
  <c r="E131" i="6"/>
  <c r="F131" i="6" s="1"/>
  <c r="E129" i="6"/>
  <c r="F129" i="6" s="1"/>
  <c r="E117" i="6"/>
  <c r="F117" i="6" s="1"/>
  <c r="E115" i="6"/>
  <c r="F115" i="6" s="1"/>
  <c r="E113" i="6"/>
  <c r="F113" i="6" s="1"/>
  <c r="D106" i="6"/>
  <c r="E134" i="6"/>
  <c r="F134" i="6" s="1"/>
  <c r="E112" i="6"/>
  <c r="F112" i="6" s="1"/>
  <c r="E132" i="6"/>
  <c r="F132" i="6" s="1"/>
  <c r="E114" i="6"/>
  <c r="F114" i="6" s="1"/>
  <c r="H72" i="6"/>
  <c r="H74" i="6"/>
  <c r="D49" i="5"/>
  <c r="G40" i="5"/>
  <c r="E39" i="5"/>
  <c r="G38" i="5"/>
  <c r="E40" i="5"/>
  <c r="E38" i="5"/>
  <c r="G39" i="5"/>
  <c r="D99" i="5"/>
  <c r="E92" i="5"/>
  <c r="E93" i="5"/>
  <c r="D145" i="5"/>
  <c r="E136" i="5"/>
  <c r="E134" i="5"/>
  <c r="G135" i="5"/>
  <c r="E135" i="5"/>
  <c r="G136" i="5"/>
  <c r="G134" i="5"/>
  <c r="G91" i="5"/>
  <c r="G95" i="5" s="1"/>
  <c r="G93" i="5"/>
  <c r="G92" i="5"/>
  <c r="D102" i="5"/>
  <c r="E91" i="5"/>
  <c r="B45" i="1"/>
  <c r="B53" i="1"/>
  <c r="B54" i="1" s="1"/>
  <c r="C53" i="1"/>
  <c r="D53" i="1"/>
  <c r="E53" i="1"/>
  <c r="B55" i="1"/>
  <c r="B7" i="1"/>
  <c r="B25" i="1"/>
  <c r="B26" i="1" s="1"/>
  <c r="D15" i="1"/>
  <c r="G120" i="4"/>
  <c r="E108" i="4"/>
  <c r="G63" i="4"/>
  <c r="B30" i="4"/>
  <c r="B98" i="4"/>
  <c r="G94" i="4"/>
  <c r="C120" i="4"/>
  <c r="B116" i="4"/>
  <c r="D100" i="4"/>
  <c r="B87" i="4"/>
  <c r="F97" i="4" s="1"/>
  <c r="B80" i="4"/>
  <c r="B79" i="4"/>
  <c r="C76" i="4"/>
  <c r="B68" i="4"/>
  <c r="C56" i="4"/>
  <c r="B55" i="4"/>
  <c r="B45" i="4"/>
  <c r="D48" i="4" s="1"/>
  <c r="E38" i="4" s="1"/>
  <c r="D44" i="4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B36" i="1"/>
  <c r="E34" i="1"/>
  <c r="D34" i="1"/>
  <c r="C34" i="1"/>
  <c r="B34" i="1"/>
  <c r="B35" i="1" s="1"/>
  <c r="B17" i="1"/>
  <c r="E15" i="1"/>
  <c r="C15" i="1"/>
  <c r="B15" i="1"/>
  <c r="B16" i="1" s="1"/>
  <c r="H73" i="7" l="1"/>
  <c r="F121" i="7"/>
  <c r="F136" i="7"/>
  <c r="G141" i="7" s="1"/>
  <c r="F138" i="7"/>
  <c r="F119" i="7"/>
  <c r="G124" i="7" s="1"/>
  <c r="G76" i="6"/>
  <c r="H73" i="6"/>
  <c r="F121" i="6"/>
  <c r="F119" i="6"/>
  <c r="F136" i="6"/>
  <c r="G141" i="6" s="1"/>
  <c r="F138" i="6"/>
  <c r="D52" i="5"/>
  <c r="D50" i="5"/>
  <c r="E42" i="5"/>
  <c r="G138" i="5"/>
  <c r="G42" i="5"/>
  <c r="D103" i="5"/>
  <c r="E95" i="5"/>
  <c r="D105" i="5"/>
  <c r="D148" i="5"/>
  <c r="D146" i="5"/>
  <c r="E138" i="5"/>
  <c r="D45" i="4"/>
  <c r="D46" i="4" s="1"/>
  <c r="I39" i="4"/>
  <c r="D101" i="4"/>
  <c r="D102" i="4" s="1"/>
  <c r="D49" i="4"/>
  <c r="E41" i="4"/>
  <c r="F98" i="4"/>
  <c r="F99" i="4" s="1"/>
  <c r="F44" i="4"/>
  <c r="F45" i="4" s="1"/>
  <c r="F46" i="4" s="1"/>
  <c r="B57" i="4"/>
  <c r="B69" i="4" s="1"/>
  <c r="D29" i="2"/>
  <c r="D33" i="2"/>
  <c r="D37" i="2"/>
  <c r="D41" i="2"/>
  <c r="C50" i="2"/>
  <c r="D97" i="4"/>
  <c r="D98" i="4" s="1"/>
  <c r="D99" i="4" s="1"/>
  <c r="D26" i="2"/>
  <c r="D30" i="2"/>
  <c r="D34" i="2"/>
  <c r="D38" i="2"/>
  <c r="D42" i="2"/>
  <c r="B49" i="2"/>
  <c r="F120" i="7" l="1"/>
  <c r="F137" i="7"/>
  <c r="F137" i="6"/>
  <c r="F120" i="6"/>
  <c r="G124" i="6"/>
  <c r="E155" i="5"/>
  <c r="F155" i="5" s="1"/>
  <c r="E153" i="5"/>
  <c r="F153" i="5" s="1"/>
  <c r="E151" i="5"/>
  <c r="F151" i="5" s="1"/>
  <c r="E156" i="5"/>
  <c r="F156" i="5" s="1"/>
  <c r="E154" i="5"/>
  <c r="F154" i="5" s="1"/>
  <c r="E152" i="5"/>
  <c r="F152" i="5" s="1"/>
  <c r="D147" i="5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G70" i="5"/>
  <c r="H70" i="5" s="1"/>
  <c r="G65" i="5"/>
  <c r="H65" i="5" s="1"/>
  <c r="G61" i="5"/>
  <c r="H61" i="5" s="1"/>
  <c r="G64" i="5"/>
  <c r="H64" i="5" s="1"/>
  <c r="D51" i="5"/>
  <c r="G68" i="5"/>
  <c r="H68" i="5" s="1"/>
  <c r="G69" i="5"/>
  <c r="H69" i="5" s="1"/>
  <c r="G66" i="5"/>
  <c r="H66" i="5" s="1"/>
  <c r="G60" i="5"/>
  <c r="H60" i="5" s="1"/>
  <c r="G62" i="5"/>
  <c r="H62" i="5" s="1"/>
  <c r="E40" i="4"/>
  <c r="F95" i="4"/>
  <c r="E39" i="4"/>
  <c r="G41" i="4"/>
  <c r="G38" i="4"/>
  <c r="G40" i="4"/>
  <c r="G39" i="4"/>
  <c r="G92" i="4"/>
  <c r="G91" i="4"/>
  <c r="E94" i="4"/>
  <c r="E93" i="4"/>
  <c r="E91" i="4"/>
  <c r="E92" i="4"/>
  <c r="G93" i="4"/>
  <c r="B165" i="5" l="1"/>
  <c r="F115" i="5"/>
  <c r="F116" i="5" s="1"/>
  <c r="B167" i="5"/>
  <c r="F117" i="5"/>
  <c r="H72" i="5"/>
  <c r="H74" i="5"/>
  <c r="F158" i="5"/>
  <c r="F159" i="5" s="1"/>
  <c r="F160" i="5"/>
  <c r="G42" i="4"/>
  <c r="E42" i="4"/>
  <c r="D50" i="4"/>
  <c r="D95" i="4" s="1"/>
  <c r="I92" i="4" s="1"/>
  <c r="D52" i="4"/>
  <c r="G95" i="4"/>
  <c r="E95" i="4"/>
  <c r="D105" i="4"/>
  <c r="D103" i="4"/>
  <c r="G168" i="5" l="1"/>
  <c r="B166" i="5"/>
  <c r="G76" i="5"/>
  <c r="H73" i="5"/>
  <c r="G65" i="4"/>
  <c r="H65" i="4" s="1"/>
  <c r="G67" i="4"/>
  <c r="H67" i="4" s="1"/>
  <c r="G69" i="4"/>
  <c r="H69" i="4" s="1"/>
  <c r="G60" i="4"/>
  <c r="H60" i="4" s="1"/>
  <c r="G61" i="4"/>
  <c r="H61" i="4" s="1"/>
  <c r="G70" i="4"/>
  <c r="H70" i="4" s="1"/>
  <c r="G64" i="4"/>
  <c r="H64" i="4" s="1"/>
  <c r="G62" i="4"/>
  <c r="H62" i="4" s="1"/>
  <c r="G71" i="4"/>
  <c r="H71" i="4" s="1"/>
  <c r="H63" i="4"/>
  <c r="D51" i="4"/>
  <c r="G66" i="4"/>
  <c r="H66" i="4" s="1"/>
  <c r="G68" i="4"/>
  <c r="H68" i="4" s="1"/>
  <c r="E112" i="4"/>
  <c r="F112" i="4" s="1"/>
  <c r="E110" i="4"/>
  <c r="F110" i="4" s="1"/>
  <c r="E113" i="4"/>
  <c r="F113" i="4" s="1"/>
  <c r="E111" i="4"/>
  <c r="F111" i="4" s="1"/>
  <c r="E109" i="4"/>
  <c r="F109" i="4" s="1"/>
  <c r="D104" i="4"/>
  <c r="G72" i="4" l="1"/>
  <c r="G73" i="4" s="1"/>
  <c r="G74" i="4"/>
  <c r="H74" i="4"/>
  <c r="H72" i="4"/>
  <c r="G76" i="4" s="1"/>
  <c r="E115" i="4"/>
  <c r="E116" i="4" s="1"/>
  <c r="E117" i="4"/>
  <c r="F108" i="4"/>
  <c r="H73" i="4" l="1"/>
  <c r="F117" i="4"/>
  <c r="F115" i="4"/>
  <c r="F116" i="4" l="1"/>
</calcChain>
</file>

<file path=xl/sharedStrings.xml><?xml version="1.0" encoding="utf-8"?>
<sst xmlns="http://schemas.openxmlformats.org/spreadsheetml/2006/main" count="914" uniqueCount="157">
  <si>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</si>
  <si>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</si>
  <si>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</si>
  <si>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</si>
  <si>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</si>
  <si>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</si>
  <si>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NDQB201601710</t>
  </si>
  <si>
    <t>Weight (mg):</t>
  </si>
  <si>
    <t>ATAZANAVIR SULFATE 300 mg RITONAVIR  100 mg TABLETS</t>
  </si>
  <si>
    <t>Standard Conc (mg/mL):</t>
  </si>
  <si>
    <t>Each film coated tablet contains:Atazanavir (as sulfate) equivalent to Atazanavir 300 mg Ritonavir USP 100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</si>
  <si>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</si>
  <si>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</si>
  <si>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</si>
  <si>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</si>
  <si>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</si>
  <si>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</si>
  <si>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</si>
  <si>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</si>
  <si>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</si>
  <si>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</si>
  <si>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</si>
  <si>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</si>
  <si>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</si>
  <si>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</si>
  <si>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</si>
  <si>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</si>
  <si>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</si>
  <si>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</si>
  <si>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</si>
  <si>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</si>
  <si>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</si>
  <si>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</si>
  <si>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</si>
  <si>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</si>
  <si>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</si>
  <si>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</si>
  <si>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</si>
  <si>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</si>
  <si>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</si>
  <si>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</si>
  <si>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</si>
  <si>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</si>
  <si>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</si>
  <si>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</si>
  <si>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</si>
  <si>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</si>
  <si>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</si>
  <si>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</si>
  <si>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</si>
  <si>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</si>
  <si>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</si>
  <si>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</si>
  <si>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</si>
  <si>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</si>
  <si>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</si>
  <si>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</si>
  <si>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</si>
  <si>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</si>
  <si>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</si>
  <si>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</si>
  <si>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</si>
  <si>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</si>
  <si>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</si>
  <si>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</si>
  <si>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</si>
  <si>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</si>
  <si>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</si>
  <si>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</si>
  <si>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</si>
  <si>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</si>
  <si>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</si>
  <si>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</si>
  <si>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</si>
  <si>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</si>
  <si>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</si>
  <si>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</si>
  <si>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</si>
  <si>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</si>
  <si>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</si>
  <si>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</si>
  <si>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</si>
  <si>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</si>
  <si>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</si>
  <si>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</si>
  <si>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</si>
  <si>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</si>
  <si>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</si>
  <si>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</si>
  <si>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</si>
  <si>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</si>
  <si>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</si>
  <si>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</si>
  <si>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</si>
  <si>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</si>
  <si>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</si>
  <si>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</si>
  <si>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</si>
  <si>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</si>
  <si>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</si>
  <si>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</si>
  <si>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</si>
  <si>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</si>
  <si>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</si>
  <si>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</si>
  <si>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</si>
  <si>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</si>
  <si>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</si>
  <si>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</si>
  <si>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</si>
  <si>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</si>
  <si>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</si>
  <si>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</si>
  <si>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</si>
  <si>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</si>
  <si>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</si>
  <si>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</si>
  <si>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</si>
  <si>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</si>
  <si>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</si>
  <si>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</si>
  <si>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</si>
  <si>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Ritonavir</t>
  </si>
  <si>
    <t>Atazanavir Dissolution</t>
  </si>
  <si>
    <t>Atazanavir Sulfate</t>
  </si>
  <si>
    <t>Atazanavir sulfate</t>
  </si>
  <si>
    <t>A48-1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</si>
  <si>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</si>
  <si>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</si>
  <si>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</si>
  <si>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</si>
  <si>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</si>
  <si>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</si>
  <si>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</si>
  <si>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</si>
  <si>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</si>
  <si>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</si>
  <si>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</si>
  <si>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 xml:space="preserve"> RITONAVIR </t>
  </si>
  <si>
    <t xml:space="preserve">Ritonavir </t>
  </si>
  <si>
    <t>R9-1</t>
  </si>
  <si>
    <t xml:space="preserve">ATAZANAVIR </t>
  </si>
  <si>
    <t>Kefa</t>
  </si>
  <si>
    <t>26th Feb 2016</t>
  </si>
  <si>
    <t>Atazanavir Dissolution (2nd run for S2)</t>
  </si>
  <si>
    <r>
      <t>__</t>
    </r>
    <r>
      <rPr>
        <sz val="12"/>
        <color rgb="FF000000"/>
        <rFont val="Book Antiqua"/>
        <family val="1"/>
      </rPr>
      <t>__________________________________________________________________________________________________________________________________________________</t>
    </r>
  </si>
  <si>
    <t>____________________________________________________________________________________________________________________________________________________</t>
  </si>
  <si>
    <t>Atazanavir Assay</t>
  </si>
  <si>
    <t>Ritonavir Assay</t>
  </si>
  <si>
    <t>Initial    Standard dilution</t>
  </si>
  <si>
    <t>Initial    Sample dilution</t>
  </si>
  <si>
    <t xml:space="preserve">I the sample as a percentage of the stated  label claim is </t>
  </si>
  <si>
    <t>Determination of Active Ingredient Dissolved after</t>
  </si>
  <si>
    <t>45 Minutes</t>
  </si>
  <si>
    <t>90 Minutes</t>
  </si>
  <si>
    <t>Atazanavir</t>
  </si>
  <si>
    <t>HPLC System Suitability Report (DISSOLUTION REPEAT)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</si>
</sst>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169" fontId="14" fillId="3" borderId="0" xfId="0" applyNumberFormat="1" applyFont="1" applyFill="1" applyAlignment="1" applyProtection="1">
      <alignment horizontal="left" vertical="center"/>
      <protection locked="0"/>
    </xf>
    <xf numFmtId="169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2" fontId="13" fillId="3" borderId="0" xfId="0" applyNumberFormat="1" applyFont="1" applyFill="1" applyAlignment="1" applyProtection="1">
      <alignment horizontal="center" vertical="center"/>
      <protection locked="0"/>
    </xf>
    <xf numFmtId="2" fontId="12" fillId="2" borderId="0" xfId="0" applyNumberFormat="1" applyFont="1" applyFill="1" applyAlignment="1">
      <alignment horizontal="center" vertical="center"/>
    </xf>
    <xf numFmtId="170" fontId="1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21" xfId="0" applyFont="1" applyFill="1" applyBorder="1" applyAlignment="1">
      <alignment horizontal="right" vertical="center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right" vertical="center"/>
    </xf>
    <xf numFmtId="0" fontId="13" fillId="3" borderId="24" xfId="0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3" fillId="3" borderId="53" xfId="0" applyFont="1" applyFill="1" applyBorder="1" applyAlignment="1" applyProtection="1">
      <alignment horizontal="center" vertical="center"/>
      <protection locked="0"/>
    </xf>
    <xf numFmtId="171" fontId="11" fillId="2" borderId="48" xfId="0" applyNumberFormat="1" applyFont="1" applyFill="1" applyBorder="1" applyAlignment="1">
      <alignment horizontal="center" vertical="center"/>
    </xf>
    <xf numFmtId="171" fontId="11" fillId="2" borderId="28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3" borderId="49" xfId="0" applyFont="1" applyFill="1" applyBorder="1" applyAlignment="1" applyProtection="1">
      <alignment horizontal="center" vertical="center"/>
      <protection locked="0"/>
    </xf>
    <xf numFmtId="171" fontId="11" fillId="2" borderId="0" xfId="0" applyNumberFormat="1" applyFont="1" applyFill="1" applyAlignment="1">
      <alignment horizontal="center" vertical="center"/>
    </xf>
    <xf numFmtId="171" fontId="11" fillId="2" borderId="24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3" fillId="3" borderId="59" xfId="0" applyFont="1" applyFill="1" applyBorder="1" applyAlignment="1" applyProtection="1">
      <alignment horizontal="center" vertical="center"/>
      <protection locked="0"/>
    </xf>
    <xf numFmtId="171" fontId="11" fillId="2" borderId="7" xfId="0" applyNumberFormat="1" applyFont="1" applyFill="1" applyBorder="1" applyAlignment="1">
      <alignment horizontal="center" vertical="center"/>
    </xf>
    <xf numFmtId="171" fontId="11" fillId="2" borderId="33" xfId="0" applyNumberFormat="1" applyFont="1" applyFill="1" applyBorder="1" applyAlignment="1">
      <alignment horizontal="center" vertical="center"/>
    </xf>
    <xf numFmtId="171" fontId="12" fillId="6" borderId="49" xfId="0" applyNumberFormat="1" applyFont="1" applyFill="1" applyBorder="1" applyAlignment="1">
      <alignment horizontal="center" vertical="center"/>
    </xf>
    <xf numFmtId="171" fontId="12" fillId="6" borderId="38" xfId="0" applyNumberFormat="1" applyFont="1" applyFill="1" applyBorder="1" applyAlignment="1">
      <alignment horizontal="center" vertical="center"/>
    </xf>
    <xf numFmtId="1" fontId="12" fillId="6" borderId="50" xfId="0" applyNumberFormat="1" applyFont="1" applyFill="1" applyBorder="1" applyAlignment="1">
      <alignment horizontal="center" vertical="center"/>
    </xf>
    <xf numFmtId="171" fontId="12" fillId="6" borderId="3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3" borderId="52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2" fontId="11" fillId="6" borderId="27" xfId="0" applyNumberFormat="1" applyFont="1" applyFill="1" applyBorder="1" applyAlignment="1">
      <alignment horizontal="center" vertical="center"/>
    </xf>
    <xf numFmtId="2" fontId="11" fillId="6" borderId="41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2" fontId="11" fillId="7" borderId="27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2" fontId="11" fillId="7" borderId="41" xfId="0" applyNumberFormat="1" applyFont="1" applyFill="1" applyBorder="1" applyAlignment="1">
      <alignment horizontal="center" vertical="center"/>
    </xf>
    <xf numFmtId="2" fontId="11" fillId="6" borderId="17" xfId="0" applyNumberFormat="1" applyFont="1" applyFill="1" applyBorder="1" applyAlignment="1">
      <alignment horizontal="center" vertical="center"/>
    </xf>
    <xf numFmtId="0" fontId="11" fillId="2" borderId="60" xfId="0" applyFont="1" applyFill="1" applyBorder="1" applyAlignment="1">
      <alignment horizontal="right" vertical="center"/>
    </xf>
    <xf numFmtId="166" fontId="13" fillId="3" borderId="27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>
      <alignment horizontal="center" vertical="center"/>
    </xf>
    <xf numFmtId="0" fontId="11" fillId="2" borderId="25" xfId="0" applyFont="1" applyFill="1" applyBorder="1" applyAlignment="1">
      <alignment horizontal="right" vertical="center"/>
    </xf>
    <xf numFmtId="0" fontId="11" fillId="2" borderId="53" xfId="0" applyFont="1" applyFill="1" applyBorder="1" applyAlignment="1">
      <alignment horizontal="right" vertical="center"/>
    </xf>
    <xf numFmtId="2" fontId="11" fillId="6" borderId="30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right" vertical="center"/>
    </xf>
    <xf numFmtId="171" fontId="12" fillId="7" borderId="16" xfId="0" applyNumberFormat="1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right" vertical="center"/>
    </xf>
    <xf numFmtId="10" fontId="11" fillId="6" borderId="41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right" vertical="center"/>
    </xf>
    <xf numFmtId="0" fontId="11" fillId="7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2" fontId="12" fillId="2" borderId="13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3" fillId="3" borderId="23" xfId="0" applyFont="1" applyFill="1" applyBorder="1" applyAlignment="1" applyProtection="1">
      <alignment horizontal="center" vertical="center"/>
      <protection locked="0"/>
    </xf>
    <xf numFmtId="2" fontId="11" fillId="2" borderId="23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3" fillId="3" borderId="43" xfId="0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right" vertical="center"/>
    </xf>
    <xf numFmtId="2" fontId="12" fillId="2" borderId="44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 vertical="center"/>
    </xf>
    <xf numFmtId="10" fontId="13" fillId="7" borderId="33" xfId="0" applyNumberFormat="1" applyFont="1" applyFill="1" applyBorder="1" applyAlignment="1">
      <alignment horizontal="center" vertical="center"/>
    </xf>
    <xf numFmtId="10" fontId="13" fillId="6" borderId="57" xfId="0" applyNumberFormat="1" applyFont="1" applyFill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  <protection locked="0"/>
    </xf>
    <xf numFmtId="171" fontId="11" fillId="2" borderId="26" xfId="0" applyNumberFormat="1" applyFont="1" applyFill="1" applyBorder="1" applyAlignment="1">
      <alignment horizontal="center" vertical="center"/>
    </xf>
    <xf numFmtId="1" fontId="13" fillId="3" borderId="29" xfId="0" applyNumberFormat="1" applyFont="1" applyFill="1" applyBorder="1" applyAlignment="1" applyProtection="1">
      <alignment horizontal="center" vertical="center"/>
      <protection locked="0"/>
    </xf>
    <xf numFmtId="171" fontId="11" fillId="2" borderId="30" xfId="0" applyNumberFormat="1" applyFont="1" applyFill="1" applyBorder="1" applyAlignment="1">
      <alignment horizontal="center" vertical="center"/>
    </xf>
    <xf numFmtId="171" fontId="11" fillId="2" borderId="31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 vertical="center"/>
      <protection locked="0"/>
    </xf>
    <xf numFmtId="171" fontId="11" fillId="2" borderId="32" xfId="0" applyNumberFormat="1" applyFont="1" applyFill="1" applyBorder="1" applyAlignment="1">
      <alignment horizontal="center" vertical="center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171" fontId="11" fillId="2" borderId="35" xfId="0" applyNumberFormat="1" applyFont="1" applyFill="1" applyBorder="1" applyAlignment="1">
      <alignment horizontal="center" vertical="center"/>
    </xf>
    <xf numFmtId="1" fontId="13" fillId="3" borderId="34" xfId="0" applyNumberFormat="1" applyFont="1" applyFill="1" applyBorder="1" applyAlignment="1" applyProtection="1">
      <alignment horizontal="center" vertical="center"/>
      <protection locked="0"/>
    </xf>
    <xf numFmtId="171" fontId="11" fillId="2" borderId="36" xfId="0" applyNumberFormat="1" applyFont="1" applyFill="1" applyBorder="1" applyAlignment="1">
      <alignment horizontal="center" vertical="center"/>
    </xf>
    <xf numFmtId="171" fontId="12" fillId="6" borderId="50" xfId="0" applyNumberFormat="1" applyFont="1" applyFill="1" applyBorder="1" applyAlignment="1">
      <alignment horizontal="center" vertical="center"/>
    </xf>
    <xf numFmtId="171" fontId="12" fillId="6" borderId="15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164" fontId="11" fillId="6" borderId="27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1" fillId="6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11" fillId="7" borderId="27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11" fillId="7" borderId="30" xfId="0" applyNumberFormat="1" applyFont="1" applyFill="1" applyBorder="1" applyAlignment="1">
      <alignment horizontal="center" vertical="center"/>
    </xf>
    <xf numFmtId="10" fontId="12" fillId="6" borderId="41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vertical="center"/>
    </xf>
    <xf numFmtId="0" fontId="12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/>
    </xf>
    <xf numFmtId="1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1" fillId="2" borderId="26" xfId="0" applyNumberFormat="1" applyFont="1" applyFill="1" applyBorder="1" applyAlignment="1">
      <alignment horizontal="center" vertical="center"/>
    </xf>
    <xf numFmtId="10" fontId="11" fillId="2" borderId="30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2" borderId="35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/>
    </xf>
    <xf numFmtId="171" fontId="12" fillId="2" borderId="0" xfId="0" applyNumberFormat="1" applyFont="1" applyFill="1" applyAlignment="1">
      <alignment horizontal="center" vertical="center"/>
    </xf>
    <xf numFmtId="171" fontId="11" fillId="2" borderId="2" xfId="0" applyNumberFormat="1" applyFont="1" applyFill="1" applyBorder="1" applyAlignment="1">
      <alignment horizontal="right" vertical="center"/>
    </xf>
    <xf numFmtId="10" fontId="13" fillId="7" borderId="27" xfId="0" applyNumberFormat="1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10" fontId="13" fillId="6" borderId="27" xfId="0" applyNumberFormat="1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vertical="center"/>
    </xf>
    <xf numFmtId="0" fontId="11" fillId="2" borderId="61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right" vertical="center"/>
    </xf>
    <xf numFmtId="0" fontId="13" fillId="7" borderId="17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62" xfId="0" applyFont="1" applyFill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/>
    </xf>
    <xf numFmtId="1" fontId="12" fillId="6" borderId="44" xfId="0" applyNumberFormat="1" applyFont="1" applyFill="1" applyBorder="1" applyAlignment="1">
      <alignment horizontal="center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171" fontId="11" fillId="2" borderId="39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7" xfId="0" applyFont="1" applyFill="1" applyBorder="1" applyAlignment="1">
      <alignment horizontal="right"/>
    </xf>
    <xf numFmtId="2" fontId="11" fillId="7" borderId="63" xfId="0" applyNumberFormat="1" applyFont="1" applyFill="1" applyBorder="1" applyAlignment="1">
      <alignment horizontal="center"/>
    </xf>
    <xf numFmtId="171" fontId="12" fillId="7" borderId="45" xfId="0" applyNumberFormat="1" applyFont="1" applyFill="1" applyBorder="1" applyAlignment="1">
      <alignment horizontal="center"/>
    </xf>
    <xf numFmtId="0" fontId="12" fillId="2" borderId="55" xfId="0" applyFont="1" applyFill="1" applyBorder="1"/>
    <xf numFmtId="0" fontId="13" fillId="3" borderId="26" xfId="0" applyFont="1" applyFill="1" applyBorder="1" applyAlignment="1" applyProtection="1">
      <alignment horizontal="center" vertical="center"/>
      <protection locked="0"/>
    </xf>
    <xf numFmtId="2" fontId="11" fillId="2" borderId="4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0" fontId="13" fillId="3" borderId="31" xfId="0" applyFont="1" applyFill="1" applyBorder="1" applyAlignment="1" applyProtection="1">
      <alignment horizontal="center" vertical="center"/>
      <protection locked="0"/>
    </xf>
    <xf numFmtId="2" fontId="11" fillId="2" borderId="3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 vertical="center"/>
      <protection locked="0"/>
    </xf>
    <xf numFmtId="2" fontId="11" fillId="2" borderId="5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1" xfId="0" applyNumberFormat="1" applyFont="1" applyFill="1" applyBorder="1" applyAlignment="1">
      <alignment horizontal="right"/>
    </xf>
    <xf numFmtId="10" fontId="13" fillId="7" borderId="57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171" fontId="11" fillId="2" borderId="47" xfId="0" applyNumberFormat="1" applyFont="1" applyFill="1" applyBorder="1" applyAlignment="1">
      <alignment horizontal="right"/>
    </xf>
    <xf numFmtId="165" fontId="13" fillId="7" borderId="52" xfId="0" applyNumberFormat="1" applyFont="1" applyFill="1" applyBorder="1" applyAlignment="1">
      <alignment horizontal="center"/>
    </xf>
    <xf numFmtId="165" fontId="13" fillId="6" borderId="27" xfId="0" applyNumberFormat="1" applyFont="1" applyFill="1" applyBorder="1" applyAlignment="1">
      <alignment horizontal="center"/>
    </xf>
    <xf numFmtId="0" fontId="11" fillId="2" borderId="65" xfId="0" applyFont="1" applyFill="1" applyBorder="1" applyAlignment="1">
      <alignment horizontal="right"/>
    </xf>
    <xf numFmtId="0" fontId="13" fillId="7" borderId="63" xfId="0" applyFont="1" applyFill="1" applyBorder="1" applyAlignment="1">
      <alignment horizont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25" fillId="2" borderId="0" xfId="0" applyFont="1" applyFill="1"/>
    <xf numFmtId="0" fontId="24" fillId="2" borderId="0" xfId="0" applyFont="1" applyFill="1"/>
    <xf numFmtId="0" fontId="26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0" fontId="11" fillId="3" borderId="0" xfId="0" applyFont="1" applyFill="1"/>
    <xf numFmtId="1" fontId="12" fillId="6" borderId="53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7" borderId="1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28" fillId="3" borderId="0" xfId="0" applyFont="1" applyFill="1" applyAlignment="1" applyProtection="1">
      <alignment horizontal="center"/>
      <protection locked="0"/>
    </xf>
    <xf numFmtId="1" fontId="12" fillId="6" borderId="1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0" fontId="11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1" fillId="2" borderId="61" xfId="0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165" fontId="2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12" fillId="2" borderId="4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/>
    </xf>
    <xf numFmtId="0" fontId="27" fillId="2" borderId="19" xfId="0" applyFont="1" applyFill="1" applyBorder="1" applyAlignment="1">
      <alignment horizontal="center"/>
    </xf>
    <xf numFmtId="0" fontId="27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nga/Downloads/NDQB20160171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tazanavir"/>
      <sheetName val="ritonavir"/>
      <sheetName val="atazanavir 1"/>
      <sheetName val="ritonavir 1"/>
      <sheetName val="atazanavir 2"/>
      <sheetName val="ritonavir 2"/>
      <sheetName val="atazanavir 3"/>
      <sheetName val="ritonavir 3"/>
      <sheetName val="atazanavir 4"/>
      <sheetName val="ritonavir 4"/>
    </sheetNames>
    <sheetDataSet>
      <sheetData sheetId="0"/>
      <sheetData sheetId="1">
        <row r="46">
          <cell r="C46">
            <v>1974.3689999999999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view="pageBreakPreview" topLeftCell="A41" zoomScale="70" zoomScaleNormal="100" zoomScaleSheetLayoutView="70" workbookViewId="0">
      <selection activeCell="A65" sqref="A65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6" customFormat="1" ht="18.75" customHeight="1" x14ac:dyDescent="0.3">
      <c r="A1" s="492" t="s">
        <v>0</v>
      </c>
      <c r="B1" s="492"/>
      <c r="C1" s="492"/>
      <c r="D1" s="492"/>
      <c r="E1" s="492"/>
      <c r="F1" s="3"/>
    </row>
    <row r="2" spans="1:6" customFormat="1" ht="16.5" customHeight="1" x14ac:dyDescent="0.3">
      <c r="A2" s="4" t="s">
        <v>1</v>
      </c>
      <c r="B2" s="457" t="s">
        <v>147</v>
      </c>
      <c r="C2" s="3"/>
      <c r="D2" s="3"/>
      <c r="E2" s="3"/>
      <c r="F2" s="3"/>
    </row>
    <row r="3" spans="1:6" customFormat="1" ht="16.5" customHeight="1" x14ac:dyDescent="0.3">
      <c r="A3" s="5" t="s">
        <v>2</v>
      </c>
      <c r="B3" s="6"/>
      <c r="C3" s="3"/>
      <c r="D3" s="7"/>
      <c r="E3" s="8"/>
      <c r="F3" s="3"/>
    </row>
    <row r="4" spans="1:6" customFormat="1" ht="16.5" customHeight="1" x14ac:dyDescent="0.3">
      <c r="A4" s="9" t="s">
        <v>3</v>
      </c>
      <c r="B4" s="6" t="s">
        <v>125</v>
      </c>
      <c r="C4" s="8"/>
      <c r="D4" s="8"/>
      <c r="E4" s="8"/>
      <c r="F4" s="3"/>
    </row>
    <row r="5" spans="1:6" customFormat="1" ht="16.5" customHeight="1" x14ac:dyDescent="0.3">
      <c r="A5" s="9" t="s">
        <v>5</v>
      </c>
      <c r="B5" s="10">
        <v>99.3</v>
      </c>
      <c r="C5" s="8"/>
      <c r="D5" s="8"/>
      <c r="E5" s="8"/>
      <c r="F5" s="3"/>
    </row>
    <row r="6" spans="1:6" customFormat="1" ht="16.5" customHeight="1" x14ac:dyDescent="0.3">
      <c r="A6" s="5" t="s">
        <v>7</v>
      </c>
      <c r="B6" s="10">
        <f>'Atazanavir S2'!D43</f>
        <v>24.43</v>
      </c>
      <c r="C6" s="8"/>
      <c r="D6" s="8"/>
      <c r="E6" s="8"/>
      <c r="F6" s="3"/>
    </row>
    <row r="7" spans="1:6" customFormat="1" ht="16.5" customHeight="1" x14ac:dyDescent="0.3">
      <c r="A7" s="5" t="s">
        <v>9</v>
      </c>
      <c r="B7" s="11">
        <f>B6/100</f>
        <v>0.24429999999999999</v>
      </c>
      <c r="C7" s="8"/>
      <c r="D7" s="8"/>
      <c r="E7" s="8"/>
      <c r="F7" s="3"/>
    </row>
    <row r="8" spans="1:6" customFormat="1" ht="16.5" customHeight="1" x14ac:dyDescent="0.3">
      <c r="A8" s="12" t="s">
        <v>11</v>
      </c>
      <c r="B8" s="13" t="s">
        <v>12</v>
      </c>
      <c r="C8" s="12" t="s">
        <v>13</v>
      </c>
      <c r="D8" s="12" t="s">
        <v>14</v>
      </c>
      <c r="E8" s="14" t="s">
        <v>15</v>
      </c>
      <c r="F8" s="3"/>
    </row>
    <row r="9" spans="1:6" customFormat="1" ht="16.5" customHeight="1" x14ac:dyDescent="0.3">
      <c r="A9" s="15">
        <v>1</v>
      </c>
      <c r="B9" s="16">
        <v>62515142</v>
      </c>
      <c r="C9" s="16">
        <v>6811</v>
      </c>
      <c r="D9" s="17">
        <v>1.05</v>
      </c>
      <c r="E9" s="18">
        <v>8.56</v>
      </c>
      <c r="F9" s="3"/>
    </row>
    <row r="10" spans="1:6" customFormat="1" ht="16.5" customHeight="1" x14ac:dyDescent="0.3">
      <c r="A10" s="15">
        <v>2</v>
      </c>
      <c r="B10" s="16">
        <v>62272556</v>
      </c>
      <c r="C10" s="16">
        <v>6816</v>
      </c>
      <c r="D10" s="17">
        <v>1.05</v>
      </c>
      <c r="E10" s="17">
        <v>8.57</v>
      </c>
      <c r="F10" s="3"/>
    </row>
    <row r="11" spans="1:6" customFormat="1" ht="16.5" customHeight="1" x14ac:dyDescent="0.3">
      <c r="A11" s="15">
        <v>3</v>
      </c>
      <c r="B11" s="16">
        <v>62131987</v>
      </c>
      <c r="C11" s="16">
        <v>6833</v>
      </c>
      <c r="D11" s="17">
        <v>1.04</v>
      </c>
      <c r="E11" s="17">
        <v>8.56</v>
      </c>
      <c r="F11" s="3"/>
    </row>
    <row r="12" spans="1:6" customFormat="1" ht="16.5" customHeight="1" x14ac:dyDescent="0.3">
      <c r="A12" s="15">
        <v>4</v>
      </c>
      <c r="B12" s="16">
        <v>62168388</v>
      </c>
      <c r="C12" s="16">
        <v>6817</v>
      </c>
      <c r="D12" s="17">
        <v>1.05</v>
      </c>
      <c r="E12" s="17">
        <v>8.5500000000000007</v>
      </c>
      <c r="F12" s="3"/>
    </row>
    <row r="13" spans="1:6" customFormat="1" ht="16.5" customHeight="1" x14ac:dyDescent="0.3">
      <c r="A13" s="15">
        <v>5</v>
      </c>
      <c r="B13" s="16">
        <v>62283695</v>
      </c>
      <c r="C13" s="16">
        <v>6829</v>
      </c>
      <c r="D13" s="17">
        <v>1.06</v>
      </c>
      <c r="E13" s="17">
        <v>8.56</v>
      </c>
      <c r="F13" s="3"/>
    </row>
    <row r="14" spans="1:6" customFormat="1" ht="16.5" customHeight="1" x14ac:dyDescent="0.3">
      <c r="A14" s="15">
        <v>6</v>
      </c>
      <c r="B14" s="19">
        <v>62579996</v>
      </c>
      <c r="C14" s="19">
        <v>6824</v>
      </c>
      <c r="D14" s="20">
        <v>1.06</v>
      </c>
      <c r="E14" s="20">
        <v>8.59</v>
      </c>
      <c r="F14" s="3"/>
    </row>
    <row r="15" spans="1:6" customFormat="1" ht="16.5" customHeight="1" x14ac:dyDescent="0.3">
      <c r="A15" s="21" t="s">
        <v>16</v>
      </c>
      <c r="B15" s="22">
        <f>AVERAGE(B9:B14)</f>
        <v>62325294</v>
      </c>
      <c r="C15" s="23">
        <f>AVERAGE(C9:C14)</f>
        <v>6821.666666666667</v>
      </c>
      <c r="D15" s="24">
        <f>AVERAGE(D9:D14)</f>
        <v>1.0516666666666667</v>
      </c>
      <c r="E15" s="24">
        <f>AVERAGE(E9:E14)</f>
        <v>8.5650000000000031</v>
      </c>
      <c r="F15" s="3"/>
    </row>
    <row r="16" spans="1:6" customFormat="1" ht="16.5" customHeight="1" x14ac:dyDescent="0.3">
      <c r="A16" s="25" t="s">
        <v>17</v>
      </c>
      <c r="B16" s="26">
        <f>(STDEV(B9:B14)/B15)</f>
        <v>2.9359378143516785E-3</v>
      </c>
      <c r="C16" s="27"/>
      <c r="D16" s="27"/>
      <c r="E16" s="28"/>
      <c r="F16" s="2"/>
    </row>
    <row r="17" spans="1:6" s="2" customFormat="1" ht="16.5" customHeight="1" x14ac:dyDescent="0.3">
      <c r="A17" s="29" t="s">
        <v>18</v>
      </c>
      <c r="B17" s="30">
        <f>COUNT(B9:B14)</f>
        <v>6</v>
      </c>
      <c r="C17" s="31"/>
      <c r="D17" s="32"/>
      <c r="E17" s="33"/>
    </row>
    <row r="18" spans="1:6" s="2" customFormat="1" ht="16.5" customHeight="1" x14ac:dyDescent="0.3">
      <c r="A18" s="9" t="s">
        <v>19</v>
      </c>
      <c r="B18" s="34" t="s">
        <v>20</v>
      </c>
      <c r="C18" s="35"/>
      <c r="D18" s="35"/>
      <c r="E18" s="36"/>
    </row>
    <row r="19" spans="1:6" customFormat="1" ht="16.5" customHeight="1" x14ac:dyDescent="0.3">
      <c r="A19" s="9"/>
      <c r="B19" s="34" t="s">
        <v>21</v>
      </c>
      <c r="C19" s="35"/>
      <c r="D19" s="35"/>
      <c r="E19" s="36"/>
      <c r="F19" s="2"/>
    </row>
    <row r="20" spans="1:6" customFormat="1" ht="16.5" customHeight="1" x14ac:dyDescent="0.3">
      <c r="A20" s="9"/>
      <c r="B20" s="37" t="s">
        <v>22</v>
      </c>
      <c r="C20" s="35"/>
      <c r="D20" s="35"/>
      <c r="E20" s="35"/>
      <c r="F20" s="3"/>
    </row>
    <row r="21" spans="1:6" customFormat="1" ht="15.75" customHeight="1" x14ac:dyDescent="0.25">
      <c r="A21" s="456" t="s">
        <v>146</v>
      </c>
      <c r="B21" s="8"/>
      <c r="C21" s="8"/>
      <c r="D21" s="8"/>
      <c r="E21" s="8"/>
      <c r="F21" s="3"/>
    </row>
    <row r="22" spans="1:6" customFormat="1" ht="16.5" customHeight="1" x14ac:dyDescent="0.3">
      <c r="A22" s="4" t="s">
        <v>1</v>
      </c>
      <c r="B22" s="457" t="s">
        <v>148</v>
      </c>
      <c r="C22" s="3"/>
      <c r="D22" s="3"/>
      <c r="E22" s="3"/>
      <c r="F22" s="3"/>
    </row>
    <row r="23" spans="1:6" customFormat="1" ht="16.5" customHeight="1" x14ac:dyDescent="0.3">
      <c r="A23" s="9" t="s">
        <v>3</v>
      </c>
      <c r="B23" s="6" t="s">
        <v>122</v>
      </c>
      <c r="C23" s="8"/>
      <c r="D23" s="8"/>
      <c r="E23" s="8"/>
      <c r="F23" s="3"/>
    </row>
    <row r="24" spans="1:6" customFormat="1" ht="16.5" customHeight="1" x14ac:dyDescent="0.3">
      <c r="A24" s="9" t="s">
        <v>5</v>
      </c>
      <c r="B24" s="10">
        <v>99.3</v>
      </c>
      <c r="C24" s="8"/>
      <c r="D24" s="8"/>
      <c r="E24" s="8"/>
      <c r="F24" s="3"/>
    </row>
    <row r="25" spans="1:6" customFormat="1" ht="16.5" customHeight="1" x14ac:dyDescent="0.3">
      <c r="A25" s="5" t="s">
        <v>7</v>
      </c>
      <c r="B25" s="10">
        <f>ritonavir!D43</f>
        <v>20.36</v>
      </c>
      <c r="C25" s="8"/>
      <c r="D25" s="8"/>
      <c r="E25" s="8"/>
      <c r="F25" s="3"/>
    </row>
    <row r="26" spans="1:6" customFormat="1" ht="16.5" customHeight="1" x14ac:dyDescent="0.3">
      <c r="A26" s="5" t="s">
        <v>9</v>
      </c>
      <c r="B26" s="11">
        <f>B25/100</f>
        <v>0.2036</v>
      </c>
      <c r="C26" s="8"/>
      <c r="D26" s="8"/>
      <c r="E26" s="8"/>
      <c r="F26" s="3"/>
    </row>
    <row r="27" spans="1:6" customFormat="1" ht="16.5" customHeight="1" x14ac:dyDescent="0.3">
      <c r="A27" s="12" t="s">
        <v>11</v>
      </c>
      <c r="B27" s="13" t="s">
        <v>12</v>
      </c>
      <c r="C27" s="12" t="s">
        <v>13</v>
      </c>
      <c r="D27" s="12" t="s">
        <v>14</v>
      </c>
      <c r="E27" s="14" t="s">
        <v>15</v>
      </c>
      <c r="F27" s="3"/>
    </row>
    <row r="28" spans="1:6" customFormat="1" ht="16.5" customHeight="1" x14ac:dyDescent="0.3">
      <c r="A28" s="15">
        <v>1</v>
      </c>
      <c r="B28" s="16">
        <v>48617907</v>
      </c>
      <c r="C28" s="16">
        <v>9610</v>
      </c>
      <c r="D28" s="17">
        <v>1.07</v>
      </c>
      <c r="E28" s="18">
        <v>13.21</v>
      </c>
      <c r="F28" s="3"/>
    </row>
    <row r="29" spans="1:6" customFormat="1" ht="16.5" customHeight="1" x14ac:dyDescent="0.3">
      <c r="A29" s="15">
        <v>2</v>
      </c>
      <c r="B29" s="16">
        <v>48245930</v>
      </c>
      <c r="C29" s="16">
        <v>9577</v>
      </c>
      <c r="D29" s="17">
        <v>1.07</v>
      </c>
      <c r="E29" s="17">
        <v>13.23</v>
      </c>
      <c r="F29" s="3"/>
    </row>
    <row r="30" spans="1:6" customFormat="1" ht="16.5" customHeight="1" x14ac:dyDescent="0.3">
      <c r="A30" s="15">
        <v>3</v>
      </c>
      <c r="B30" s="16">
        <v>48257258</v>
      </c>
      <c r="C30" s="16">
        <v>9621</v>
      </c>
      <c r="D30" s="17">
        <v>1.06</v>
      </c>
      <c r="E30" s="17">
        <v>13.22</v>
      </c>
      <c r="F30" s="3"/>
    </row>
    <row r="31" spans="1:6" customFormat="1" ht="16.5" customHeight="1" x14ac:dyDescent="0.3">
      <c r="A31" s="15">
        <v>4</v>
      </c>
      <c r="B31" s="16">
        <v>48293508</v>
      </c>
      <c r="C31" s="16">
        <v>9569</v>
      </c>
      <c r="D31" s="17">
        <v>1.07</v>
      </c>
      <c r="E31" s="17">
        <v>13.2</v>
      </c>
      <c r="F31" s="3"/>
    </row>
    <row r="32" spans="1:6" customFormat="1" ht="16.5" customHeight="1" x14ac:dyDescent="0.3">
      <c r="A32" s="15">
        <v>5</v>
      </c>
      <c r="B32" s="16">
        <v>48346887</v>
      </c>
      <c r="C32" s="16">
        <v>9589</v>
      </c>
      <c r="D32" s="17">
        <v>1.06</v>
      </c>
      <c r="E32" s="17">
        <v>13.21</v>
      </c>
      <c r="F32" s="3"/>
    </row>
    <row r="33" spans="1:9" ht="16.5" customHeight="1" x14ac:dyDescent="0.3">
      <c r="A33" s="15">
        <v>6</v>
      </c>
      <c r="B33" s="19">
        <v>48473087</v>
      </c>
      <c r="C33" s="19">
        <v>9548</v>
      </c>
      <c r="D33" s="20">
        <v>1.07</v>
      </c>
      <c r="E33" s="20">
        <v>13.25</v>
      </c>
    </row>
    <row r="34" spans="1:9" ht="16.5" customHeight="1" x14ac:dyDescent="0.3">
      <c r="A34" s="21" t="s">
        <v>16</v>
      </c>
      <c r="B34" s="22">
        <f>AVERAGE(B28:B33)</f>
        <v>48372429.5</v>
      </c>
      <c r="C34" s="23">
        <f>AVERAGE(C28:C33)</f>
        <v>9585.6666666666661</v>
      </c>
      <c r="D34" s="24">
        <f>AVERAGE(D28:D33)</f>
        <v>1.0666666666666667</v>
      </c>
      <c r="E34" s="24">
        <f>AVERAGE(E28:E33)</f>
        <v>13.219999999999999</v>
      </c>
    </row>
    <row r="35" spans="1:9" ht="16.5" customHeight="1" x14ac:dyDescent="0.3">
      <c r="A35" s="25" t="s">
        <v>17</v>
      </c>
      <c r="B35" s="26">
        <f>(STDEV(B28:B33)/B34)</f>
        <v>3.0176641787543917E-3</v>
      </c>
      <c r="C35" s="27"/>
      <c r="D35" s="27"/>
      <c r="E35" s="28"/>
      <c r="F35" s="2"/>
    </row>
    <row r="36" spans="1:9" s="2" customFormat="1" ht="16.5" customHeight="1" x14ac:dyDescent="0.3">
      <c r="A36" s="29" t="s">
        <v>18</v>
      </c>
      <c r="B36" s="30">
        <f>COUNT(B28:B33)</f>
        <v>6</v>
      </c>
      <c r="C36" s="31"/>
      <c r="D36" s="32"/>
      <c r="E36" s="33"/>
    </row>
    <row r="37" spans="1:9" s="2" customFormat="1" ht="16.5" customHeight="1" x14ac:dyDescent="0.3">
      <c r="A37" s="9" t="s">
        <v>19</v>
      </c>
      <c r="B37" s="34" t="s">
        <v>20</v>
      </c>
      <c r="C37" s="35"/>
      <c r="D37" s="35"/>
      <c r="E37" s="36"/>
    </row>
    <row r="38" spans="1:9" ht="16.5" customHeight="1" x14ac:dyDescent="0.3">
      <c r="A38" s="9"/>
      <c r="B38" s="34" t="s">
        <v>21</v>
      </c>
      <c r="C38" s="35"/>
      <c r="D38" s="35"/>
      <c r="E38" s="36"/>
      <c r="F38" s="2"/>
    </row>
    <row r="39" spans="1:9" s="38" customFormat="1" ht="16.5" customHeight="1" x14ac:dyDescent="0.3">
      <c r="A39" s="68"/>
      <c r="B39" s="37" t="s">
        <v>22</v>
      </c>
      <c r="C39" s="36"/>
      <c r="D39" s="36"/>
      <c r="E39" s="36"/>
      <c r="F39" s="220"/>
      <c r="G39" s="220"/>
      <c r="H39" s="220"/>
      <c r="I39" s="220"/>
    </row>
    <row r="40" spans="1:9" ht="16.5" customHeight="1" x14ac:dyDescent="0.3">
      <c r="A40" s="455" t="s">
        <v>146</v>
      </c>
      <c r="C40" s="35"/>
      <c r="D40" s="36"/>
      <c r="E40" s="35"/>
    </row>
    <row r="41" spans="1:9" ht="14.25" customHeight="1" x14ac:dyDescent="0.3">
      <c r="A41" s="83" t="s">
        <v>1</v>
      </c>
      <c r="B41" s="52" t="s">
        <v>123</v>
      </c>
      <c r="C41" s="220"/>
      <c r="D41" s="220"/>
      <c r="E41" s="220"/>
      <c r="F41" s="220"/>
    </row>
    <row r="42" spans="1:9" ht="15" customHeight="1" x14ac:dyDescent="0.3">
      <c r="A42" s="68" t="s">
        <v>3</v>
      </c>
      <c r="B42" s="6" t="s">
        <v>124</v>
      </c>
      <c r="C42" s="65"/>
      <c r="D42" s="65"/>
      <c r="E42" s="65"/>
      <c r="F42" s="220"/>
    </row>
    <row r="43" spans="1:9" ht="15" customHeight="1" x14ac:dyDescent="0.3">
      <c r="A43" s="68" t="s">
        <v>5</v>
      </c>
      <c r="B43" s="10">
        <v>99.3</v>
      </c>
      <c r="C43" s="65"/>
      <c r="D43" s="65"/>
      <c r="E43" s="65"/>
      <c r="F43" s="220"/>
    </row>
    <row r="44" spans="1:9" ht="15" customHeight="1" x14ac:dyDescent="0.3">
      <c r="A44" s="6" t="s">
        <v>7</v>
      </c>
      <c r="B44" s="10">
        <f>'Atazanavir S2'!D96</f>
        <v>15.15</v>
      </c>
      <c r="C44" s="65"/>
      <c r="D44" s="65"/>
      <c r="E44" s="65"/>
      <c r="F44" s="220"/>
    </row>
    <row r="45" spans="1:9" ht="16.5" x14ac:dyDescent="0.3">
      <c r="A45" s="6" t="s">
        <v>9</v>
      </c>
      <c r="B45" s="11">
        <f>B44/100</f>
        <v>0.1515</v>
      </c>
      <c r="C45" s="65"/>
      <c r="D45" s="65"/>
      <c r="E45" s="65"/>
      <c r="F45" s="220"/>
    </row>
    <row r="46" spans="1:9" ht="16.5" x14ac:dyDescent="0.3">
      <c r="A46" s="14" t="s">
        <v>11</v>
      </c>
      <c r="B46" s="13" t="s">
        <v>12</v>
      </c>
      <c r="C46" s="14" t="s">
        <v>13</v>
      </c>
      <c r="D46" s="14" t="s">
        <v>14</v>
      </c>
      <c r="E46" s="14" t="s">
        <v>15</v>
      </c>
      <c r="F46" s="220"/>
    </row>
    <row r="47" spans="1:9" ht="16.5" x14ac:dyDescent="0.3">
      <c r="A47" s="15">
        <v>1</v>
      </c>
      <c r="B47" s="16">
        <v>91670617</v>
      </c>
      <c r="C47" s="16">
        <v>7362</v>
      </c>
      <c r="D47" s="17">
        <v>1.1000000000000001</v>
      </c>
      <c r="E47" s="18">
        <v>5.2</v>
      </c>
      <c r="F47" s="220"/>
    </row>
    <row r="48" spans="1:9" ht="16.5" x14ac:dyDescent="0.3">
      <c r="A48" s="15">
        <v>2</v>
      </c>
      <c r="B48" s="16">
        <v>91493550</v>
      </c>
      <c r="C48" s="16">
        <v>7364</v>
      </c>
      <c r="D48" s="17">
        <v>1.1000000000000001</v>
      </c>
      <c r="E48" s="17">
        <v>5.2</v>
      </c>
      <c r="F48" s="220"/>
    </row>
    <row r="49" spans="1:9" ht="16.5" x14ac:dyDescent="0.3">
      <c r="A49" s="15">
        <v>3</v>
      </c>
      <c r="B49" s="16">
        <v>91642731</v>
      </c>
      <c r="C49" s="16">
        <v>7341</v>
      </c>
      <c r="D49" s="17">
        <v>1.1000000000000001</v>
      </c>
      <c r="E49" s="17">
        <v>5.2</v>
      </c>
      <c r="F49" s="220"/>
    </row>
    <row r="50" spans="1:9" ht="16.5" x14ac:dyDescent="0.3">
      <c r="A50" s="15">
        <v>4</v>
      </c>
      <c r="B50" s="16">
        <v>91772523</v>
      </c>
      <c r="C50" s="16">
        <v>7405</v>
      </c>
      <c r="D50" s="17">
        <v>1.08</v>
      </c>
      <c r="E50" s="17">
        <v>5.21</v>
      </c>
      <c r="F50" s="220"/>
    </row>
    <row r="51" spans="1:9" ht="16.5" x14ac:dyDescent="0.3">
      <c r="A51" s="15">
        <v>5</v>
      </c>
      <c r="B51" s="16">
        <v>91723986</v>
      </c>
      <c r="C51" s="16">
        <v>7346</v>
      </c>
      <c r="D51" s="17">
        <v>1.1000000000000001</v>
      </c>
      <c r="E51" s="17">
        <v>5.21</v>
      </c>
      <c r="F51" s="220"/>
    </row>
    <row r="52" spans="1:9" ht="16.5" x14ac:dyDescent="0.3">
      <c r="A52" s="15">
        <v>6</v>
      </c>
      <c r="B52" s="19">
        <v>91842106</v>
      </c>
      <c r="C52" s="19">
        <v>7377</v>
      </c>
      <c r="D52" s="20">
        <v>1.1000000000000001</v>
      </c>
      <c r="E52" s="20">
        <v>5.21</v>
      </c>
      <c r="F52" s="220"/>
    </row>
    <row r="53" spans="1:9" ht="16.5" x14ac:dyDescent="0.3">
      <c r="A53" s="21" t="s">
        <v>16</v>
      </c>
      <c r="B53" s="22">
        <f>AVERAGE(B47:B52)</f>
        <v>91690918.833333328</v>
      </c>
      <c r="C53" s="23">
        <f>AVERAGE(C47:C52)</f>
        <v>7365.833333333333</v>
      </c>
      <c r="D53" s="24">
        <f>AVERAGE(D47:D52)</f>
        <v>1.0966666666666667</v>
      </c>
      <c r="E53" s="24">
        <f>AVERAGE(E47:E52)</f>
        <v>5.205000000000001</v>
      </c>
      <c r="F53" s="220"/>
    </row>
    <row r="54" spans="1:9" ht="16.5" x14ac:dyDescent="0.3">
      <c r="A54" s="25" t="s">
        <v>17</v>
      </c>
      <c r="B54" s="26">
        <f>(STDEV(B47:B52)/B53)</f>
        <v>1.3114586227738736E-3</v>
      </c>
      <c r="C54" s="27"/>
      <c r="D54" s="27"/>
      <c r="E54" s="28"/>
      <c r="F54" s="220"/>
    </row>
    <row r="55" spans="1:9" ht="16.5" x14ac:dyDescent="0.3">
      <c r="A55" s="29" t="s">
        <v>18</v>
      </c>
      <c r="B55" s="30">
        <f>COUNT(B47:B52)</f>
        <v>6</v>
      </c>
      <c r="C55" s="31"/>
      <c r="D55" s="66"/>
      <c r="E55" s="33"/>
      <c r="F55" s="220"/>
    </row>
    <row r="56" spans="1:9" ht="15.75" x14ac:dyDescent="0.25">
      <c r="A56" s="65"/>
      <c r="B56" s="65"/>
      <c r="C56" s="65"/>
      <c r="D56" s="65"/>
      <c r="E56" s="65"/>
      <c r="F56" s="220"/>
    </row>
    <row r="57" spans="1:9" ht="16.5" x14ac:dyDescent="0.3">
      <c r="A57" s="68" t="s">
        <v>19</v>
      </c>
      <c r="B57" s="37" t="s">
        <v>20</v>
      </c>
      <c r="C57" s="36"/>
      <c r="D57" s="36"/>
      <c r="E57" s="36"/>
      <c r="F57" s="220"/>
    </row>
    <row r="58" spans="1:9" s="38" customFormat="1" ht="16.5" x14ac:dyDescent="0.3">
      <c r="A58" s="68"/>
      <c r="B58" s="37"/>
      <c r="C58" s="36"/>
      <c r="D58" s="36"/>
      <c r="E58" s="36"/>
      <c r="F58" s="220"/>
      <c r="G58" s="220"/>
      <c r="H58" s="220"/>
      <c r="I58" s="220"/>
    </row>
    <row r="59" spans="1:9" s="38" customFormat="1" ht="16.5" x14ac:dyDescent="0.3">
      <c r="A59" s="455" t="s">
        <v>145</v>
      </c>
      <c r="B59" s="37"/>
      <c r="C59" s="36"/>
      <c r="D59" s="36"/>
      <c r="E59" s="36"/>
      <c r="F59" s="220"/>
      <c r="G59" s="220"/>
      <c r="H59" s="220"/>
      <c r="I59" s="220"/>
    </row>
    <row r="60" spans="1:9" s="38" customFormat="1" ht="16.5" x14ac:dyDescent="0.3">
      <c r="A60" s="83" t="s">
        <v>1</v>
      </c>
      <c r="B60" s="52" t="s">
        <v>144</v>
      </c>
      <c r="C60" s="220"/>
      <c r="D60" s="220"/>
      <c r="E60" s="220"/>
      <c r="F60" s="220"/>
      <c r="G60" s="220"/>
      <c r="H60" s="220"/>
      <c r="I60" s="220"/>
    </row>
    <row r="61" spans="1:9" s="38" customFormat="1" ht="16.5" x14ac:dyDescent="0.3">
      <c r="A61" s="68" t="s">
        <v>3</v>
      </c>
      <c r="B61" s="6" t="s">
        <v>124</v>
      </c>
      <c r="C61" s="65"/>
      <c r="D61" s="65"/>
      <c r="E61" s="65"/>
      <c r="F61" s="220"/>
      <c r="G61" s="220"/>
      <c r="H61" s="220"/>
      <c r="I61" s="220"/>
    </row>
    <row r="62" spans="1:9" s="38" customFormat="1" ht="16.5" x14ac:dyDescent="0.3">
      <c r="A62" s="68" t="s">
        <v>5</v>
      </c>
      <c r="B62" s="10">
        <v>99.3</v>
      </c>
      <c r="C62" s="65"/>
      <c r="D62" s="65"/>
      <c r="E62" s="65"/>
      <c r="F62" s="220"/>
      <c r="G62" s="220"/>
      <c r="H62" s="220"/>
      <c r="I62" s="220"/>
    </row>
    <row r="63" spans="1:9" s="38" customFormat="1" ht="16.5" x14ac:dyDescent="0.3">
      <c r="A63" s="6" t="s">
        <v>7</v>
      </c>
      <c r="B63" s="10">
        <f>'Atazanavir S2'!D139</f>
        <v>14.28</v>
      </c>
      <c r="C63" s="65"/>
      <c r="D63" s="65"/>
      <c r="E63" s="65"/>
      <c r="F63" s="220"/>
      <c r="G63" s="220"/>
      <c r="H63" s="220"/>
      <c r="I63" s="220"/>
    </row>
    <row r="64" spans="1:9" s="38" customFormat="1" ht="16.5" x14ac:dyDescent="0.3">
      <c r="A64" s="6" t="s">
        <v>9</v>
      </c>
      <c r="B64" s="11">
        <f>B63/100</f>
        <v>0.14279999999999998</v>
      </c>
      <c r="C64" s="65"/>
      <c r="D64" s="65"/>
      <c r="E64" s="65"/>
      <c r="F64" s="220"/>
      <c r="G64" s="220"/>
      <c r="H64" s="220"/>
      <c r="I64" s="220"/>
    </row>
    <row r="65" spans="1:9" s="38" customFormat="1" ht="16.5" x14ac:dyDescent="0.3">
      <c r="A65" s="14" t="s">
        <v>11</v>
      </c>
      <c r="B65" s="13" t="s">
        <v>12</v>
      </c>
      <c r="C65" s="14" t="s">
        <v>13</v>
      </c>
      <c r="D65" s="14" t="s">
        <v>14</v>
      </c>
      <c r="E65" s="14" t="s">
        <v>15</v>
      </c>
      <c r="F65" s="220"/>
      <c r="G65" s="220"/>
      <c r="H65" s="220"/>
      <c r="I65" s="220"/>
    </row>
    <row r="66" spans="1:9" s="38" customFormat="1" ht="16.5" x14ac:dyDescent="0.3">
      <c r="A66" s="15">
        <v>1</v>
      </c>
      <c r="B66" s="16">
        <v>90314045</v>
      </c>
      <c r="C66" s="16">
        <v>9603</v>
      </c>
      <c r="D66" s="17">
        <v>1.06</v>
      </c>
      <c r="E66" s="18">
        <v>9.0299999999999994</v>
      </c>
      <c r="F66" s="220"/>
      <c r="G66" s="220"/>
      <c r="H66" s="220"/>
      <c r="I66" s="220"/>
    </row>
    <row r="67" spans="1:9" s="38" customFormat="1" ht="16.5" x14ac:dyDescent="0.3">
      <c r="A67" s="15">
        <v>2</v>
      </c>
      <c r="B67" s="16">
        <v>90217690</v>
      </c>
      <c r="C67" s="16">
        <v>9643</v>
      </c>
      <c r="D67" s="17">
        <v>1.05</v>
      </c>
      <c r="E67" s="17">
        <v>9.0299999999999994</v>
      </c>
      <c r="F67" s="220"/>
      <c r="G67" s="220"/>
      <c r="H67" s="220"/>
      <c r="I67" s="220"/>
    </row>
    <row r="68" spans="1:9" s="38" customFormat="1" ht="16.5" x14ac:dyDescent="0.3">
      <c r="A68" s="15">
        <v>3</v>
      </c>
      <c r="B68" s="16">
        <v>89963665</v>
      </c>
      <c r="C68" s="16">
        <v>9614</v>
      </c>
      <c r="D68" s="17">
        <v>1.06</v>
      </c>
      <c r="E68" s="17">
        <v>9.0299999999999994</v>
      </c>
      <c r="F68" s="220"/>
      <c r="G68" s="220"/>
      <c r="H68" s="220"/>
      <c r="I68" s="220"/>
    </row>
    <row r="69" spans="1:9" s="38" customFormat="1" ht="16.5" x14ac:dyDescent="0.3">
      <c r="A69" s="15">
        <v>4</v>
      </c>
      <c r="B69" s="16">
        <v>90046512</v>
      </c>
      <c r="C69" s="16">
        <v>9647</v>
      </c>
      <c r="D69" s="17">
        <v>1.05</v>
      </c>
      <c r="E69" s="17">
        <v>9.0299999999999994</v>
      </c>
      <c r="F69" s="220"/>
      <c r="G69" s="220"/>
      <c r="H69" s="220"/>
      <c r="I69" s="220"/>
    </row>
    <row r="70" spans="1:9" s="38" customFormat="1" ht="16.5" x14ac:dyDescent="0.3">
      <c r="A70" s="15">
        <v>5</v>
      </c>
      <c r="B70" s="16">
        <v>90166017</v>
      </c>
      <c r="C70" s="16">
        <v>9632</v>
      </c>
      <c r="D70" s="17">
        <v>1.06</v>
      </c>
      <c r="E70" s="17">
        <v>9.0299999999999994</v>
      </c>
      <c r="F70" s="220"/>
      <c r="G70" s="220"/>
      <c r="H70" s="220"/>
      <c r="I70" s="220"/>
    </row>
    <row r="71" spans="1:9" s="38" customFormat="1" ht="16.5" x14ac:dyDescent="0.3">
      <c r="A71" s="15">
        <v>6</v>
      </c>
      <c r="B71" s="19">
        <v>90070599</v>
      </c>
      <c r="C71" s="19">
        <v>9626</v>
      </c>
      <c r="D71" s="20">
        <v>1.06</v>
      </c>
      <c r="E71" s="20">
        <v>9.0299999999999994</v>
      </c>
      <c r="F71" s="220"/>
      <c r="G71" s="220"/>
      <c r="H71" s="220"/>
      <c r="I71" s="220"/>
    </row>
    <row r="72" spans="1:9" s="38" customFormat="1" ht="16.5" x14ac:dyDescent="0.3">
      <c r="A72" s="21" t="s">
        <v>16</v>
      </c>
      <c r="B72" s="22">
        <f>AVERAGE(B66:B71)</f>
        <v>90129754.666666672</v>
      </c>
      <c r="C72" s="23">
        <f>AVERAGE(C66:C71)</f>
        <v>9627.5</v>
      </c>
      <c r="D72" s="24">
        <f>AVERAGE(D66:D71)</f>
        <v>1.0566666666666669</v>
      </c>
      <c r="E72" s="24">
        <f>AVERAGE(E66:E71)</f>
        <v>9.0299999999999994</v>
      </c>
      <c r="F72" s="220"/>
      <c r="G72" s="220"/>
      <c r="H72" s="220"/>
      <c r="I72" s="220"/>
    </row>
    <row r="73" spans="1:9" s="38" customFormat="1" ht="16.5" x14ac:dyDescent="0.3">
      <c r="A73" s="25" t="s">
        <v>17</v>
      </c>
      <c r="B73" s="26">
        <f>(STDEV(B66:B71)/B72)</f>
        <v>1.4123956724406818E-3</v>
      </c>
      <c r="C73" s="27"/>
      <c r="D73" s="27"/>
      <c r="E73" s="28"/>
      <c r="F73" s="220"/>
      <c r="G73" s="220"/>
      <c r="H73" s="220"/>
      <c r="I73" s="220"/>
    </row>
    <row r="74" spans="1:9" s="38" customFormat="1" ht="16.5" x14ac:dyDescent="0.3">
      <c r="A74" s="29" t="s">
        <v>18</v>
      </c>
      <c r="B74" s="30">
        <f>COUNT(B66:B71)</f>
        <v>6</v>
      </c>
      <c r="C74" s="31"/>
      <c r="D74" s="66"/>
      <c r="E74" s="33"/>
      <c r="F74" s="220"/>
      <c r="G74" s="220"/>
      <c r="H74" s="220"/>
      <c r="I74" s="220"/>
    </row>
    <row r="75" spans="1:9" s="38" customFormat="1" ht="15.75" x14ac:dyDescent="0.25">
      <c r="A75" s="65"/>
      <c r="B75" s="65"/>
      <c r="C75" s="65"/>
      <c r="D75" s="65"/>
      <c r="E75" s="65"/>
      <c r="F75" s="220"/>
      <c r="G75" s="220"/>
      <c r="H75" s="220"/>
      <c r="I75" s="220"/>
    </row>
    <row r="76" spans="1:9" s="38" customFormat="1" ht="16.5" x14ac:dyDescent="0.3">
      <c r="A76" s="68" t="s">
        <v>19</v>
      </c>
      <c r="B76" s="37" t="s">
        <v>20</v>
      </c>
      <c r="C76" s="36"/>
      <c r="D76" s="36"/>
      <c r="E76" s="36"/>
      <c r="F76" s="220"/>
      <c r="G76" s="220"/>
      <c r="H76" s="220"/>
      <c r="I76" s="220"/>
    </row>
    <row r="77" spans="1:9" s="38" customFormat="1" ht="17.25" thickBot="1" x14ac:dyDescent="0.35">
      <c r="A77" s="68"/>
      <c r="B77" s="37"/>
      <c r="C77" s="36"/>
      <c r="D77" s="36"/>
      <c r="E77" s="36"/>
      <c r="F77" s="220"/>
      <c r="G77" s="220"/>
      <c r="H77" s="220"/>
      <c r="I77" s="220"/>
    </row>
    <row r="78" spans="1:9" ht="15" x14ac:dyDescent="0.3">
      <c r="A78" s="220"/>
      <c r="B78" s="493" t="s">
        <v>23</v>
      </c>
      <c r="C78" s="493"/>
      <c r="D78" s="220"/>
      <c r="E78" s="39" t="s">
        <v>24</v>
      </c>
      <c r="F78" s="40"/>
      <c r="G78" s="39" t="s">
        <v>25</v>
      </c>
    </row>
    <row r="79" spans="1:9" ht="15" x14ac:dyDescent="0.3">
      <c r="A79" s="41" t="s">
        <v>26</v>
      </c>
      <c r="B79" s="42"/>
      <c r="C79" s="42"/>
      <c r="D79" s="220"/>
      <c r="E79" s="42"/>
      <c r="F79" s="220"/>
      <c r="G79" s="42"/>
    </row>
    <row r="80" spans="1:9" ht="15" x14ac:dyDescent="0.3">
      <c r="A80" s="41" t="s">
        <v>27</v>
      </c>
      <c r="B80" s="43"/>
      <c r="C80" s="43"/>
      <c r="D80" s="220"/>
      <c r="E80" s="43"/>
      <c r="F80" s="220"/>
      <c r="G80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78:C78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2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7" t="s">
        <v>28</v>
      </c>
      <c r="B11" s="498"/>
      <c r="C11" s="498"/>
      <c r="D11" s="498"/>
      <c r="E11" s="498"/>
      <c r="F11" s="499"/>
      <c r="G11" s="84"/>
    </row>
    <row r="12" spans="1:7" ht="16.5" customHeight="1" x14ac:dyDescent="0.3">
      <c r="A12" s="496" t="s">
        <v>29</v>
      </c>
      <c r="B12" s="496"/>
      <c r="C12" s="496"/>
      <c r="D12" s="496"/>
      <c r="E12" s="496"/>
      <c r="F12" s="496"/>
      <c r="G12" s="83"/>
    </row>
    <row r="14" spans="1:7" ht="16.5" customHeight="1" x14ac:dyDescent="0.3">
      <c r="A14" s="501" t="s">
        <v>30</v>
      </c>
      <c r="B14" s="501"/>
      <c r="C14" s="53" t="s">
        <v>4</v>
      </c>
    </row>
    <row r="15" spans="1:7" ht="16.5" customHeight="1" x14ac:dyDescent="0.3">
      <c r="A15" s="501" t="s">
        <v>31</v>
      </c>
      <c r="B15" s="501"/>
      <c r="C15" s="53" t="s">
        <v>6</v>
      </c>
    </row>
    <row r="16" spans="1:7" ht="16.5" customHeight="1" x14ac:dyDescent="0.3">
      <c r="A16" s="501" t="s">
        <v>32</v>
      </c>
      <c r="B16" s="501"/>
      <c r="C16" s="53" t="s">
        <v>8</v>
      </c>
    </row>
    <row r="17" spans="1:5" ht="16.5" customHeight="1" x14ac:dyDescent="0.3">
      <c r="A17" s="501" t="s">
        <v>33</v>
      </c>
      <c r="B17" s="501"/>
      <c r="C17" s="53" t="s">
        <v>10</v>
      </c>
    </row>
    <row r="18" spans="1:5" ht="16.5" customHeight="1" x14ac:dyDescent="0.3">
      <c r="A18" s="501" t="s">
        <v>34</v>
      </c>
      <c r="B18" s="501"/>
      <c r="C18" s="90"/>
    </row>
    <row r="19" spans="1:5" ht="16.5" customHeight="1" x14ac:dyDescent="0.3">
      <c r="A19" s="501" t="s">
        <v>35</v>
      </c>
      <c r="B19" s="501"/>
      <c r="C19" s="90"/>
    </row>
    <row r="20" spans="1:5" ht="16.5" customHeight="1" x14ac:dyDescent="0.3">
      <c r="A20" s="55"/>
      <c r="B20" s="55"/>
      <c r="C20" s="70"/>
    </row>
    <row r="21" spans="1:5" ht="16.5" customHeight="1" x14ac:dyDescent="0.3">
      <c r="A21" s="496" t="s">
        <v>1</v>
      </c>
      <c r="B21" s="496"/>
      <c r="C21" s="52" t="s">
        <v>36</v>
      </c>
      <c r="D21" s="59"/>
    </row>
    <row r="22" spans="1:5" ht="15.75" customHeight="1" x14ac:dyDescent="0.3">
      <c r="A22" s="500"/>
      <c r="B22" s="500"/>
      <c r="C22" s="50"/>
      <c r="D22" s="500"/>
      <c r="E22" s="500"/>
    </row>
    <row r="23" spans="1:5" ht="33.75" customHeight="1" x14ac:dyDescent="0.3">
      <c r="C23" s="79" t="s">
        <v>37</v>
      </c>
      <c r="D23" s="78" t="s">
        <v>38</v>
      </c>
      <c r="E23" s="45"/>
    </row>
    <row r="24" spans="1:5" ht="15.75" customHeight="1" x14ac:dyDescent="0.3">
      <c r="C24" s="88">
        <v>1977.36</v>
      </c>
      <c r="D24" s="80">
        <f t="shared" ref="D24:D43" si="0">(C24-$C$46)/$C$46</f>
        <v>1.5149143853048672E-3</v>
      </c>
      <c r="E24" s="46"/>
    </row>
    <row r="25" spans="1:5" ht="15.75" customHeight="1" x14ac:dyDescent="0.3">
      <c r="C25" s="88">
        <v>1970.43</v>
      </c>
      <c r="D25" s="81">
        <f t="shared" si="0"/>
        <v>-1.9950677912790623E-3</v>
      </c>
      <c r="E25" s="46"/>
    </row>
    <row r="26" spans="1:5" ht="15.75" customHeight="1" x14ac:dyDescent="0.3">
      <c r="C26" s="88">
        <v>1989.83</v>
      </c>
      <c r="D26" s="81">
        <f t="shared" si="0"/>
        <v>7.8308563394178157E-3</v>
      </c>
      <c r="E26" s="46"/>
    </row>
    <row r="27" spans="1:5" ht="15.75" customHeight="1" x14ac:dyDescent="0.3">
      <c r="C27" s="88">
        <v>1969.89</v>
      </c>
      <c r="D27" s="81">
        <f t="shared" si="0"/>
        <v>-2.2685728959479282E-3</v>
      </c>
      <c r="E27" s="46"/>
    </row>
    <row r="28" spans="1:5" ht="15.75" customHeight="1" x14ac:dyDescent="0.3">
      <c r="C28" s="88">
        <v>1944.96</v>
      </c>
      <c r="D28" s="81">
        <f t="shared" si="0"/>
        <v>-1.489539189482811E-2</v>
      </c>
      <c r="E28" s="46"/>
    </row>
    <row r="29" spans="1:5" ht="15.75" customHeight="1" x14ac:dyDescent="0.3">
      <c r="C29" s="88">
        <v>1989.16</v>
      </c>
      <c r="D29" s="81">
        <f t="shared" si="0"/>
        <v>7.4915074132546489E-3</v>
      </c>
      <c r="E29" s="46"/>
    </row>
    <row r="30" spans="1:5" ht="15.75" customHeight="1" x14ac:dyDescent="0.3">
      <c r="C30" s="88">
        <v>1966.25</v>
      </c>
      <c r="D30" s="81">
        <f t="shared" si="0"/>
        <v>-4.1121998977900866E-3</v>
      </c>
      <c r="E30" s="46"/>
    </row>
    <row r="31" spans="1:5" ht="15.75" customHeight="1" x14ac:dyDescent="0.3">
      <c r="C31" s="88">
        <v>1986.76</v>
      </c>
      <c r="D31" s="81">
        <f t="shared" si="0"/>
        <v>6.2759291702817847E-3</v>
      </c>
      <c r="E31" s="46"/>
    </row>
    <row r="32" spans="1:5" ht="15.75" customHeight="1" x14ac:dyDescent="0.3">
      <c r="C32" s="88">
        <v>1961.78</v>
      </c>
      <c r="D32" s="81">
        <f t="shared" si="0"/>
        <v>-6.3762143753269742E-3</v>
      </c>
      <c r="E32" s="46"/>
    </row>
    <row r="33" spans="1:7" ht="15.75" customHeight="1" x14ac:dyDescent="0.3">
      <c r="C33" s="88">
        <v>1978.73</v>
      </c>
      <c r="D33" s="81">
        <f t="shared" si="0"/>
        <v>2.2088069656685774E-3</v>
      </c>
      <c r="E33" s="46"/>
    </row>
    <row r="34" spans="1:7" ht="15.75" customHeight="1" x14ac:dyDescent="0.3">
      <c r="C34" s="88">
        <v>1978.13</v>
      </c>
      <c r="D34" s="81">
        <f t="shared" si="0"/>
        <v>1.9049124049254191E-3</v>
      </c>
      <c r="E34" s="46"/>
    </row>
    <row r="35" spans="1:7" ht="15.75" customHeight="1" x14ac:dyDescent="0.3">
      <c r="C35" s="88">
        <v>1978.95</v>
      </c>
      <c r="D35" s="81">
        <f t="shared" si="0"/>
        <v>2.3202349712744333E-3</v>
      </c>
      <c r="E35" s="46"/>
    </row>
    <row r="36" spans="1:7" ht="15.75" customHeight="1" x14ac:dyDescent="0.3">
      <c r="C36" s="88">
        <v>1996.48</v>
      </c>
      <c r="D36" s="81">
        <f t="shared" si="0"/>
        <v>1.1199021054321712E-2</v>
      </c>
      <c r="E36" s="46"/>
    </row>
    <row r="37" spans="1:7" ht="15.75" customHeight="1" x14ac:dyDescent="0.3">
      <c r="C37" s="88">
        <v>1979.5</v>
      </c>
      <c r="D37" s="81">
        <f t="shared" si="0"/>
        <v>2.5988049852890141E-3</v>
      </c>
      <c r="E37" s="46"/>
    </row>
    <row r="38" spans="1:7" ht="15.75" customHeight="1" x14ac:dyDescent="0.3">
      <c r="C38" s="88">
        <v>1959.69</v>
      </c>
      <c r="D38" s="81">
        <f t="shared" si="0"/>
        <v>-7.4347804285824284E-3</v>
      </c>
      <c r="E38" s="46"/>
    </row>
    <row r="39" spans="1:7" ht="15.75" customHeight="1" x14ac:dyDescent="0.3">
      <c r="C39" s="88">
        <v>1972.3</v>
      </c>
      <c r="D39" s="81">
        <f t="shared" si="0"/>
        <v>-1.0479297436294635E-3</v>
      </c>
      <c r="E39" s="46"/>
    </row>
    <row r="40" spans="1:7" ht="15.75" customHeight="1" x14ac:dyDescent="0.3">
      <c r="C40" s="88">
        <v>1971.47</v>
      </c>
      <c r="D40" s="81">
        <f t="shared" si="0"/>
        <v>-1.4683172193241929E-3</v>
      </c>
      <c r="E40" s="46"/>
    </row>
    <row r="41" spans="1:7" ht="15.75" customHeight="1" x14ac:dyDescent="0.3">
      <c r="C41" s="88">
        <v>1984.06</v>
      </c>
      <c r="D41" s="81">
        <f t="shared" si="0"/>
        <v>4.9084036469373409E-3</v>
      </c>
      <c r="E41" s="46"/>
    </row>
    <row r="42" spans="1:7" ht="15.75" customHeight="1" x14ac:dyDescent="0.3">
      <c r="C42" s="88">
        <v>1969.54</v>
      </c>
      <c r="D42" s="81">
        <f t="shared" si="0"/>
        <v>-2.4458447230481998E-3</v>
      </c>
      <c r="E42" s="46"/>
    </row>
    <row r="43" spans="1:7" ht="16.5" customHeight="1" x14ac:dyDescent="0.3">
      <c r="C43" s="89">
        <v>1962.11</v>
      </c>
      <c r="D43" s="82">
        <f t="shared" si="0"/>
        <v>-6.2090723669182488E-3</v>
      </c>
      <c r="E43" s="46"/>
    </row>
    <row r="44" spans="1:7" ht="16.5" customHeight="1" x14ac:dyDescent="0.3">
      <c r="C44" s="47"/>
      <c r="D44" s="46"/>
      <c r="E44" s="48"/>
    </row>
    <row r="45" spans="1:7" ht="16.5" customHeight="1" x14ac:dyDescent="0.3">
      <c r="B45" s="75" t="s">
        <v>39</v>
      </c>
      <c r="C45" s="76">
        <f>SUM(C24:C44)</f>
        <v>39487.379999999997</v>
      </c>
      <c r="D45" s="71"/>
      <c r="E45" s="47"/>
    </row>
    <row r="46" spans="1:7" ht="17.25" customHeight="1" x14ac:dyDescent="0.3">
      <c r="B46" s="75" t="s">
        <v>40</v>
      </c>
      <c r="C46" s="77">
        <f>AVERAGE(C24:C44)</f>
        <v>1974.3689999999999</v>
      </c>
      <c r="E46" s="49"/>
    </row>
    <row r="47" spans="1:7" ht="17.25" customHeight="1" x14ac:dyDescent="0.3">
      <c r="A47" s="53"/>
      <c r="B47" s="72"/>
      <c r="D47" s="51"/>
      <c r="E47" s="49"/>
    </row>
    <row r="48" spans="1:7" ht="33.75" customHeight="1" x14ac:dyDescent="0.3">
      <c r="B48" s="85" t="s">
        <v>40</v>
      </c>
      <c r="C48" s="78" t="s">
        <v>41</v>
      </c>
      <c r="D48" s="73"/>
      <c r="G48" s="51"/>
    </row>
    <row r="49" spans="1:6" ht="17.25" customHeight="1" x14ac:dyDescent="0.3">
      <c r="B49" s="494">
        <f>C46</f>
        <v>1974.3689999999999</v>
      </c>
      <c r="C49" s="86">
        <f>-IF(C46&lt;=80,10%,IF(C46&lt;250,7.5%,5%))</f>
        <v>-0.05</v>
      </c>
      <c r="D49" s="74">
        <f>IF(C46&lt;=80,C46*0.9,IF(C46&lt;250,C46*0.925,C46*0.95))</f>
        <v>1875.6505499999998</v>
      </c>
    </row>
    <row r="50" spans="1:6" ht="17.25" customHeight="1" x14ac:dyDescent="0.3">
      <c r="B50" s="495"/>
      <c r="C50" s="87">
        <f>IF(C46&lt;=80, 10%, IF(C46&lt;250, 7.5%, 5%))</f>
        <v>0.05</v>
      </c>
      <c r="D50" s="74">
        <f>IF(C46&lt;=80, C46*1.1, IF(C46&lt;250, C46*1.075, C46*1.05))</f>
        <v>2073.08745</v>
      </c>
    </row>
    <row r="51" spans="1:6" ht="16.5" customHeight="1" x14ac:dyDescent="0.3">
      <c r="A51" s="56"/>
      <c r="B51" s="57"/>
      <c r="C51" s="53"/>
      <c r="D51" s="58"/>
      <c r="E51" s="53"/>
      <c r="F51" s="59"/>
    </row>
    <row r="52" spans="1:6" ht="16.5" customHeight="1" x14ac:dyDescent="0.3">
      <c r="A52" s="53"/>
      <c r="B52" s="60" t="s">
        <v>23</v>
      </c>
      <c r="C52" s="60"/>
      <c r="D52" s="61" t="s">
        <v>24</v>
      </c>
      <c r="E52" s="62"/>
      <c r="F52" s="61" t="s">
        <v>25</v>
      </c>
    </row>
    <row r="53" spans="1:6" ht="34.5" customHeight="1" x14ac:dyDescent="0.3">
      <c r="A53" s="63" t="s">
        <v>26</v>
      </c>
      <c r="B53" s="64"/>
      <c r="C53" s="65"/>
      <c r="D53" s="64"/>
      <c r="E53" s="54"/>
      <c r="F53" s="66"/>
    </row>
    <row r="54" spans="1:6" ht="34.5" customHeight="1" x14ac:dyDescent="0.3">
      <c r="A54" s="63" t="s">
        <v>27</v>
      </c>
      <c r="B54" s="67"/>
      <c r="C54" s="68"/>
      <c r="D54" s="67"/>
      <c r="E54" s="54"/>
      <c r="F54" s="69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3" zoomScale="60" zoomScaleNormal="40" zoomScalePageLayoutView="55" workbookViewId="0">
      <selection activeCell="F60" sqref="F60: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42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43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91"/>
    </row>
    <row r="16" spans="1:9" ht="19.5" customHeight="1" x14ac:dyDescent="0.3">
      <c r="A16" s="536" t="s">
        <v>28</v>
      </c>
      <c r="B16" s="537"/>
      <c r="C16" s="537"/>
      <c r="D16" s="537"/>
      <c r="E16" s="537"/>
      <c r="F16" s="537"/>
      <c r="G16" s="537"/>
      <c r="H16" s="538"/>
    </row>
    <row r="17" spans="1:14" ht="20.25" customHeight="1" x14ac:dyDescent="0.25">
      <c r="A17" s="539" t="s">
        <v>44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93" t="s">
        <v>30</v>
      </c>
      <c r="B18" s="535" t="s">
        <v>4</v>
      </c>
      <c r="C18" s="535"/>
      <c r="D18" s="260"/>
      <c r="E18" s="94"/>
      <c r="F18" s="95"/>
      <c r="G18" s="95"/>
      <c r="H18" s="95"/>
    </row>
    <row r="19" spans="1:14" ht="26.25" customHeight="1" x14ac:dyDescent="0.4">
      <c r="A19" s="93" t="s">
        <v>31</v>
      </c>
      <c r="B19" s="96" t="s">
        <v>6</v>
      </c>
      <c r="C19" s="273">
        <v>29</v>
      </c>
      <c r="D19" s="95"/>
      <c r="E19" s="95"/>
      <c r="F19" s="95"/>
      <c r="G19" s="95"/>
      <c r="H19" s="95"/>
    </row>
    <row r="20" spans="1:14" ht="26.25" customHeight="1" x14ac:dyDescent="0.4">
      <c r="A20" s="93" t="s">
        <v>32</v>
      </c>
      <c r="B20" s="540" t="s">
        <v>138</v>
      </c>
      <c r="C20" s="540"/>
      <c r="D20" s="95"/>
      <c r="E20" s="95"/>
      <c r="F20" s="95"/>
      <c r="G20" s="95"/>
      <c r="H20" s="95"/>
    </row>
    <row r="21" spans="1:14" ht="26.25" customHeight="1" x14ac:dyDescent="0.4">
      <c r="A21" s="93" t="s">
        <v>33</v>
      </c>
      <c r="B21" s="540" t="s">
        <v>10</v>
      </c>
      <c r="C21" s="540"/>
      <c r="D21" s="540"/>
      <c r="E21" s="540"/>
      <c r="F21" s="540"/>
      <c r="G21" s="540"/>
      <c r="H21" s="540"/>
      <c r="I21" s="97"/>
    </row>
    <row r="22" spans="1:14" ht="26.25" customHeight="1" x14ac:dyDescent="0.4">
      <c r="A22" s="93" t="s">
        <v>34</v>
      </c>
      <c r="B22" s="98"/>
      <c r="C22" s="95"/>
      <c r="D22" s="95"/>
      <c r="E22" s="95"/>
      <c r="F22" s="95"/>
      <c r="G22" s="95"/>
      <c r="H22" s="95"/>
    </row>
    <row r="23" spans="1:14" ht="26.25" customHeight="1" x14ac:dyDescent="0.4">
      <c r="A23" s="93" t="s">
        <v>35</v>
      </c>
      <c r="B23" s="98"/>
      <c r="C23" s="95"/>
      <c r="D23" s="95"/>
      <c r="E23" s="95"/>
      <c r="F23" s="95"/>
      <c r="G23" s="95"/>
      <c r="H23" s="95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3</v>
      </c>
      <c r="B26" s="535" t="s">
        <v>139</v>
      </c>
      <c r="C26" s="535"/>
    </row>
    <row r="27" spans="1:14" ht="26.25" customHeight="1" x14ac:dyDescent="0.4">
      <c r="A27" s="102" t="s">
        <v>45</v>
      </c>
      <c r="B27" s="533" t="s">
        <v>140</v>
      </c>
      <c r="C27" s="533"/>
    </row>
    <row r="28" spans="1:14" ht="27" customHeight="1" x14ac:dyDescent="0.4">
      <c r="A28" s="102" t="s">
        <v>5</v>
      </c>
      <c r="B28" s="103">
        <v>99.3</v>
      </c>
    </row>
    <row r="29" spans="1:14" s="12" customFormat="1" ht="27" customHeight="1" x14ac:dyDescent="0.4">
      <c r="A29" s="102" t="s">
        <v>46</v>
      </c>
      <c r="B29" s="104">
        <v>0</v>
      </c>
      <c r="C29" s="510" t="s">
        <v>47</v>
      </c>
      <c r="D29" s="511"/>
      <c r="E29" s="511"/>
      <c r="F29" s="511"/>
      <c r="G29" s="512"/>
      <c r="I29" s="105"/>
      <c r="J29" s="105"/>
      <c r="K29" s="105"/>
      <c r="L29" s="105"/>
    </row>
    <row r="30" spans="1:14" s="12" customFormat="1" ht="19.5" customHeight="1" x14ac:dyDescent="0.3">
      <c r="A30" s="102" t="s">
        <v>48</v>
      </c>
      <c r="B30" s="106">
        <f>B28-B29</f>
        <v>99.3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12" customFormat="1" ht="27" customHeight="1" x14ac:dyDescent="0.4">
      <c r="A31" s="102" t="s">
        <v>49</v>
      </c>
      <c r="B31" s="109">
        <v>1</v>
      </c>
      <c r="C31" s="513" t="s">
        <v>50</v>
      </c>
      <c r="D31" s="514"/>
      <c r="E31" s="514"/>
      <c r="F31" s="514"/>
      <c r="G31" s="514"/>
      <c r="H31" s="515"/>
      <c r="I31" s="105"/>
      <c r="J31" s="105"/>
      <c r="K31" s="105"/>
      <c r="L31" s="105"/>
    </row>
    <row r="32" spans="1:14" s="12" customFormat="1" ht="27" customHeight="1" x14ac:dyDescent="0.4">
      <c r="A32" s="102" t="s">
        <v>51</v>
      </c>
      <c r="B32" s="109">
        <v>1</v>
      </c>
      <c r="C32" s="513" t="s">
        <v>52</v>
      </c>
      <c r="D32" s="514"/>
      <c r="E32" s="514"/>
      <c r="F32" s="514"/>
      <c r="G32" s="514"/>
      <c r="H32" s="515"/>
      <c r="I32" s="105"/>
      <c r="J32" s="105"/>
      <c r="K32" s="105"/>
      <c r="L32" s="110"/>
      <c r="M32" s="110"/>
      <c r="N32" s="111"/>
    </row>
    <row r="33" spans="1:14" s="12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12" customFormat="1" ht="18.75" x14ac:dyDescent="0.3">
      <c r="A34" s="102" t="s">
        <v>53</v>
      </c>
      <c r="B34" s="114">
        <v>1</v>
      </c>
      <c r="C34" s="92" t="s">
        <v>54</v>
      </c>
      <c r="D34" s="92"/>
      <c r="E34" s="92"/>
      <c r="F34" s="92"/>
      <c r="G34" s="92"/>
      <c r="I34" s="105"/>
      <c r="J34" s="105"/>
      <c r="K34" s="105"/>
      <c r="L34" s="110"/>
      <c r="M34" s="110"/>
      <c r="N34" s="111"/>
    </row>
    <row r="35" spans="1:14" s="12" customFormat="1" ht="19.5" customHeight="1" x14ac:dyDescent="0.3">
      <c r="A35" s="102"/>
      <c r="B35" s="106"/>
      <c r="G35" s="92"/>
      <c r="I35" s="105"/>
      <c r="J35" s="105"/>
      <c r="K35" s="105"/>
      <c r="L35" s="110"/>
      <c r="M35" s="110"/>
      <c r="N35" s="111"/>
    </row>
    <row r="36" spans="1:14" s="12" customFormat="1" ht="27" customHeight="1" x14ac:dyDescent="0.4">
      <c r="A36" s="115" t="s">
        <v>55</v>
      </c>
      <c r="B36" s="116">
        <v>100</v>
      </c>
      <c r="C36" s="92"/>
      <c r="D36" s="516" t="s">
        <v>56</v>
      </c>
      <c r="E36" s="534"/>
      <c r="F36" s="516" t="s">
        <v>57</v>
      </c>
      <c r="G36" s="517"/>
      <c r="J36" s="105"/>
      <c r="K36" s="105"/>
      <c r="L36" s="110"/>
      <c r="M36" s="110"/>
      <c r="N36" s="111"/>
    </row>
    <row r="37" spans="1:14" s="12" customFormat="1" ht="27" customHeight="1" x14ac:dyDescent="0.4">
      <c r="A37" s="117" t="s">
        <v>58</v>
      </c>
      <c r="B37" s="118">
        <v>1</v>
      </c>
      <c r="C37" s="119" t="s">
        <v>59</v>
      </c>
      <c r="D37" s="120" t="s">
        <v>60</v>
      </c>
      <c r="E37" s="121" t="s">
        <v>61</v>
      </c>
      <c r="F37" s="120" t="s">
        <v>60</v>
      </c>
      <c r="G37" s="122" t="s">
        <v>61</v>
      </c>
      <c r="I37" s="123" t="s">
        <v>62</v>
      </c>
      <c r="J37" s="105"/>
      <c r="K37" s="105"/>
      <c r="L37" s="110"/>
      <c r="M37" s="110"/>
      <c r="N37" s="111"/>
    </row>
    <row r="38" spans="1:14" s="12" customFormat="1" ht="26.25" customHeight="1" x14ac:dyDescent="0.4">
      <c r="A38" s="117" t="s">
        <v>63</v>
      </c>
      <c r="B38" s="118">
        <v>1</v>
      </c>
      <c r="C38" s="124">
        <v>1</v>
      </c>
      <c r="D38" s="125">
        <v>48253019</v>
      </c>
      <c r="E38" s="126">
        <f>IF(ISBLANK(D38),"-",$D$48/$D$45*D38)</f>
        <v>47733959.919831753</v>
      </c>
      <c r="F38" s="125">
        <v>50223843</v>
      </c>
      <c r="G38" s="127">
        <f>IF(ISBLANK(F38),"-",$D$48/$F$45*F38)</f>
        <v>47269054.40889968</v>
      </c>
      <c r="I38" s="128"/>
      <c r="J38" s="105"/>
      <c r="K38" s="105"/>
      <c r="L38" s="110"/>
      <c r="M38" s="110"/>
      <c r="N38" s="111"/>
    </row>
    <row r="39" spans="1:14" s="12" customFormat="1" ht="26.25" customHeight="1" x14ac:dyDescent="0.4">
      <c r="A39" s="117" t="s">
        <v>64</v>
      </c>
      <c r="B39" s="118">
        <v>1</v>
      </c>
      <c r="C39" s="129">
        <v>2</v>
      </c>
      <c r="D39" s="130">
        <v>48255490</v>
      </c>
      <c r="E39" s="131">
        <f>IF(ISBLANK(D39),"-",$D$48/$D$45*D39)</f>
        <v>47736404.339215375</v>
      </c>
      <c r="F39" s="130">
        <v>50378828</v>
      </c>
      <c r="G39" s="132">
        <f>IF(ISBLANK(F39),"-",$D$48/$F$45*F39)</f>
        <v>47414921.271329209</v>
      </c>
      <c r="I39" s="518">
        <f>ABS((F43/D43*D42)-F42)/D42</f>
        <v>7.8448818037165809E-3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65</v>
      </c>
      <c r="B40" s="118">
        <v>1</v>
      </c>
      <c r="C40" s="129">
        <v>3</v>
      </c>
      <c r="D40" s="130">
        <v>48191070</v>
      </c>
      <c r="E40" s="131">
        <f>IF(ISBLANK(D40),"-",$D$48/$D$45*D40)</f>
        <v>47672677.306964077</v>
      </c>
      <c r="F40" s="130">
        <v>50353091</v>
      </c>
      <c r="G40" s="132">
        <f>IF(ISBLANK(F40),"-",$D$48/$F$45*F40)</f>
        <v>47390698.440485269</v>
      </c>
      <c r="I40" s="518"/>
      <c r="L40" s="110"/>
      <c r="M40" s="110"/>
      <c r="N40" s="133"/>
    </row>
    <row r="41" spans="1:14" ht="27" customHeight="1" x14ac:dyDescent="0.4">
      <c r="A41" s="117" t="s">
        <v>66</v>
      </c>
      <c r="B41" s="118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0"/>
      <c r="M41" s="110"/>
      <c r="N41" s="133"/>
    </row>
    <row r="42" spans="1:14" ht="27" customHeight="1" x14ac:dyDescent="0.4">
      <c r="A42" s="117" t="s">
        <v>67</v>
      </c>
      <c r="B42" s="118">
        <v>1</v>
      </c>
      <c r="C42" s="139" t="s">
        <v>68</v>
      </c>
      <c r="D42" s="140">
        <v>48233193</v>
      </c>
      <c r="E42" s="141">
        <f>AVERAGE(E38:E41)</f>
        <v>47714347.188670397</v>
      </c>
      <c r="F42" s="140">
        <v>50318587.333333336</v>
      </c>
      <c r="G42" s="142">
        <f>AVERAGE(G38:G41)</f>
        <v>47358224.706904717</v>
      </c>
      <c r="H42" s="143"/>
    </row>
    <row r="43" spans="1:14" ht="26.25" customHeight="1" x14ac:dyDescent="0.4">
      <c r="A43" s="117" t="s">
        <v>69</v>
      </c>
      <c r="B43" s="118">
        <v>1</v>
      </c>
      <c r="C43" s="144" t="s">
        <v>70</v>
      </c>
      <c r="D43" s="145">
        <v>20.36</v>
      </c>
      <c r="E43" s="133"/>
      <c r="F43" s="145">
        <v>21.4</v>
      </c>
      <c r="H43" s="143"/>
    </row>
    <row r="44" spans="1:14" ht="26.25" customHeight="1" x14ac:dyDescent="0.4">
      <c r="A44" s="117" t="s">
        <v>71</v>
      </c>
      <c r="B44" s="118">
        <v>1</v>
      </c>
      <c r="C44" s="146" t="s">
        <v>72</v>
      </c>
      <c r="D44" s="147">
        <f>D43*$B$34</f>
        <v>20.36</v>
      </c>
      <c r="E44" s="148"/>
      <c r="F44" s="147">
        <f>F43*$B$34</f>
        <v>21.4</v>
      </c>
      <c r="H44" s="143"/>
    </row>
    <row r="45" spans="1:14" ht="19.5" customHeight="1" x14ac:dyDescent="0.3">
      <c r="A45" s="117" t="s">
        <v>73</v>
      </c>
      <c r="B45" s="149">
        <f>(B44/B43)*(B42/B41)*(B40/B39)*(B38/B37)*B36</f>
        <v>100</v>
      </c>
      <c r="C45" s="146" t="s">
        <v>74</v>
      </c>
      <c r="D45" s="150">
        <f>D44*$B$30/100</f>
        <v>20.217479999999998</v>
      </c>
      <c r="E45" s="151"/>
      <c r="F45" s="150">
        <f>F44*$B$30/100</f>
        <v>21.2502</v>
      </c>
      <c r="H45" s="143"/>
    </row>
    <row r="46" spans="1:14" ht="19.5" customHeight="1" x14ac:dyDescent="0.3">
      <c r="A46" s="504" t="s">
        <v>75</v>
      </c>
      <c r="B46" s="505"/>
      <c r="C46" s="146" t="s">
        <v>76</v>
      </c>
      <c r="D46" s="152">
        <f>D45/$B$45</f>
        <v>0.20217479999999999</v>
      </c>
      <c r="E46" s="153"/>
      <c r="F46" s="154">
        <f>F45/$B$45</f>
        <v>0.212502</v>
      </c>
      <c r="H46" s="143"/>
    </row>
    <row r="47" spans="1:14" ht="27" customHeight="1" x14ac:dyDescent="0.4">
      <c r="A47" s="506"/>
      <c r="B47" s="507"/>
      <c r="C47" s="155" t="s">
        <v>77</v>
      </c>
      <c r="D47" s="156">
        <v>0.2</v>
      </c>
      <c r="E47" s="157"/>
      <c r="F47" s="153"/>
      <c r="H47" s="143"/>
    </row>
    <row r="48" spans="1:14" ht="18.75" x14ac:dyDescent="0.3">
      <c r="C48" s="158" t="s">
        <v>78</v>
      </c>
      <c r="D48" s="150">
        <f>D47*$B$45</f>
        <v>20</v>
      </c>
      <c r="F48" s="159"/>
      <c r="H48" s="143"/>
    </row>
    <row r="49" spans="1:12" ht="19.5" customHeight="1" x14ac:dyDescent="0.3">
      <c r="C49" s="160" t="s">
        <v>79</v>
      </c>
      <c r="D49" s="161">
        <f>D48/B34</f>
        <v>20</v>
      </c>
      <c r="F49" s="159"/>
      <c r="H49" s="143"/>
    </row>
    <row r="50" spans="1:12" ht="18.75" x14ac:dyDescent="0.3">
      <c r="C50" s="115" t="s">
        <v>80</v>
      </c>
      <c r="D50" s="162">
        <f>AVERAGE(E38:E41,G38:G41)</f>
        <v>47536285.947787561</v>
      </c>
      <c r="F50" s="163"/>
      <c r="H50" s="143"/>
    </row>
    <row r="51" spans="1:12" ht="18.75" x14ac:dyDescent="0.3">
      <c r="C51" s="117" t="s">
        <v>81</v>
      </c>
      <c r="D51" s="164">
        <f>STDEV(E38:E41,G38:G41)/D50</f>
        <v>4.260231174459758E-3</v>
      </c>
      <c r="F51" s="163"/>
      <c r="H51" s="143"/>
    </row>
    <row r="52" spans="1:12" ht="19.5" customHeight="1" x14ac:dyDescent="0.3">
      <c r="C52" s="165" t="s">
        <v>18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82</v>
      </c>
    </row>
    <row r="55" spans="1:12" ht="18.75" x14ac:dyDescent="0.3">
      <c r="A55" s="92" t="s">
        <v>83</v>
      </c>
      <c r="B55" s="169" t="str">
        <f>B21</f>
        <v>Each film coated tablet contains:Atazanavir (as sulfate) equivalent to Atazanavir 300 mg Ritonavir USP 100 mg.</v>
      </c>
    </row>
    <row r="56" spans="1:12" ht="26.25" customHeight="1" x14ac:dyDescent="0.4">
      <c r="A56" s="170" t="s">
        <v>84</v>
      </c>
      <c r="B56" s="171">
        <v>100</v>
      </c>
      <c r="C56" s="92" t="str">
        <f>B20</f>
        <v xml:space="preserve"> RITONAVIR </v>
      </c>
      <c r="H56" s="172"/>
    </row>
    <row r="57" spans="1:12" ht="18.75" x14ac:dyDescent="0.3">
      <c r="A57" s="169" t="s">
        <v>85</v>
      </c>
      <c r="B57" s="261">
        <f>Uniformity!C46</f>
        <v>1974.3689999999999</v>
      </c>
      <c r="H57" s="172"/>
    </row>
    <row r="58" spans="1:12" ht="19.5" customHeight="1" x14ac:dyDescent="0.3">
      <c r="H58" s="172"/>
    </row>
    <row r="59" spans="1:12" s="12" customFormat="1" ht="27" customHeight="1" x14ac:dyDescent="0.4">
      <c r="A59" s="115" t="s">
        <v>86</v>
      </c>
      <c r="B59" s="116">
        <v>100</v>
      </c>
      <c r="C59" s="92"/>
      <c r="D59" s="173" t="s">
        <v>87</v>
      </c>
      <c r="E59" s="174" t="s">
        <v>59</v>
      </c>
      <c r="F59" s="174" t="s">
        <v>60</v>
      </c>
      <c r="G59" s="174" t="s">
        <v>88</v>
      </c>
      <c r="H59" s="119" t="s">
        <v>89</v>
      </c>
      <c r="L59" s="105"/>
    </row>
    <row r="60" spans="1:12" s="12" customFormat="1" ht="26.25" customHeight="1" x14ac:dyDescent="0.4">
      <c r="A60" s="117" t="s">
        <v>90</v>
      </c>
      <c r="B60" s="118">
        <v>4</v>
      </c>
      <c r="C60" s="521" t="s">
        <v>91</v>
      </c>
      <c r="D60" s="524">
        <f>'Atazanavir S2'!D60:D63</f>
        <v>1946.3</v>
      </c>
      <c r="E60" s="175">
        <v>1</v>
      </c>
      <c r="F60" s="176">
        <v>47117746</v>
      </c>
      <c r="G60" s="262">
        <f>IF(ISBLANK(F60),"-",(F60/$D$50*$D$47*$B$68)*($B$57/$D$60))</f>
        <v>100.5490103842095</v>
      </c>
      <c r="H60" s="177">
        <f t="shared" ref="H60:H71" si="0">IF(ISBLANK(F60),"-",G60/$B$56)</f>
        <v>1.0054901038420949</v>
      </c>
      <c r="L60" s="105"/>
    </row>
    <row r="61" spans="1:12" s="12" customFormat="1" ht="26.25" customHeight="1" x14ac:dyDescent="0.4">
      <c r="A61" s="117" t="s">
        <v>92</v>
      </c>
      <c r="B61" s="118">
        <v>20</v>
      </c>
      <c r="C61" s="522"/>
      <c r="D61" s="525"/>
      <c r="E61" s="178">
        <v>2</v>
      </c>
      <c r="F61" s="130">
        <v>47374172</v>
      </c>
      <c r="G61" s="263">
        <f>IF(ISBLANK(F61),"-",(F61/$D$50*$D$47*$B$68)*($B$57/$D$60))</f>
        <v>101.09622205551445</v>
      </c>
      <c r="H61" s="179">
        <f t="shared" si="0"/>
        <v>1.0109622205551445</v>
      </c>
      <c r="L61" s="105"/>
    </row>
    <row r="62" spans="1:12" s="12" customFormat="1" ht="26.25" customHeight="1" x14ac:dyDescent="0.4">
      <c r="A62" s="117" t="s">
        <v>93</v>
      </c>
      <c r="B62" s="118">
        <v>1</v>
      </c>
      <c r="C62" s="522"/>
      <c r="D62" s="525"/>
      <c r="E62" s="178">
        <v>3</v>
      </c>
      <c r="F62" s="180">
        <v>46823669</v>
      </c>
      <c r="G62" s="263">
        <f>IF(ISBLANK(F62),"-",(F62/$D$50*$D$47*$B$68)*($B$57/$D$60))</f>
        <v>99.921451686330428</v>
      </c>
      <c r="H62" s="179">
        <f t="shared" si="0"/>
        <v>0.99921451686330431</v>
      </c>
      <c r="L62" s="105"/>
    </row>
    <row r="63" spans="1:12" ht="27" customHeight="1" x14ac:dyDescent="0.4">
      <c r="A63" s="117" t="s">
        <v>94</v>
      </c>
      <c r="B63" s="118">
        <v>1</v>
      </c>
      <c r="C63" s="532"/>
      <c r="D63" s="526"/>
      <c r="E63" s="181">
        <v>4</v>
      </c>
      <c r="F63" s="182"/>
      <c r="G63" s="263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7" t="s">
        <v>95</v>
      </c>
      <c r="B64" s="118">
        <v>1</v>
      </c>
      <c r="C64" s="521" t="s">
        <v>96</v>
      </c>
      <c r="D64" s="524">
        <f>'Atazanavir S2'!D64:D67</f>
        <v>1990.18</v>
      </c>
      <c r="E64" s="175">
        <v>1</v>
      </c>
      <c r="F64" s="176">
        <v>48857235</v>
      </c>
      <c r="G64" s="264">
        <f>IF(ISBLANK(F64),"-",(F64/$D$50*$D$47*$B$68)*($B$57/$D$64))</f>
        <v>101.96229545948896</v>
      </c>
      <c r="H64" s="183">
        <f t="shared" si="0"/>
        <v>1.0196229545948896</v>
      </c>
    </row>
    <row r="65" spans="1:8" ht="26.25" customHeight="1" x14ac:dyDescent="0.4">
      <c r="A65" s="117" t="s">
        <v>97</v>
      </c>
      <c r="B65" s="118">
        <v>1</v>
      </c>
      <c r="C65" s="522"/>
      <c r="D65" s="525"/>
      <c r="E65" s="178">
        <v>2</v>
      </c>
      <c r="F65" s="130">
        <v>49242795</v>
      </c>
      <c r="G65" s="265">
        <f>IF(ISBLANK(F65),"-",(F65/$D$50*$D$47*$B$68)*($B$57/$D$64))</f>
        <v>102.76693744623587</v>
      </c>
      <c r="H65" s="184">
        <f t="shared" si="0"/>
        <v>1.0276693744623586</v>
      </c>
    </row>
    <row r="66" spans="1:8" ht="26.25" customHeight="1" x14ac:dyDescent="0.4">
      <c r="A66" s="117" t="s">
        <v>98</v>
      </c>
      <c r="B66" s="118">
        <v>1</v>
      </c>
      <c r="C66" s="522"/>
      <c r="D66" s="525"/>
      <c r="E66" s="178">
        <v>3</v>
      </c>
      <c r="F66" s="130">
        <v>49371040</v>
      </c>
      <c r="G66" s="265">
        <f>IF(ISBLANK(F66),"-",(F66/$D$50*$D$47*$B$68)*($B$57/$D$64))</f>
        <v>103.03457753231936</v>
      </c>
      <c r="H66" s="184">
        <f t="shared" si="0"/>
        <v>1.0303457753231937</v>
      </c>
    </row>
    <row r="67" spans="1:8" ht="27" customHeight="1" x14ac:dyDescent="0.4">
      <c r="A67" s="117" t="s">
        <v>99</v>
      </c>
      <c r="B67" s="118">
        <v>1</v>
      </c>
      <c r="C67" s="532"/>
      <c r="D67" s="526"/>
      <c r="E67" s="181">
        <v>4</v>
      </c>
      <c r="F67" s="182"/>
      <c r="G67" s="266" t="str">
        <f>IF(ISBLANK(F67),"-",(F67/$D$50*$D$47*$B$68)*($B$57/$D$64))</f>
        <v>-</v>
      </c>
      <c r="H67" s="185" t="str">
        <f t="shared" si="0"/>
        <v>-</v>
      </c>
    </row>
    <row r="68" spans="1:8" ht="26.25" customHeight="1" x14ac:dyDescent="0.4">
      <c r="A68" s="117" t="s">
        <v>100</v>
      </c>
      <c r="B68" s="186">
        <f>(B67/B66)*(B65/B64)*(B63/B62)*(B61/B60)*B59</f>
        <v>500</v>
      </c>
      <c r="C68" s="521" t="s">
        <v>101</v>
      </c>
      <c r="D68" s="524">
        <f>'Atazanavir S2'!D68:D71</f>
        <v>1980.25</v>
      </c>
      <c r="E68" s="175">
        <v>1</v>
      </c>
      <c r="F68" s="176">
        <v>48862972</v>
      </c>
      <c r="G68" s="264">
        <f>IF(ISBLANK(F68),"-",(F68/$D$50*$D$47*$B$68)*($B$57/$D$68))</f>
        <v>102.48562009642528</v>
      </c>
      <c r="H68" s="179">
        <f t="shared" si="0"/>
        <v>1.0248562009642528</v>
      </c>
    </row>
    <row r="69" spans="1:8" ht="27" customHeight="1" x14ac:dyDescent="0.4">
      <c r="A69" s="165" t="s">
        <v>102</v>
      </c>
      <c r="B69" s="187">
        <f>(D47*B68)/B56*B57</f>
        <v>1974.3689999999999</v>
      </c>
      <c r="C69" s="522"/>
      <c r="D69" s="525"/>
      <c r="E69" s="178">
        <v>2</v>
      </c>
      <c r="F69" s="130">
        <v>49253378</v>
      </c>
      <c r="G69" s="265">
        <f>IF(ISBLANK(F69),"-",(F69/$D$50*$D$47*$B$68)*($B$57/$D$68))</f>
        <v>103.30446101750894</v>
      </c>
      <c r="H69" s="179">
        <f t="shared" si="0"/>
        <v>1.0330446101750894</v>
      </c>
    </row>
    <row r="70" spans="1:8" ht="26.25" customHeight="1" x14ac:dyDescent="0.4">
      <c r="A70" s="527" t="s">
        <v>75</v>
      </c>
      <c r="B70" s="528"/>
      <c r="C70" s="522"/>
      <c r="D70" s="525"/>
      <c r="E70" s="178">
        <v>3</v>
      </c>
      <c r="F70" s="130">
        <v>48666881</v>
      </c>
      <c r="G70" s="265">
        <f>IF(ISBLANK(F70),"-",(F70/$D$50*$D$47*$B$68)*($B$57/$D$68))</f>
        <v>102.07433713700297</v>
      </c>
      <c r="H70" s="179">
        <f t="shared" si="0"/>
        <v>1.0207433713700298</v>
      </c>
    </row>
    <row r="71" spans="1:8" ht="27" customHeight="1" x14ac:dyDescent="0.4">
      <c r="A71" s="529"/>
      <c r="B71" s="530"/>
      <c r="C71" s="523"/>
      <c r="D71" s="526"/>
      <c r="E71" s="181">
        <v>4</v>
      </c>
      <c r="F71" s="182"/>
      <c r="G71" s="266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68</v>
      </c>
      <c r="G72" s="271">
        <f>AVERAGE(G60:G71)</f>
        <v>101.91054586833731</v>
      </c>
      <c r="H72" s="192">
        <f>AVERAGE(H60:H71)</f>
        <v>1.019105458683373</v>
      </c>
    </row>
    <row r="73" spans="1:8" ht="26.25" customHeight="1" x14ac:dyDescent="0.4">
      <c r="C73" s="189"/>
      <c r="D73" s="189"/>
      <c r="E73" s="189"/>
      <c r="F73" s="193" t="s">
        <v>81</v>
      </c>
      <c r="G73" s="267">
        <f>STDEV(G60:G71)/G72</f>
        <v>1.138711273536034E-2</v>
      </c>
      <c r="H73" s="267">
        <f>STDEV(H60:H71)/H72</f>
        <v>1.138711273536034E-2</v>
      </c>
    </row>
    <row r="74" spans="1:8" ht="27" customHeight="1" x14ac:dyDescent="0.4">
      <c r="A74" s="189"/>
      <c r="B74" s="189"/>
      <c r="C74" s="190"/>
      <c r="D74" s="190"/>
      <c r="E74" s="194"/>
      <c r="F74" s="195" t="s">
        <v>18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1" t="s">
        <v>103</v>
      </c>
      <c r="B76" s="197" t="s">
        <v>104</v>
      </c>
      <c r="C76" s="508" t="str">
        <f>B20</f>
        <v xml:space="preserve"> RITONAVIR </v>
      </c>
      <c r="D76" s="508"/>
      <c r="E76" s="198" t="s">
        <v>105</v>
      </c>
      <c r="F76" s="198"/>
      <c r="G76" s="199">
        <f>H72</f>
        <v>1.019105458683373</v>
      </c>
      <c r="H76" s="200"/>
    </row>
    <row r="77" spans="1:8" ht="18.75" x14ac:dyDescent="0.3">
      <c r="A77" s="100" t="s">
        <v>106</v>
      </c>
      <c r="B77" s="100" t="s">
        <v>107</v>
      </c>
    </row>
    <row r="78" spans="1:8" ht="18.75" x14ac:dyDescent="0.3">
      <c r="A78" s="100"/>
      <c r="B78" s="100"/>
    </row>
    <row r="79" spans="1:8" ht="26.25" customHeight="1" x14ac:dyDescent="0.4">
      <c r="A79" s="101" t="s">
        <v>3</v>
      </c>
      <c r="B79" s="531" t="str">
        <f>B26</f>
        <v xml:space="preserve">Ritonavir </v>
      </c>
      <c r="C79" s="531"/>
    </row>
    <row r="80" spans="1:8" ht="26.25" customHeight="1" x14ac:dyDescent="0.4">
      <c r="A80" s="102" t="s">
        <v>45</v>
      </c>
      <c r="B80" s="531" t="str">
        <f>B27</f>
        <v>R9-1</v>
      </c>
      <c r="C80" s="531"/>
    </row>
    <row r="81" spans="1:12" ht="27" customHeight="1" x14ac:dyDescent="0.4">
      <c r="A81" s="102" t="s">
        <v>5</v>
      </c>
      <c r="B81" s="201">
        <v>1</v>
      </c>
    </row>
    <row r="82" spans="1:12" s="12" customFormat="1" ht="27" customHeight="1" x14ac:dyDescent="0.4">
      <c r="A82" s="102" t="s">
        <v>46</v>
      </c>
      <c r="B82" s="104">
        <v>1</v>
      </c>
      <c r="C82" s="510" t="s">
        <v>47</v>
      </c>
      <c r="D82" s="511"/>
      <c r="E82" s="511"/>
      <c r="F82" s="511"/>
      <c r="G82" s="512"/>
      <c r="I82" s="105"/>
      <c r="J82" s="105"/>
      <c r="K82" s="105"/>
      <c r="L82" s="105"/>
    </row>
    <row r="83" spans="1:12" s="12" customFormat="1" ht="19.5" customHeight="1" x14ac:dyDescent="0.3">
      <c r="A83" s="102" t="s">
        <v>48</v>
      </c>
      <c r="B83" s="106">
        <v>1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12" customFormat="1" ht="27" customHeight="1" x14ac:dyDescent="0.4">
      <c r="A84" s="102" t="s">
        <v>49</v>
      </c>
      <c r="B84" s="109">
        <v>1</v>
      </c>
      <c r="C84" s="513" t="s">
        <v>108</v>
      </c>
      <c r="D84" s="514"/>
      <c r="E84" s="514"/>
      <c r="F84" s="514"/>
      <c r="G84" s="514"/>
      <c r="H84" s="515"/>
      <c r="I84" s="105"/>
      <c r="J84" s="105"/>
      <c r="K84" s="105"/>
      <c r="L84" s="105"/>
    </row>
    <row r="85" spans="1:12" s="12" customFormat="1" ht="27" customHeight="1" x14ac:dyDescent="0.4">
      <c r="A85" s="102" t="s">
        <v>51</v>
      </c>
      <c r="B85" s="109">
        <v>1</v>
      </c>
      <c r="C85" s="513" t="s">
        <v>109</v>
      </c>
      <c r="D85" s="514"/>
      <c r="E85" s="514"/>
      <c r="F85" s="514"/>
      <c r="G85" s="514"/>
      <c r="H85" s="515"/>
      <c r="I85" s="105"/>
      <c r="J85" s="105"/>
      <c r="K85" s="105"/>
      <c r="L85" s="105"/>
    </row>
    <row r="86" spans="1:12" s="12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12" customFormat="1" ht="18.75" x14ac:dyDescent="0.3">
      <c r="A87" s="102" t="s">
        <v>53</v>
      </c>
      <c r="B87" s="114">
        <f>B84/B85</f>
        <v>1</v>
      </c>
      <c r="C87" s="92" t="s">
        <v>54</v>
      </c>
      <c r="D87" s="92"/>
      <c r="E87" s="92"/>
      <c r="F87" s="92"/>
      <c r="G87" s="92"/>
      <c r="I87" s="105"/>
      <c r="J87" s="105"/>
      <c r="K87" s="105"/>
      <c r="L87" s="105"/>
    </row>
    <row r="88" spans="1:12" ht="19.5" customHeight="1" x14ac:dyDescent="0.3">
      <c r="A88" s="100"/>
      <c r="B88" s="100"/>
    </row>
    <row r="89" spans="1:12" ht="27" customHeight="1" x14ac:dyDescent="0.4">
      <c r="A89" s="115" t="s">
        <v>55</v>
      </c>
      <c r="B89" s="116">
        <v>1</v>
      </c>
      <c r="D89" s="202" t="s">
        <v>56</v>
      </c>
      <c r="E89" s="203"/>
      <c r="F89" s="516" t="s">
        <v>57</v>
      </c>
      <c r="G89" s="517"/>
    </row>
    <row r="90" spans="1:12" ht="27" customHeight="1" x14ac:dyDescent="0.4">
      <c r="A90" s="117" t="s">
        <v>58</v>
      </c>
      <c r="B90" s="118">
        <v>1</v>
      </c>
      <c r="C90" s="204" t="s">
        <v>59</v>
      </c>
      <c r="D90" s="120" t="s">
        <v>60</v>
      </c>
      <c r="E90" s="121" t="s">
        <v>61</v>
      </c>
      <c r="F90" s="120" t="s">
        <v>60</v>
      </c>
      <c r="G90" s="205" t="s">
        <v>61</v>
      </c>
      <c r="I90" s="123" t="s">
        <v>62</v>
      </c>
    </row>
    <row r="91" spans="1:12" ht="26.25" customHeight="1" x14ac:dyDescent="0.4">
      <c r="A91" s="117" t="s">
        <v>63</v>
      </c>
      <c r="B91" s="118">
        <v>1</v>
      </c>
      <c r="C91" s="206">
        <v>1</v>
      </c>
      <c r="D91" s="125">
        <v>1</v>
      </c>
      <c r="E91" s="126">
        <f>IF(ISBLANK(D91),"-",$D$101/$D$98*D91)</f>
        <v>10000</v>
      </c>
      <c r="F91" s="125">
        <v>1</v>
      </c>
      <c r="G91" s="127">
        <f>IF(ISBLANK(F91),"-",$D$101/$F$98*F91)</f>
        <v>10000</v>
      </c>
      <c r="I91" s="128"/>
    </row>
    <row r="92" spans="1:12" ht="26.25" customHeight="1" x14ac:dyDescent="0.4">
      <c r="A92" s="117" t="s">
        <v>64</v>
      </c>
      <c r="B92" s="118">
        <v>1</v>
      </c>
      <c r="C92" s="190">
        <v>2</v>
      </c>
      <c r="D92" s="130">
        <v>1</v>
      </c>
      <c r="E92" s="131">
        <f>IF(ISBLANK(D92),"-",$D$101/$D$98*D92)</f>
        <v>10000</v>
      </c>
      <c r="F92" s="130">
        <v>1</v>
      </c>
      <c r="G92" s="132">
        <f>IF(ISBLANK(F92),"-",$D$101/$F$98*F92)</f>
        <v>10000</v>
      </c>
      <c r="I92" s="518">
        <f>ABS((F96/D96*D95)-F95)/D95</f>
        <v>0</v>
      </c>
    </row>
    <row r="93" spans="1:12" ht="26.25" customHeight="1" x14ac:dyDescent="0.4">
      <c r="A93" s="117" t="s">
        <v>65</v>
      </c>
      <c r="B93" s="118">
        <v>1</v>
      </c>
      <c r="C93" s="190">
        <v>3</v>
      </c>
      <c r="D93" s="130">
        <v>1</v>
      </c>
      <c r="E93" s="131">
        <f>IF(ISBLANK(D93),"-",$D$101/$D$98*D93)</f>
        <v>10000</v>
      </c>
      <c r="F93" s="130">
        <v>1</v>
      </c>
      <c r="G93" s="132">
        <f>IF(ISBLANK(F93),"-",$D$101/$F$98*F93)</f>
        <v>10000</v>
      </c>
      <c r="I93" s="518"/>
    </row>
    <row r="94" spans="1:12" ht="27" customHeight="1" x14ac:dyDescent="0.4">
      <c r="A94" s="117" t="s">
        <v>66</v>
      </c>
      <c r="B94" s="118">
        <v>1</v>
      </c>
      <c r="C94" s="207">
        <v>4</v>
      </c>
      <c r="D94" s="135"/>
      <c r="E94" s="136" t="str">
        <f>IF(ISBLANK(D94),"-",$D$101/$D$98*D94)</f>
        <v>-</v>
      </c>
      <c r="F94" s="208"/>
      <c r="G94" s="137" t="str">
        <f>IF(ISBLANK(F94),"-",$D$101/$F$98*F94)</f>
        <v>-</v>
      </c>
      <c r="I94" s="138"/>
    </row>
    <row r="95" spans="1:12" ht="27" customHeight="1" x14ac:dyDescent="0.4">
      <c r="A95" s="117" t="s">
        <v>67</v>
      </c>
      <c r="B95" s="118">
        <v>1</v>
      </c>
      <c r="C95" s="209" t="s">
        <v>68</v>
      </c>
      <c r="D95" s="210">
        <f>AVERAGE(D91:D94)</f>
        <v>1</v>
      </c>
      <c r="E95" s="141">
        <f>AVERAGE(E91:E94)</f>
        <v>10000</v>
      </c>
      <c r="F95" s="211">
        <f>AVERAGE(F91:F94)</f>
        <v>1</v>
      </c>
      <c r="G95" s="212">
        <f>AVERAGE(G91:G94)</f>
        <v>10000</v>
      </c>
    </row>
    <row r="96" spans="1:12" ht="26.25" customHeight="1" x14ac:dyDescent="0.4">
      <c r="A96" s="117" t="s">
        <v>69</v>
      </c>
      <c r="B96" s="103">
        <v>1</v>
      </c>
      <c r="C96" s="213" t="s">
        <v>110</v>
      </c>
      <c r="D96" s="214">
        <v>1</v>
      </c>
      <c r="E96" s="133"/>
      <c r="F96" s="145">
        <v>1</v>
      </c>
    </row>
    <row r="97" spans="1:10" ht="26.25" customHeight="1" x14ac:dyDescent="0.4">
      <c r="A97" s="117" t="s">
        <v>71</v>
      </c>
      <c r="B97" s="103">
        <v>1</v>
      </c>
      <c r="C97" s="215" t="s">
        <v>111</v>
      </c>
      <c r="D97" s="216">
        <f>D96*$B$87</f>
        <v>1</v>
      </c>
      <c r="E97" s="148"/>
      <c r="F97" s="147">
        <f>F96*$B$87</f>
        <v>1</v>
      </c>
    </row>
    <row r="98" spans="1:10" ht="19.5" customHeight="1" x14ac:dyDescent="0.3">
      <c r="A98" s="117" t="s">
        <v>73</v>
      </c>
      <c r="B98" s="217">
        <f>(B97/B96)*(B95/B94)*(B93/B92)*(B91/B90)*B89</f>
        <v>1</v>
      </c>
      <c r="C98" s="215" t="s">
        <v>112</v>
      </c>
      <c r="D98" s="218">
        <f>D97*$B$83/100</f>
        <v>0.01</v>
      </c>
      <c r="E98" s="151"/>
      <c r="F98" s="150">
        <f>F97*$B$83/100</f>
        <v>0.01</v>
      </c>
    </row>
    <row r="99" spans="1:10" ht="19.5" customHeight="1" x14ac:dyDescent="0.3">
      <c r="A99" s="504" t="s">
        <v>75</v>
      </c>
      <c r="B99" s="519"/>
      <c r="C99" s="215" t="s">
        <v>113</v>
      </c>
      <c r="D99" s="219">
        <f>D98/$B$98</f>
        <v>0.01</v>
      </c>
      <c r="E99" s="151"/>
      <c r="F99" s="154">
        <f>F98/$B$98</f>
        <v>0.01</v>
      </c>
      <c r="G99" s="220"/>
      <c r="H99" s="143"/>
    </row>
    <row r="100" spans="1:10" ht="19.5" customHeight="1" x14ac:dyDescent="0.3">
      <c r="A100" s="506"/>
      <c r="B100" s="520"/>
      <c r="C100" s="215" t="s">
        <v>77</v>
      </c>
      <c r="D100" s="221">
        <f>$B$56/$B$116</f>
        <v>100</v>
      </c>
      <c r="F100" s="159"/>
      <c r="G100" s="222"/>
      <c r="H100" s="143"/>
    </row>
    <row r="101" spans="1:10" ht="18.75" x14ac:dyDescent="0.3">
      <c r="C101" s="215" t="s">
        <v>78</v>
      </c>
      <c r="D101" s="216">
        <f>D100*$B$98</f>
        <v>100</v>
      </c>
      <c r="F101" s="159"/>
      <c r="G101" s="220"/>
      <c r="H101" s="143"/>
    </row>
    <row r="102" spans="1:10" ht="19.5" customHeight="1" x14ac:dyDescent="0.3">
      <c r="C102" s="223" t="s">
        <v>79</v>
      </c>
      <c r="D102" s="224">
        <f>D101/B34</f>
        <v>100</v>
      </c>
      <c r="F102" s="163"/>
      <c r="G102" s="220"/>
      <c r="H102" s="143"/>
      <c r="J102" s="225"/>
    </row>
    <row r="103" spans="1:10" ht="18.75" x14ac:dyDescent="0.3">
      <c r="C103" s="226" t="s">
        <v>114</v>
      </c>
      <c r="D103" s="227">
        <f>AVERAGE(E91:E94,G91:G94)</f>
        <v>10000</v>
      </c>
      <c r="F103" s="163"/>
      <c r="G103" s="228"/>
      <c r="H103" s="143"/>
      <c r="J103" s="229"/>
    </row>
    <row r="104" spans="1:10" ht="18.75" x14ac:dyDescent="0.3">
      <c r="C104" s="193" t="s">
        <v>81</v>
      </c>
      <c r="D104" s="230">
        <f>STDEV(E91:E94,G91:G94)/D103</f>
        <v>0</v>
      </c>
      <c r="F104" s="163"/>
      <c r="G104" s="220"/>
      <c r="H104" s="143"/>
      <c r="J104" s="229"/>
    </row>
    <row r="105" spans="1:10" ht="19.5" customHeight="1" x14ac:dyDescent="0.3">
      <c r="C105" s="195" t="s">
        <v>18</v>
      </c>
      <c r="D105" s="231">
        <f>COUNT(E91:E94,G91:G94)</f>
        <v>6</v>
      </c>
      <c r="F105" s="163"/>
      <c r="G105" s="220"/>
      <c r="H105" s="143"/>
      <c r="J105" s="229"/>
    </row>
    <row r="106" spans="1:10" ht="19.5" customHeight="1" x14ac:dyDescent="0.3">
      <c r="A106" s="167"/>
      <c r="B106" s="167"/>
      <c r="C106" s="167"/>
      <c r="D106" s="167"/>
      <c r="E106" s="167"/>
    </row>
    <row r="107" spans="1:10" ht="26.25" customHeight="1" x14ac:dyDescent="0.4">
      <c r="A107" s="115" t="s">
        <v>115</v>
      </c>
      <c r="B107" s="116">
        <v>1</v>
      </c>
      <c r="C107" s="232" t="s">
        <v>116</v>
      </c>
      <c r="D107" s="233" t="s">
        <v>60</v>
      </c>
      <c r="E107" s="234" t="s">
        <v>117</v>
      </c>
      <c r="F107" s="235" t="s">
        <v>118</v>
      </c>
    </row>
    <row r="108" spans="1:10" ht="26.25" customHeight="1" x14ac:dyDescent="0.4">
      <c r="A108" s="117" t="s">
        <v>119</v>
      </c>
      <c r="B108" s="118">
        <v>1</v>
      </c>
      <c r="C108" s="236">
        <v>1</v>
      </c>
      <c r="D108" s="237">
        <v>1</v>
      </c>
      <c r="E108" s="268">
        <f>IF(ISBLANK(D108),"-",D108/$D$103*$D$100*$B$116)</f>
        <v>0.01</v>
      </c>
      <c r="F108" s="238">
        <f t="shared" ref="F108:F113" si="1">IF(ISBLANK(D108), "-", E108/$B$56)</f>
        <v>1E-4</v>
      </c>
    </row>
    <row r="109" spans="1:10" ht="26.25" customHeight="1" x14ac:dyDescent="0.4">
      <c r="A109" s="117" t="s">
        <v>92</v>
      </c>
      <c r="B109" s="118">
        <v>1</v>
      </c>
      <c r="C109" s="236">
        <v>2</v>
      </c>
      <c r="D109" s="237">
        <v>1</v>
      </c>
      <c r="E109" s="269">
        <f t="shared" ref="E109:E113" si="2">IF(ISBLANK(D109),"-",D109/$D$103*$D$100*$B$116)</f>
        <v>0.01</v>
      </c>
      <c r="F109" s="239">
        <f t="shared" si="1"/>
        <v>1E-4</v>
      </c>
    </row>
    <row r="110" spans="1:10" ht="26.25" customHeight="1" x14ac:dyDescent="0.4">
      <c r="A110" s="117" t="s">
        <v>93</v>
      </c>
      <c r="B110" s="118">
        <v>1</v>
      </c>
      <c r="C110" s="236">
        <v>3</v>
      </c>
      <c r="D110" s="237">
        <v>1</v>
      </c>
      <c r="E110" s="269">
        <f t="shared" si="2"/>
        <v>0.01</v>
      </c>
      <c r="F110" s="239">
        <f t="shared" si="1"/>
        <v>1E-4</v>
      </c>
    </row>
    <row r="111" spans="1:10" ht="26.25" customHeight="1" x14ac:dyDescent="0.4">
      <c r="A111" s="117" t="s">
        <v>94</v>
      </c>
      <c r="B111" s="118">
        <v>1</v>
      </c>
      <c r="C111" s="236">
        <v>4</v>
      </c>
      <c r="D111" s="237">
        <v>1</v>
      </c>
      <c r="E111" s="269">
        <f t="shared" si="2"/>
        <v>0.01</v>
      </c>
      <c r="F111" s="239">
        <f t="shared" si="1"/>
        <v>1E-4</v>
      </c>
    </row>
    <row r="112" spans="1:10" ht="26.25" customHeight="1" x14ac:dyDescent="0.4">
      <c r="A112" s="117" t="s">
        <v>95</v>
      </c>
      <c r="B112" s="118">
        <v>1</v>
      </c>
      <c r="C112" s="236">
        <v>5</v>
      </c>
      <c r="D112" s="237">
        <v>1</v>
      </c>
      <c r="E112" s="269">
        <f t="shared" si="2"/>
        <v>0.01</v>
      </c>
      <c r="F112" s="239">
        <f t="shared" si="1"/>
        <v>1E-4</v>
      </c>
    </row>
    <row r="113" spans="1:10" ht="26.25" customHeight="1" x14ac:dyDescent="0.4">
      <c r="A113" s="117" t="s">
        <v>97</v>
      </c>
      <c r="B113" s="118">
        <v>1</v>
      </c>
      <c r="C113" s="240">
        <v>6</v>
      </c>
      <c r="D113" s="241">
        <v>1</v>
      </c>
      <c r="E113" s="270">
        <f t="shared" si="2"/>
        <v>0.01</v>
      </c>
      <c r="F113" s="242">
        <f t="shared" si="1"/>
        <v>1E-4</v>
      </c>
    </row>
    <row r="114" spans="1:10" ht="26.25" customHeight="1" x14ac:dyDescent="0.4">
      <c r="A114" s="117" t="s">
        <v>98</v>
      </c>
      <c r="B114" s="118">
        <v>1</v>
      </c>
      <c r="C114" s="236"/>
      <c r="D114" s="190"/>
      <c r="E114" s="91"/>
      <c r="F114" s="243"/>
    </row>
    <row r="115" spans="1:10" ht="26.25" customHeight="1" x14ac:dyDescent="0.4">
      <c r="A115" s="117" t="s">
        <v>99</v>
      </c>
      <c r="B115" s="118">
        <v>1</v>
      </c>
      <c r="C115" s="236"/>
      <c r="D115" s="244" t="s">
        <v>68</v>
      </c>
      <c r="E115" s="272">
        <f>AVERAGE(E108:E113)</f>
        <v>0.01</v>
      </c>
      <c r="F115" s="245">
        <f>AVERAGE(F108:F113)</f>
        <v>1E-4</v>
      </c>
    </row>
    <row r="116" spans="1:10" ht="27" customHeight="1" x14ac:dyDescent="0.4">
      <c r="A116" s="117" t="s">
        <v>100</v>
      </c>
      <c r="B116" s="149">
        <f>(B115/B114)*(B113/B112)*(B111/B110)*(B109/B108)*B107</f>
        <v>1</v>
      </c>
      <c r="C116" s="246"/>
      <c r="D116" s="209" t="s">
        <v>81</v>
      </c>
      <c r="E116" s="247">
        <f>STDEV(E108:E113)/E115</f>
        <v>0</v>
      </c>
      <c r="F116" s="247">
        <f>STDEV(F108:F113)/F115</f>
        <v>0</v>
      </c>
      <c r="I116" s="91"/>
    </row>
    <row r="117" spans="1:10" ht="27" customHeight="1" x14ac:dyDescent="0.4">
      <c r="A117" s="504" t="s">
        <v>75</v>
      </c>
      <c r="B117" s="505"/>
      <c r="C117" s="248"/>
      <c r="D117" s="249" t="s">
        <v>18</v>
      </c>
      <c r="E117" s="250">
        <f>COUNT(E108:E113)</f>
        <v>6</v>
      </c>
      <c r="F117" s="250">
        <f>COUNT(F108:F113)</f>
        <v>6</v>
      </c>
      <c r="I117" s="91"/>
      <c r="J117" s="229"/>
    </row>
    <row r="118" spans="1:10" ht="19.5" customHeight="1" x14ac:dyDescent="0.3">
      <c r="A118" s="506"/>
      <c r="B118" s="507"/>
      <c r="C118" s="91"/>
      <c r="D118" s="91"/>
      <c r="E118" s="91"/>
      <c r="F118" s="190"/>
      <c r="G118" s="91"/>
      <c r="H118" s="91"/>
      <c r="I118" s="91"/>
    </row>
    <row r="119" spans="1:10" ht="18.75" x14ac:dyDescent="0.3">
      <c r="A119" s="259"/>
      <c r="B119" s="113"/>
      <c r="C119" s="91"/>
      <c r="D119" s="91"/>
      <c r="E119" s="91"/>
      <c r="F119" s="190"/>
      <c r="G119" s="91"/>
      <c r="H119" s="91"/>
      <c r="I119" s="91"/>
    </row>
    <row r="120" spans="1:10" ht="26.25" customHeight="1" x14ac:dyDescent="0.4">
      <c r="A120" s="101" t="s">
        <v>103</v>
      </c>
      <c r="B120" s="197" t="s">
        <v>120</v>
      </c>
      <c r="C120" s="508" t="str">
        <f>B20</f>
        <v xml:space="preserve"> RITONAVIR </v>
      </c>
      <c r="D120" s="508"/>
      <c r="E120" s="198" t="s">
        <v>121</v>
      </c>
      <c r="F120" s="198"/>
      <c r="G120" s="199">
        <f>F115</f>
        <v>1E-4</v>
      </c>
      <c r="H120" s="91"/>
      <c r="I120" s="91"/>
    </row>
    <row r="121" spans="1:10" ht="19.5" customHeight="1" x14ac:dyDescent="0.3">
      <c r="A121" s="251"/>
      <c r="B121" s="251"/>
      <c r="C121" s="252"/>
      <c r="D121" s="252"/>
      <c r="E121" s="252"/>
      <c r="F121" s="252"/>
      <c r="G121" s="252"/>
      <c r="H121" s="252"/>
    </row>
    <row r="122" spans="1:10" ht="18.75" x14ac:dyDescent="0.3">
      <c r="B122" s="509" t="s">
        <v>23</v>
      </c>
      <c r="C122" s="509"/>
      <c r="E122" s="204" t="s">
        <v>24</v>
      </c>
      <c r="F122" s="253"/>
      <c r="G122" s="509" t="s">
        <v>25</v>
      </c>
      <c r="H122" s="509"/>
    </row>
    <row r="123" spans="1:10" ht="69.95" customHeight="1" x14ac:dyDescent="0.3">
      <c r="A123" s="254" t="s">
        <v>26</v>
      </c>
      <c r="B123" s="255"/>
      <c r="C123" s="255"/>
      <c r="E123" s="255"/>
      <c r="F123" s="91"/>
      <c r="G123" s="256"/>
      <c r="H123" s="256"/>
    </row>
    <row r="124" spans="1:10" ht="69.95" customHeight="1" x14ac:dyDescent="0.3">
      <c r="A124" s="254" t="s">
        <v>27</v>
      </c>
      <c r="B124" s="257"/>
      <c r="C124" s="257"/>
      <c r="E124" s="257"/>
      <c r="F124" s="91"/>
      <c r="G124" s="258"/>
      <c r="H124" s="258"/>
    </row>
    <row r="125" spans="1:10" ht="18.75" x14ac:dyDescent="0.3">
      <c r="A125" s="189"/>
      <c r="B125" s="189"/>
      <c r="C125" s="190"/>
      <c r="D125" s="190"/>
      <c r="E125" s="190"/>
      <c r="F125" s="194"/>
      <c r="G125" s="190"/>
      <c r="H125" s="190"/>
      <c r="I125" s="91"/>
    </row>
    <row r="126" spans="1:10" ht="18.75" x14ac:dyDescent="0.3">
      <c r="A126" s="189"/>
      <c r="B126" s="189"/>
      <c r="C126" s="190"/>
      <c r="D126" s="190"/>
      <c r="E126" s="190"/>
      <c r="F126" s="194"/>
      <c r="G126" s="190"/>
      <c r="H126" s="190"/>
      <c r="I126" s="91"/>
    </row>
    <row r="127" spans="1:10" ht="18.75" x14ac:dyDescent="0.3">
      <c r="A127" s="189"/>
      <c r="B127" s="189"/>
      <c r="C127" s="190"/>
      <c r="D127" s="190"/>
      <c r="E127" s="190"/>
      <c r="F127" s="194"/>
      <c r="G127" s="190"/>
      <c r="H127" s="190"/>
      <c r="I127" s="91"/>
    </row>
    <row r="128" spans="1:10" ht="18.75" x14ac:dyDescent="0.3">
      <c r="A128" s="189"/>
      <c r="B128" s="189"/>
      <c r="C128" s="190"/>
      <c r="D128" s="190"/>
      <c r="E128" s="190"/>
      <c r="F128" s="194"/>
      <c r="G128" s="190"/>
      <c r="H128" s="190"/>
      <c r="I128" s="91"/>
    </row>
    <row r="129" spans="1:9" ht="18.75" x14ac:dyDescent="0.3">
      <c r="A129" s="189"/>
      <c r="B129" s="189"/>
      <c r="C129" s="190"/>
      <c r="D129" s="190"/>
      <c r="E129" s="190"/>
      <c r="F129" s="194"/>
      <c r="G129" s="190"/>
      <c r="H129" s="190"/>
      <c r="I129" s="91"/>
    </row>
    <row r="130" spans="1:9" ht="18.75" x14ac:dyDescent="0.3">
      <c r="A130" s="189"/>
      <c r="B130" s="189"/>
      <c r="C130" s="190"/>
      <c r="D130" s="190"/>
      <c r="E130" s="190"/>
      <c r="F130" s="194"/>
      <c r="G130" s="190"/>
      <c r="H130" s="190"/>
      <c r="I130" s="91"/>
    </row>
    <row r="131" spans="1:9" ht="18.75" x14ac:dyDescent="0.3">
      <c r="A131" s="189"/>
      <c r="B131" s="189"/>
      <c r="C131" s="190"/>
      <c r="D131" s="190"/>
      <c r="E131" s="190"/>
      <c r="F131" s="194"/>
      <c r="G131" s="190"/>
      <c r="H131" s="190"/>
      <c r="I131" s="91"/>
    </row>
    <row r="132" spans="1:9" ht="18.75" x14ac:dyDescent="0.3">
      <c r="A132" s="189"/>
      <c r="B132" s="189"/>
      <c r="C132" s="190"/>
      <c r="D132" s="190"/>
      <c r="E132" s="190"/>
      <c r="F132" s="194"/>
      <c r="G132" s="190"/>
      <c r="H132" s="190"/>
      <c r="I132" s="91"/>
    </row>
    <row r="133" spans="1:9" ht="18.75" x14ac:dyDescent="0.3">
      <c r="A133" s="189"/>
      <c r="B133" s="189"/>
      <c r="C133" s="190"/>
      <c r="D133" s="190"/>
      <c r="E133" s="190"/>
      <c r="F133" s="194"/>
      <c r="G133" s="190"/>
      <c r="H133" s="190"/>
      <c r="I133" s="9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  <rowBreaks count="1" manualBreakCount="1">
    <brk id="125" max="1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70" zoomScale="50" zoomScaleNormal="57" zoomScaleSheetLayoutView="50" workbookViewId="0">
      <selection activeCell="E54" sqref="E54"/>
    </sheetView>
  </sheetViews>
  <sheetFormatPr defaultRowHeight="16.5" x14ac:dyDescent="0.3"/>
  <cols>
    <col min="1" max="1" width="55.42578125" style="17" customWidth="1"/>
    <col min="2" max="2" width="33.7109375" style="17" customWidth="1"/>
    <col min="3" max="3" width="42.28515625" style="17" customWidth="1"/>
    <col min="4" max="4" width="30.5703125" style="17" customWidth="1"/>
    <col min="5" max="5" width="39.85546875" style="17" customWidth="1"/>
    <col min="6" max="6" width="30.7109375" style="17" customWidth="1"/>
    <col min="7" max="7" width="36.42578125" style="17" customWidth="1"/>
    <col min="8" max="8" width="41.140625" style="17" customWidth="1"/>
    <col min="9" max="9" width="30.42578125" style="1" customWidth="1"/>
    <col min="10" max="10" width="21.28515625" style="1" customWidth="1"/>
    <col min="11" max="11" width="9.140625" style="1" customWidth="1"/>
    <col min="12" max="16384" width="9.140625" style="38"/>
  </cols>
  <sheetData>
    <row r="1" spans="1:8" s="38" customFormat="1" ht="12.75" x14ac:dyDescent="0.2">
      <c r="A1" s="502" t="s">
        <v>42</v>
      </c>
      <c r="B1" s="502"/>
      <c r="C1" s="502"/>
      <c r="D1" s="502"/>
      <c r="E1" s="502"/>
      <c r="F1" s="502"/>
      <c r="G1" s="502"/>
      <c r="H1" s="502"/>
    </row>
    <row r="2" spans="1:8" s="38" customFormat="1" ht="12.75" x14ac:dyDescent="0.2">
      <c r="A2" s="502"/>
      <c r="B2" s="502"/>
      <c r="C2" s="502"/>
      <c r="D2" s="502"/>
      <c r="E2" s="502"/>
      <c r="F2" s="502"/>
      <c r="G2" s="502"/>
      <c r="H2" s="502"/>
    </row>
    <row r="3" spans="1:8" s="38" customFormat="1" ht="12.75" x14ac:dyDescent="0.2">
      <c r="A3" s="502"/>
      <c r="B3" s="502"/>
      <c r="C3" s="502"/>
      <c r="D3" s="502"/>
      <c r="E3" s="502"/>
      <c r="F3" s="502"/>
      <c r="G3" s="502"/>
      <c r="H3" s="502"/>
    </row>
    <row r="4" spans="1:8" s="38" customFormat="1" ht="12.75" x14ac:dyDescent="0.2">
      <c r="A4" s="502"/>
      <c r="B4" s="502"/>
      <c r="C4" s="502"/>
      <c r="D4" s="502"/>
      <c r="E4" s="502"/>
      <c r="F4" s="502"/>
      <c r="G4" s="502"/>
      <c r="H4" s="502"/>
    </row>
    <row r="5" spans="1:8" s="38" customFormat="1" ht="12.75" x14ac:dyDescent="0.2">
      <c r="A5" s="502"/>
      <c r="B5" s="502"/>
      <c r="C5" s="502"/>
      <c r="D5" s="502"/>
      <c r="E5" s="502"/>
      <c r="F5" s="502"/>
      <c r="G5" s="502"/>
      <c r="H5" s="502"/>
    </row>
    <row r="6" spans="1:8" s="38" customFormat="1" ht="12.75" x14ac:dyDescent="0.2">
      <c r="A6" s="502"/>
      <c r="B6" s="502"/>
      <c r="C6" s="502"/>
      <c r="D6" s="502"/>
      <c r="E6" s="502"/>
      <c r="F6" s="502"/>
      <c r="G6" s="502"/>
      <c r="H6" s="502"/>
    </row>
    <row r="7" spans="1:8" s="38" customFormat="1" ht="12.75" x14ac:dyDescent="0.2">
      <c r="A7" s="502"/>
      <c r="B7" s="502"/>
      <c r="C7" s="502"/>
      <c r="D7" s="502"/>
      <c r="E7" s="502"/>
      <c r="F7" s="502"/>
      <c r="G7" s="502"/>
      <c r="H7" s="502"/>
    </row>
    <row r="8" spans="1:8" s="38" customFormat="1" ht="12.75" x14ac:dyDescent="0.2">
      <c r="A8" s="503" t="s">
        <v>43</v>
      </c>
      <c r="B8" s="503"/>
      <c r="C8" s="503"/>
      <c r="D8" s="503"/>
      <c r="E8" s="503"/>
      <c r="F8" s="503"/>
      <c r="G8" s="503"/>
      <c r="H8" s="503"/>
    </row>
    <row r="9" spans="1:8" s="38" customFormat="1" ht="12.75" x14ac:dyDescent="0.2">
      <c r="A9" s="503"/>
      <c r="B9" s="503"/>
      <c r="C9" s="503"/>
      <c r="D9" s="503"/>
      <c r="E9" s="503"/>
      <c r="F9" s="503"/>
      <c r="G9" s="503"/>
      <c r="H9" s="503"/>
    </row>
    <row r="10" spans="1:8" s="38" customFormat="1" ht="12.75" x14ac:dyDescent="0.2">
      <c r="A10" s="503"/>
      <c r="B10" s="503"/>
      <c r="C10" s="503"/>
      <c r="D10" s="503"/>
      <c r="E10" s="503"/>
      <c r="F10" s="503"/>
      <c r="G10" s="503"/>
      <c r="H10" s="503"/>
    </row>
    <row r="11" spans="1:8" s="38" customFormat="1" ht="12.75" x14ac:dyDescent="0.2">
      <c r="A11" s="503"/>
      <c r="B11" s="503"/>
      <c r="C11" s="503"/>
      <c r="D11" s="503"/>
      <c r="E11" s="503"/>
      <c r="F11" s="503"/>
      <c r="G11" s="503"/>
      <c r="H11" s="503"/>
    </row>
    <row r="12" spans="1:8" s="38" customFormat="1" ht="12.75" x14ac:dyDescent="0.2">
      <c r="A12" s="503"/>
      <c r="B12" s="503"/>
      <c r="C12" s="503"/>
      <c r="D12" s="503"/>
      <c r="E12" s="503"/>
      <c r="F12" s="503"/>
      <c r="G12" s="503"/>
      <c r="H12" s="503"/>
    </row>
    <row r="13" spans="1:8" s="38" customFormat="1" ht="12.75" x14ac:dyDescent="0.2">
      <c r="A13" s="503"/>
      <c r="B13" s="503"/>
      <c r="C13" s="503"/>
      <c r="D13" s="503"/>
      <c r="E13" s="503"/>
      <c r="F13" s="503"/>
      <c r="G13" s="503"/>
      <c r="H13" s="503"/>
    </row>
    <row r="14" spans="1:8" s="38" customFormat="1" ht="12.75" x14ac:dyDescent="0.2">
      <c r="A14" s="503"/>
      <c r="B14" s="503"/>
      <c r="C14" s="503"/>
      <c r="D14" s="503"/>
      <c r="E14" s="503"/>
      <c r="F14" s="503"/>
      <c r="G14" s="503"/>
      <c r="H14" s="503"/>
    </row>
    <row r="15" spans="1:8" s="38" customFormat="1" ht="17.25" thickBot="1" x14ac:dyDescent="0.35">
      <c r="A15" s="17"/>
      <c r="B15" s="17"/>
      <c r="C15" s="17"/>
      <c r="D15" s="17"/>
      <c r="E15" s="17"/>
      <c r="F15" s="17"/>
      <c r="G15" s="17"/>
      <c r="H15" s="17"/>
    </row>
    <row r="16" spans="1:8" s="38" customFormat="1" ht="19.5" thickBot="1" x14ac:dyDescent="0.25">
      <c r="A16" s="541" t="s">
        <v>28</v>
      </c>
      <c r="B16" s="542"/>
      <c r="C16" s="542"/>
      <c r="D16" s="542"/>
      <c r="E16" s="542"/>
      <c r="F16" s="542"/>
      <c r="G16" s="542"/>
      <c r="H16" s="543"/>
    </row>
    <row r="17" spans="1:13" ht="20.25" customHeight="1" x14ac:dyDescent="0.3">
      <c r="A17" s="539" t="s">
        <v>44</v>
      </c>
      <c r="B17" s="539"/>
      <c r="C17" s="539"/>
      <c r="D17" s="539"/>
      <c r="E17" s="539"/>
      <c r="F17" s="539"/>
      <c r="G17" s="539"/>
      <c r="H17" s="539"/>
    </row>
    <row r="18" spans="1:13" ht="26.25" customHeight="1" x14ac:dyDescent="0.4">
      <c r="A18" s="281" t="s">
        <v>30</v>
      </c>
      <c r="B18" s="535" t="s">
        <v>4</v>
      </c>
      <c r="C18" s="535"/>
      <c r="D18" s="260"/>
      <c r="E18" s="94"/>
      <c r="F18" s="273"/>
      <c r="G18" s="273"/>
      <c r="H18" s="273"/>
    </row>
    <row r="19" spans="1:13" ht="26.25" customHeight="1" x14ac:dyDescent="0.4">
      <c r="A19" s="281" t="s">
        <v>31</v>
      </c>
      <c r="B19" s="274" t="s">
        <v>6</v>
      </c>
      <c r="C19" s="273">
        <v>29</v>
      </c>
      <c r="D19" s="273"/>
      <c r="E19" s="273"/>
      <c r="F19" s="273"/>
      <c r="G19" s="273"/>
      <c r="H19" s="273"/>
    </row>
    <row r="20" spans="1:13" ht="26.25" customHeight="1" x14ac:dyDescent="0.4">
      <c r="A20" s="281" t="s">
        <v>32</v>
      </c>
      <c r="B20" s="540" t="s">
        <v>141</v>
      </c>
      <c r="C20" s="540"/>
      <c r="D20" s="273"/>
      <c r="E20" s="273"/>
      <c r="F20" s="273"/>
      <c r="G20" s="273"/>
      <c r="H20" s="273"/>
    </row>
    <row r="21" spans="1:13" ht="26.25" customHeight="1" x14ac:dyDescent="0.4">
      <c r="A21" s="281" t="s">
        <v>33</v>
      </c>
      <c r="B21" s="540" t="s">
        <v>10</v>
      </c>
      <c r="C21" s="540"/>
      <c r="D21" s="540"/>
      <c r="E21" s="540"/>
      <c r="F21" s="540"/>
      <c r="G21" s="540"/>
      <c r="H21" s="540"/>
    </row>
    <row r="22" spans="1:13" ht="26.25" customHeight="1" x14ac:dyDescent="0.3">
      <c r="A22" s="281" t="s">
        <v>34</v>
      </c>
      <c r="B22" s="282"/>
    </row>
    <row r="23" spans="1:13" ht="26.25" customHeight="1" x14ac:dyDescent="0.3">
      <c r="A23" s="281" t="s">
        <v>35</v>
      </c>
      <c r="B23" s="282"/>
    </row>
    <row r="24" spans="1:13" ht="18.75" x14ac:dyDescent="0.3">
      <c r="A24" s="281"/>
      <c r="B24" s="283"/>
    </row>
    <row r="25" spans="1:13" ht="18.75" x14ac:dyDescent="0.3">
      <c r="A25" s="284" t="s">
        <v>1</v>
      </c>
      <c r="B25" s="283"/>
    </row>
    <row r="26" spans="1:13" ht="26.25" customHeight="1" x14ac:dyDescent="0.3">
      <c r="A26" s="285" t="s">
        <v>3</v>
      </c>
      <c r="B26" s="544" t="s">
        <v>125</v>
      </c>
      <c r="C26" s="544"/>
    </row>
    <row r="27" spans="1:13" ht="26.25" customHeight="1" x14ac:dyDescent="0.3">
      <c r="A27" s="286" t="s">
        <v>45</v>
      </c>
      <c r="B27" s="545" t="s">
        <v>126</v>
      </c>
      <c r="C27" s="545"/>
    </row>
    <row r="28" spans="1:13" ht="27" customHeight="1" thickBot="1" x14ac:dyDescent="0.35">
      <c r="A28" s="286" t="s">
        <v>5</v>
      </c>
      <c r="B28" s="287">
        <v>99.3</v>
      </c>
    </row>
    <row r="29" spans="1:13" s="220" customFormat="1" ht="15.75" customHeight="1" thickBot="1" x14ac:dyDescent="0.3">
      <c r="A29" s="286" t="s">
        <v>46</v>
      </c>
      <c r="B29" s="288">
        <v>0</v>
      </c>
      <c r="C29" s="510" t="s">
        <v>127</v>
      </c>
      <c r="D29" s="511"/>
      <c r="E29" s="511"/>
      <c r="F29" s="511"/>
      <c r="G29" s="512"/>
      <c r="H29" s="289"/>
      <c r="I29" s="105"/>
      <c r="J29" s="105"/>
      <c r="K29" s="105"/>
    </row>
    <row r="30" spans="1:13" s="220" customFormat="1" ht="19.5" customHeight="1" thickBot="1" x14ac:dyDescent="0.3">
      <c r="A30" s="286" t="s">
        <v>48</v>
      </c>
      <c r="B30" s="277">
        <v>99.3</v>
      </c>
      <c r="C30" s="290"/>
      <c r="D30" s="290"/>
      <c r="E30" s="290"/>
      <c r="F30" s="290"/>
      <c r="G30" s="291"/>
      <c r="H30" s="289"/>
      <c r="I30" s="105"/>
      <c r="J30" s="105"/>
      <c r="K30" s="105"/>
    </row>
    <row r="31" spans="1:13" s="220" customFormat="1" ht="27" customHeight="1" thickBot="1" x14ac:dyDescent="0.3">
      <c r="A31" s="286" t="s">
        <v>49</v>
      </c>
      <c r="B31" s="292">
        <v>704.9</v>
      </c>
      <c r="C31" s="513" t="s">
        <v>50</v>
      </c>
      <c r="D31" s="514"/>
      <c r="E31" s="514"/>
      <c r="F31" s="514"/>
      <c r="G31" s="514"/>
      <c r="H31" s="515"/>
      <c r="I31" s="105"/>
      <c r="J31" s="105"/>
      <c r="K31" s="105"/>
    </row>
    <row r="32" spans="1:13" s="220" customFormat="1" ht="27" customHeight="1" thickBot="1" x14ac:dyDescent="0.3">
      <c r="A32" s="286" t="s">
        <v>51</v>
      </c>
      <c r="B32" s="292">
        <v>802.9</v>
      </c>
      <c r="C32" s="513" t="s">
        <v>52</v>
      </c>
      <c r="D32" s="514"/>
      <c r="E32" s="514"/>
      <c r="F32" s="514"/>
      <c r="G32" s="514"/>
      <c r="H32" s="515"/>
      <c r="I32" s="105"/>
      <c r="J32" s="105"/>
      <c r="K32" s="110"/>
      <c r="L32" s="110"/>
      <c r="M32" s="111"/>
    </row>
    <row r="33" spans="1:13" s="220" customFormat="1" ht="17.25" customHeight="1" x14ac:dyDescent="0.25">
      <c r="A33" s="286"/>
      <c r="B33" s="293"/>
      <c r="C33" s="113"/>
      <c r="D33" s="113"/>
      <c r="E33" s="113"/>
      <c r="F33" s="113"/>
      <c r="G33" s="113"/>
      <c r="H33" s="113"/>
      <c r="I33" s="105"/>
      <c r="J33" s="105"/>
      <c r="K33" s="110"/>
      <c r="L33" s="110"/>
      <c r="M33" s="111"/>
    </row>
    <row r="34" spans="1:13" s="220" customFormat="1" ht="18.75" x14ac:dyDescent="0.25">
      <c r="A34" s="286" t="s">
        <v>53</v>
      </c>
      <c r="B34" s="294">
        <f>B31/B32</f>
        <v>0.87794245858761988</v>
      </c>
      <c r="C34" s="295" t="s">
        <v>54</v>
      </c>
      <c r="D34" s="295"/>
      <c r="E34" s="295"/>
      <c r="F34" s="295"/>
      <c r="G34" s="295"/>
      <c r="H34" s="289"/>
      <c r="I34" s="105"/>
      <c r="J34" s="105"/>
      <c r="K34" s="110"/>
      <c r="L34" s="110"/>
      <c r="M34" s="111"/>
    </row>
    <row r="35" spans="1:13" s="220" customFormat="1" ht="19.5" customHeight="1" thickBot="1" x14ac:dyDescent="0.3">
      <c r="A35" s="286"/>
      <c r="B35" s="277"/>
      <c r="C35" s="289"/>
      <c r="D35" s="289"/>
      <c r="E35" s="289"/>
      <c r="F35" s="289"/>
      <c r="G35" s="295"/>
      <c r="H35" s="289"/>
      <c r="I35" s="105"/>
      <c r="J35" s="105"/>
      <c r="K35" s="110"/>
      <c r="L35" s="110"/>
      <c r="M35" s="111"/>
    </row>
    <row r="36" spans="1:13" s="220" customFormat="1" ht="27" customHeight="1" thickBot="1" x14ac:dyDescent="0.3">
      <c r="A36" s="296" t="s">
        <v>128</v>
      </c>
      <c r="B36" s="297">
        <v>100</v>
      </c>
      <c r="C36" s="295"/>
      <c r="D36" s="546" t="s">
        <v>56</v>
      </c>
      <c r="E36" s="547"/>
      <c r="F36" s="546" t="s">
        <v>57</v>
      </c>
      <c r="G36" s="548"/>
      <c r="H36" s="289"/>
      <c r="I36" s="105"/>
      <c r="J36" s="105"/>
      <c r="K36" s="110"/>
      <c r="L36" s="110"/>
      <c r="M36" s="111"/>
    </row>
    <row r="37" spans="1:13" s="220" customFormat="1" ht="26.25" customHeight="1" x14ac:dyDescent="0.25">
      <c r="A37" s="298" t="s">
        <v>58</v>
      </c>
      <c r="B37" s="299">
        <v>1</v>
      </c>
      <c r="C37" s="276" t="s">
        <v>59</v>
      </c>
      <c r="D37" s="300" t="s">
        <v>60</v>
      </c>
      <c r="E37" s="301" t="s">
        <v>61</v>
      </c>
      <c r="F37" s="300" t="s">
        <v>60</v>
      </c>
      <c r="G37" s="302" t="s">
        <v>61</v>
      </c>
      <c r="H37" s="289"/>
      <c r="I37" s="105"/>
      <c r="J37" s="105"/>
      <c r="K37" s="110"/>
      <c r="L37" s="110"/>
      <c r="M37" s="111"/>
    </row>
    <row r="38" spans="1:13" s="220" customFormat="1" ht="26.25" customHeight="1" x14ac:dyDescent="0.25">
      <c r="A38" s="298" t="s">
        <v>63</v>
      </c>
      <c r="B38" s="299">
        <v>1</v>
      </c>
      <c r="C38" s="303">
        <v>1</v>
      </c>
      <c r="D38" s="304">
        <v>62216550</v>
      </c>
      <c r="E38" s="305">
        <f>IF(ISBLANK(D38),"-",$D$48/$D$45*D38)</f>
        <v>163589409.23348802</v>
      </c>
      <c r="F38" s="304">
        <v>50749945</v>
      </c>
      <c r="G38" s="306">
        <f>IF(ISBLANK(F38),"-",$D$48/$F$45*F38)</f>
        <v>166153425.27115127</v>
      </c>
      <c r="H38" s="289"/>
      <c r="I38" s="105"/>
      <c r="J38" s="105"/>
      <c r="K38" s="110"/>
      <c r="L38" s="110"/>
      <c r="M38" s="111"/>
    </row>
    <row r="39" spans="1:13" s="220" customFormat="1" ht="26.25" customHeight="1" x14ac:dyDescent="0.25">
      <c r="A39" s="298" t="s">
        <v>64</v>
      </c>
      <c r="B39" s="299">
        <v>1</v>
      </c>
      <c r="C39" s="307">
        <v>2</v>
      </c>
      <c r="D39" s="308">
        <v>62164205</v>
      </c>
      <c r="E39" s="309">
        <f>IF(ISBLANK(D39),"-",$D$48/$D$45*D39)</f>
        <v>163451775.63557354</v>
      </c>
      <c r="F39" s="308">
        <v>50929377</v>
      </c>
      <c r="G39" s="310">
        <f>IF(ISBLANK(F39),"-",$D$48/$F$45*F39)</f>
        <v>166740878.940377</v>
      </c>
      <c r="H39" s="289"/>
      <c r="I39" s="105"/>
      <c r="J39" s="105"/>
      <c r="K39" s="110"/>
      <c r="L39" s="110"/>
      <c r="M39" s="111"/>
    </row>
    <row r="40" spans="1:13" ht="26.25" customHeight="1" x14ac:dyDescent="0.3">
      <c r="A40" s="298" t="s">
        <v>65</v>
      </c>
      <c r="B40" s="299">
        <v>1</v>
      </c>
      <c r="C40" s="307">
        <v>3</v>
      </c>
      <c r="D40" s="308">
        <v>62114549</v>
      </c>
      <c r="E40" s="309">
        <f>IF(ISBLANK(D40),"-",$D$48/$D$45*D40)</f>
        <v>163321212.37379032</v>
      </c>
      <c r="F40" s="308">
        <v>50916527</v>
      </c>
      <c r="G40" s="310">
        <f>IF(ISBLANK(F40),"-",$D$48/$F$45*F40)</f>
        <v>166698808.52010885</v>
      </c>
      <c r="K40" s="110"/>
      <c r="L40" s="110"/>
      <c r="M40" s="198"/>
    </row>
    <row r="41" spans="1:13" ht="26.25" customHeight="1" x14ac:dyDescent="0.3">
      <c r="A41" s="298" t="s">
        <v>66</v>
      </c>
      <c r="B41" s="299">
        <v>1</v>
      </c>
      <c r="C41" s="311">
        <v>4</v>
      </c>
      <c r="D41" s="312"/>
      <c r="E41" s="313" t="str">
        <f>IF(ISBLANK(D41),"-",$D$48/$D$45*D41)</f>
        <v>-</v>
      </c>
      <c r="F41" s="312"/>
      <c r="G41" s="314" t="str">
        <f>IF(ISBLANK(F41),"-",$D$48/$F$45*F41)</f>
        <v>-</v>
      </c>
      <c r="K41" s="110"/>
      <c r="L41" s="110"/>
      <c r="M41" s="198"/>
    </row>
    <row r="42" spans="1:13" ht="27" customHeight="1" thickBot="1" x14ac:dyDescent="0.35">
      <c r="A42" s="298" t="s">
        <v>67</v>
      </c>
      <c r="B42" s="299">
        <v>1</v>
      </c>
      <c r="C42" s="286" t="s">
        <v>68</v>
      </c>
      <c r="D42" s="315">
        <v>62165101.333333336</v>
      </c>
      <c r="E42" s="316">
        <f>AVERAGE(E38:E41)</f>
        <v>163454132.41428396</v>
      </c>
      <c r="F42" s="317">
        <v>50865283</v>
      </c>
      <c r="G42" s="318">
        <f>AVERAGE(G38:G41)</f>
        <v>166531037.57721236</v>
      </c>
      <c r="H42" s="319"/>
    </row>
    <row r="43" spans="1:13" ht="26.25" customHeight="1" x14ac:dyDescent="0.3">
      <c r="A43" s="298" t="s">
        <v>69</v>
      </c>
      <c r="B43" s="299">
        <v>1</v>
      </c>
      <c r="C43" s="144" t="s">
        <v>70</v>
      </c>
      <c r="D43" s="320">
        <v>24.43</v>
      </c>
      <c r="E43" s="295"/>
      <c r="F43" s="321">
        <v>19.62</v>
      </c>
      <c r="H43" s="319"/>
    </row>
    <row r="44" spans="1:13" ht="26.25" customHeight="1" x14ac:dyDescent="0.3">
      <c r="A44" s="298" t="s">
        <v>71</v>
      </c>
      <c r="B44" s="299">
        <v>1</v>
      </c>
      <c r="C44" s="146" t="s">
        <v>72</v>
      </c>
      <c r="D44" s="322">
        <v>21.448134263295554</v>
      </c>
      <c r="E44" s="307"/>
      <c r="F44" s="323">
        <f>F43*$B$34</f>
        <v>17.225231037489102</v>
      </c>
      <c r="H44" s="319"/>
    </row>
    <row r="45" spans="1:13" ht="19.5" customHeight="1" thickBot="1" x14ac:dyDescent="0.35">
      <c r="A45" s="298" t="s">
        <v>73</v>
      </c>
      <c r="B45" s="324">
        <f>(B44/B43)*(B42/B41)*(B40/B39)*(B38/B37)*B36</f>
        <v>100</v>
      </c>
      <c r="C45" s="146" t="s">
        <v>74</v>
      </c>
      <c r="D45" s="325">
        <v>21.297997323452481</v>
      </c>
      <c r="E45" s="326"/>
      <c r="F45" s="327">
        <f>F44*$B$30/100</f>
        <v>17.104654420226677</v>
      </c>
      <c r="H45" s="319"/>
    </row>
    <row r="46" spans="1:13" ht="19.5" customHeight="1" thickBot="1" x14ac:dyDescent="0.35">
      <c r="A46" s="504" t="s">
        <v>75</v>
      </c>
      <c r="B46" s="505"/>
      <c r="C46" s="146" t="s">
        <v>76</v>
      </c>
      <c r="D46" s="322">
        <v>0.21297997323452481</v>
      </c>
      <c r="E46" s="326"/>
      <c r="F46" s="328">
        <f>F45/$B$45</f>
        <v>0.17104654420226675</v>
      </c>
      <c r="H46" s="319"/>
    </row>
    <row r="47" spans="1:13" ht="27" customHeight="1" thickBot="1" x14ac:dyDescent="0.35">
      <c r="A47" s="506"/>
      <c r="B47" s="507"/>
      <c r="C47" s="329" t="s">
        <v>129</v>
      </c>
      <c r="D47" s="330">
        <v>0.56000000000000005</v>
      </c>
      <c r="F47" s="331"/>
      <c r="H47" s="319"/>
    </row>
    <row r="48" spans="1:13" ht="18.75" x14ac:dyDescent="0.3">
      <c r="C48" s="332" t="s">
        <v>78</v>
      </c>
      <c r="D48" s="325">
        <f>D47*$B$45</f>
        <v>56.000000000000007</v>
      </c>
      <c r="F48" s="331"/>
      <c r="H48" s="319"/>
    </row>
    <row r="49" spans="1:11" ht="19.5" thickBot="1" x14ac:dyDescent="0.35">
      <c r="C49" s="333" t="s">
        <v>79</v>
      </c>
      <c r="D49" s="334">
        <f>D48/B34</f>
        <v>63.785501489572994</v>
      </c>
      <c r="F49" s="309"/>
      <c r="H49" s="319"/>
    </row>
    <row r="50" spans="1:11" ht="18.75" x14ac:dyDescent="0.3">
      <c r="C50" s="335" t="s">
        <v>80</v>
      </c>
      <c r="D50" s="336">
        <f>AVERAGE(E38:E41,G38:G41)</f>
        <v>164992584.99574816</v>
      </c>
      <c r="F50" s="309"/>
      <c r="H50" s="319"/>
    </row>
    <row r="51" spans="1:11" ht="18.75" x14ac:dyDescent="0.3">
      <c r="C51" s="337" t="s">
        <v>81</v>
      </c>
      <c r="D51" s="338">
        <f>STDEV(E38:E41,G38:G41)/D50</f>
        <v>1.0304121766699342E-2</v>
      </c>
      <c r="F51" s="309"/>
    </row>
    <row r="52" spans="1:11" ht="19.5" thickBot="1" x14ac:dyDescent="0.35">
      <c r="C52" s="339" t="s">
        <v>18</v>
      </c>
      <c r="D52" s="340">
        <f>COUNT(E38:E41,G38:G41)</f>
        <v>6</v>
      </c>
      <c r="F52" s="309"/>
    </row>
    <row r="54" spans="1:11" ht="18.75" x14ac:dyDescent="0.3">
      <c r="A54" s="341" t="s">
        <v>1</v>
      </c>
      <c r="B54" s="342" t="s">
        <v>82</v>
      </c>
    </row>
    <row r="55" spans="1:11" ht="18.75" x14ac:dyDescent="0.3">
      <c r="A55" s="295" t="s">
        <v>83</v>
      </c>
      <c r="B55" s="343" t="str">
        <f>B21</f>
        <v>Each film coated tablet contains:Atazanavir (as sulfate) equivalent to Atazanavir 300 mg Ritonavir USP 100 mg.</v>
      </c>
    </row>
    <row r="56" spans="1:11" ht="26.25" x14ac:dyDescent="0.3">
      <c r="A56" s="343" t="s">
        <v>84</v>
      </c>
      <c r="B56" s="287">
        <v>300</v>
      </c>
      <c r="C56" s="295" t="str">
        <f>B20</f>
        <v xml:space="preserve">ATAZANAVIR </v>
      </c>
      <c r="H56" s="307"/>
    </row>
    <row r="57" spans="1:11" ht="18.75" x14ac:dyDescent="0.3">
      <c r="A57" s="343" t="s">
        <v>85</v>
      </c>
      <c r="B57" s="344">
        <v>1974.3689999999999</v>
      </c>
      <c r="H57" s="307"/>
    </row>
    <row r="58" spans="1:11" ht="19.5" thickBot="1" x14ac:dyDescent="0.35">
      <c r="H58" s="307"/>
    </row>
    <row r="59" spans="1:11" s="220" customFormat="1" ht="27" thickBot="1" x14ac:dyDescent="0.3">
      <c r="A59" s="296" t="s">
        <v>130</v>
      </c>
      <c r="B59" s="297">
        <v>100</v>
      </c>
      <c r="C59" s="295"/>
      <c r="D59" s="345" t="s">
        <v>87</v>
      </c>
      <c r="E59" s="346" t="s">
        <v>59</v>
      </c>
      <c r="F59" s="346" t="s">
        <v>60</v>
      </c>
      <c r="G59" s="346" t="s">
        <v>88</v>
      </c>
      <c r="H59" s="347" t="s">
        <v>89</v>
      </c>
      <c r="K59" s="105"/>
    </row>
    <row r="60" spans="1:11" s="220" customFormat="1" ht="26.25" x14ac:dyDescent="0.25">
      <c r="A60" s="298" t="s">
        <v>119</v>
      </c>
      <c r="B60" s="299">
        <v>4</v>
      </c>
      <c r="C60" s="521" t="s">
        <v>91</v>
      </c>
      <c r="D60" s="524">
        <v>1946.3</v>
      </c>
      <c r="E60" s="348">
        <v>1</v>
      </c>
      <c r="F60" s="349">
        <v>172085958</v>
      </c>
      <c r="G60" s="350">
        <f>IF(ISBLANK(F60),"-",(F60/$D$50*$D$47*$B$68)*($B$57/$D$60))</f>
        <v>296.24946805597205</v>
      </c>
      <c r="H60" s="177">
        <f t="shared" ref="H60:H71" si="0">IF(ISBLANK(F60),"-",G60/$B$56)</f>
        <v>0.98749822685324018</v>
      </c>
      <c r="K60" s="105"/>
    </row>
    <row r="61" spans="1:11" s="220" customFormat="1" ht="26.25" x14ac:dyDescent="0.25">
      <c r="A61" s="298" t="s">
        <v>92</v>
      </c>
      <c r="B61" s="299">
        <v>20</v>
      </c>
      <c r="C61" s="522"/>
      <c r="D61" s="525"/>
      <c r="E61" s="351">
        <v>2</v>
      </c>
      <c r="F61" s="352">
        <v>172987089</v>
      </c>
      <c r="G61" s="353">
        <f>IF(ISBLANK(F61),"-",(F61/$D$50*$D$47*$B$68)*($B$57/$D$60))</f>
        <v>297.8007833550318</v>
      </c>
      <c r="H61" s="179">
        <f t="shared" si="0"/>
        <v>0.99266927785010595</v>
      </c>
      <c r="K61" s="105"/>
    </row>
    <row r="62" spans="1:11" s="220" customFormat="1" ht="26.25" x14ac:dyDescent="0.25">
      <c r="A62" s="298" t="s">
        <v>93</v>
      </c>
      <c r="B62" s="299">
        <v>1</v>
      </c>
      <c r="C62" s="522"/>
      <c r="D62" s="525"/>
      <c r="E62" s="351">
        <v>3</v>
      </c>
      <c r="F62" s="352">
        <v>170902849</v>
      </c>
      <c r="G62" s="353">
        <f>IF(ISBLANK(F62),"-",(F62/$D$50*$D$47*$B$68)*($B$57/$D$60))</f>
        <v>294.21272190901311</v>
      </c>
      <c r="H62" s="179">
        <f t="shared" si="0"/>
        <v>0.98070907303004373</v>
      </c>
      <c r="K62" s="105"/>
    </row>
    <row r="63" spans="1:11" ht="27" thickBot="1" x14ac:dyDescent="0.35">
      <c r="A63" s="298" t="s">
        <v>94</v>
      </c>
      <c r="B63" s="299">
        <v>1</v>
      </c>
      <c r="C63" s="532"/>
      <c r="D63" s="526"/>
      <c r="E63" s="354">
        <v>4</v>
      </c>
      <c r="F63" s="355"/>
      <c r="G63" s="353" t="str">
        <f>IF(ISBLANK(F63),"-",(F63/$D$50*$D$47*$B$68)*($B$57/$D$60))</f>
        <v>-</v>
      </c>
      <c r="H63" s="179" t="str">
        <f t="shared" si="0"/>
        <v>-</v>
      </c>
    </row>
    <row r="64" spans="1:11" ht="26.25" x14ac:dyDescent="0.3">
      <c r="A64" s="298" t="s">
        <v>95</v>
      </c>
      <c r="B64" s="299">
        <v>1</v>
      </c>
      <c r="C64" s="521" t="s">
        <v>96</v>
      </c>
      <c r="D64" s="524">
        <v>1990.18</v>
      </c>
      <c r="E64" s="348">
        <v>1</v>
      </c>
      <c r="F64" s="349">
        <v>180962969</v>
      </c>
      <c r="G64" s="356">
        <f>IF(ISBLANK(F64),"-",(F64/$D$50*$D$47*$B$68)*($B$57/$D$64))</f>
        <v>304.66269774263424</v>
      </c>
      <c r="H64" s="183">
        <f t="shared" si="0"/>
        <v>1.0155423258087808</v>
      </c>
    </row>
    <row r="65" spans="1:8" s="38" customFormat="1" ht="26.25" x14ac:dyDescent="0.2">
      <c r="A65" s="298" t="s">
        <v>97</v>
      </c>
      <c r="B65" s="299">
        <v>1</v>
      </c>
      <c r="C65" s="522"/>
      <c r="D65" s="525"/>
      <c r="E65" s="351">
        <v>2</v>
      </c>
      <c r="F65" s="352">
        <v>182210273</v>
      </c>
      <c r="G65" s="357">
        <f>IF(ISBLANK(F65),"-",(F65/$D$50*$D$47*$B$68)*($B$57/$D$64))</f>
        <v>306.7626135632305</v>
      </c>
      <c r="H65" s="184">
        <f t="shared" si="0"/>
        <v>1.0225420452107683</v>
      </c>
    </row>
    <row r="66" spans="1:8" s="38" customFormat="1" ht="26.25" x14ac:dyDescent="0.2">
      <c r="A66" s="298" t="s">
        <v>98</v>
      </c>
      <c r="B66" s="299">
        <v>1</v>
      </c>
      <c r="C66" s="522"/>
      <c r="D66" s="525"/>
      <c r="E66" s="351">
        <v>3</v>
      </c>
      <c r="F66" s="352">
        <v>182690907</v>
      </c>
      <c r="G66" s="357">
        <f>IF(ISBLANK(F66),"-",(F66/$D$50*$D$47*$B$68)*($B$57/$D$64))</f>
        <v>307.57179155072714</v>
      </c>
      <c r="H66" s="184">
        <f t="shared" si="0"/>
        <v>1.0252393051690905</v>
      </c>
    </row>
    <row r="67" spans="1:8" s="38" customFormat="1" ht="27" thickBot="1" x14ac:dyDescent="0.25">
      <c r="A67" s="298" t="s">
        <v>99</v>
      </c>
      <c r="B67" s="299">
        <v>1</v>
      </c>
      <c r="C67" s="532"/>
      <c r="D67" s="526"/>
      <c r="E67" s="354">
        <v>4</v>
      </c>
      <c r="F67" s="355"/>
      <c r="G67" s="358" t="str">
        <f>IF(ISBLANK(F67),"-",(F67/$D$50*$D$47*$B$68)*($B$57/$D$64))</f>
        <v>-</v>
      </c>
      <c r="H67" s="185" t="str">
        <f t="shared" si="0"/>
        <v>-</v>
      </c>
    </row>
    <row r="68" spans="1:8" s="38" customFormat="1" ht="26.25" x14ac:dyDescent="0.2">
      <c r="A68" s="298" t="s">
        <v>100</v>
      </c>
      <c r="B68" s="324">
        <f>(B67/B66)*(B65/B64)*(B63/B62)*(B61/B60)*B59</f>
        <v>500</v>
      </c>
      <c r="C68" s="521" t="s">
        <v>101</v>
      </c>
      <c r="D68" s="524">
        <v>1980.25</v>
      </c>
      <c r="E68" s="348">
        <v>1</v>
      </c>
      <c r="F68" s="349">
        <v>176669666</v>
      </c>
      <c r="G68" s="356">
        <f>IF(ISBLANK(F68),"-",(F68/$D$50*$D$47*$B$68)*($B$57/$D$68))</f>
        <v>298.92613987970668</v>
      </c>
      <c r="H68" s="179">
        <f t="shared" si="0"/>
        <v>0.99642046626568892</v>
      </c>
    </row>
    <row r="69" spans="1:8" s="38" customFormat="1" ht="27" thickBot="1" x14ac:dyDescent="0.25">
      <c r="A69" s="359" t="s">
        <v>131</v>
      </c>
      <c r="B69" s="360">
        <f>D47*B68/B56*B57</f>
        <v>1842.7444</v>
      </c>
      <c r="C69" s="522"/>
      <c r="D69" s="525"/>
      <c r="E69" s="351">
        <v>2</v>
      </c>
      <c r="F69" s="352">
        <v>178224254</v>
      </c>
      <c r="G69" s="357">
        <f>IF(ISBLANK(F69),"-",(F69/$D$50*$D$47*$B$68)*($B$57/$D$68))</f>
        <v>301.55651214714106</v>
      </c>
      <c r="H69" s="179">
        <f t="shared" si="0"/>
        <v>1.0051883738238034</v>
      </c>
    </row>
    <row r="70" spans="1:8" s="38" customFormat="1" ht="26.25" x14ac:dyDescent="0.2">
      <c r="A70" s="504" t="s">
        <v>75</v>
      </c>
      <c r="B70" s="505"/>
      <c r="C70" s="522"/>
      <c r="D70" s="525"/>
      <c r="E70" s="351">
        <v>3</v>
      </c>
      <c r="F70" s="352">
        <v>176010631</v>
      </c>
      <c r="G70" s="357">
        <f>IF(ISBLANK(F70),"-",(F70/$D$50*$D$47*$B$68)*($B$57/$D$68))</f>
        <v>297.8110486868834</v>
      </c>
      <c r="H70" s="179">
        <f t="shared" si="0"/>
        <v>0.99270349562294469</v>
      </c>
    </row>
    <row r="71" spans="1:8" s="38" customFormat="1" ht="27" thickBot="1" x14ac:dyDescent="0.25">
      <c r="A71" s="506"/>
      <c r="B71" s="507"/>
      <c r="C71" s="523"/>
      <c r="D71" s="526"/>
      <c r="E71" s="354">
        <v>4</v>
      </c>
      <c r="F71" s="355"/>
      <c r="G71" s="358" t="str">
        <f>IF(ISBLANK(F71),"-",(F71/$D$50*$D$47*$B$68)*($B$57/$D$68))</f>
        <v>-</v>
      </c>
      <c r="H71" s="188" t="str">
        <f t="shared" si="0"/>
        <v>-</v>
      </c>
    </row>
    <row r="72" spans="1:8" s="38" customFormat="1" ht="26.25" x14ac:dyDescent="0.2">
      <c r="A72" s="307"/>
      <c r="B72" s="307"/>
      <c r="C72" s="307"/>
      <c r="D72" s="307"/>
      <c r="E72" s="307"/>
      <c r="F72" s="307"/>
      <c r="G72" s="361" t="s">
        <v>68</v>
      </c>
      <c r="H72" s="362">
        <f>AVERAGE(H60:H71)</f>
        <v>1.0020569544038294</v>
      </c>
    </row>
    <row r="73" spans="1:8" s="38" customFormat="1" ht="26.25" x14ac:dyDescent="0.3">
      <c r="A73" s="17"/>
      <c r="B73" s="17"/>
      <c r="C73" s="307"/>
      <c r="D73" s="307"/>
      <c r="E73" s="307"/>
      <c r="F73" s="307"/>
      <c r="G73" s="337" t="s">
        <v>81</v>
      </c>
      <c r="H73" s="363">
        <f>STDEV(H60:H71)/H72</f>
        <v>1.5872521528004741E-2</v>
      </c>
    </row>
    <row r="74" spans="1:8" s="38" customFormat="1" ht="27" thickBot="1" x14ac:dyDescent="0.25">
      <c r="A74" s="307"/>
      <c r="B74" s="307"/>
      <c r="C74" s="307"/>
      <c r="D74" s="307"/>
      <c r="E74" s="326"/>
      <c r="F74" s="307"/>
      <c r="G74" s="339" t="s">
        <v>18</v>
      </c>
      <c r="H74" s="364">
        <f>COUNT(H60:H71)</f>
        <v>9</v>
      </c>
    </row>
    <row r="75" spans="1:8" s="38" customFormat="1" ht="18.75" x14ac:dyDescent="0.2">
      <c r="A75" s="307"/>
      <c r="B75" s="307"/>
      <c r="C75" s="307"/>
      <c r="D75" s="307"/>
      <c r="E75" s="326"/>
      <c r="F75" s="307"/>
      <c r="G75" s="286"/>
      <c r="H75" s="277"/>
    </row>
    <row r="76" spans="1:8" s="38" customFormat="1" ht="26.25" x14ac:dyDescent="0.2">
      <c r="A76" s="285" t="s">
        <v>132</v>
      </c>
      <c r="B76" s="286" t="s">
        <v>104</v>
      </c>
      <c r="C76" s="522" t="str">
        <f>B20</f>
        <v xml:space="preserve">ATAZANAVIR </v>
      </c>
      <c r="D76" s="522"/>
      <c r="E76" s="295" t="s">
        <v>105</v>
      </c>
      <c r="F76" s="295"/>
      <c r="G76" s="365">
        <f>H72</f>
        <v>1.0020569544038294</v>
      </c>
      <c r="H76" s="277"/>
    </row>
    <row r="77" spans="1:8" s="38" customFormat="1" ht="18.75" x14ac:dyDescent="0.3">
      <c r="A77" s="284" t="s">
        <v>106</v>
      </c>
      <c r="B77" s="284" t="s">
        <v>107</v>
      </c>
      <c r="C77" s="17"/>
      <c r="D77" s="17"/>
      <c r="E77" s="17"/>
      <c r="F77" s="17"/>
      <c r="G77" s="17"/>
      <c r="H77" s="17"/>
    </row>
    <row r="78" spans="1:8" s="38" customFormat="1" ht="18.75" x14ac:dyDescent="0.3">
      <c r="A78" s="284"/>
      <c r="B78" s="284"/>
      <c r="C78" s="17"/>
      <c r="D78" s="17"/>
      <c r="E78" s="17"/>
      <c r="F78" s="17"/>
      <c r="G78" s="17"/>
      <c r="H78" s="17"/>
    </row>
    <row r="79" spans="1:8" s="38" customFormat="1" ht="26.25" x14ac:dyDescent="0.3">
      <c r="A79" s="285" t="s">
        <v>3</v>
      </c>
      <c r="B79" s="544" t="str">
        <f>B26</f>
        <v>Atazanavir sulfate</v>
      </c>
      <c r="C79" s="544"/>
      <c r="D79" s="17"/>
      <c r="E79" s="17"/>
      <c r="F79" s="17"/>
      <c r="G79" s="17"/>
      <c r="H79" s="17"/>
    </row>
    <row r="80" spans="1:8" s="38" customFormat="1" ht="26.25" x14ac:dyDescent="0.3">
      <c r="A80" s="286" t="s">
        <v>45</v>
      </c>
      <c r="B80" s="545" t="str">
        <f>B27</f>
        <v>A48-1</v>
      </c>
      <c r="C80" s="545"/>
      <c r="D80" s="17"/>
      <c r="E80" s="17"/>
      <c r="F80" s="17"/>
      <c r="G80" s="17"/>
      <c r="H80" s="17"/>
    </row>
    <row r="81" spans="1:11" ht="27" thickBot="1" x14ac:dyDescent="0.35">
      <c r="A81" s="286" t="s">
        <v>5</v>
      </c>
      <c r="B81" s="287">
        <v>99.3</v>
      </c>
    </row>
    <row r="82" spans="1:11" s="220" customFormat="1" ht="27" thickBot="1" x14ac:dyDescent="0.3">
      <c r="A82" s="286" t="s">
        <v>46</v>
      </c>
      <c r="B82" s="287">
        <v>0</v>
      </c>
      <c r="C82" s="510" t="s">
        <v>127</v>
      </c>
      <c r="D82" s="511"/>
      <c r="E82" s="511"/>
      <c r="F82" s="511"/>
      <c r="G82" s="512"/>
      <c r="H82" s="289"/>
      <c r="I82" s="105"/>
      <c r="J82" s="105"/>
      <c r="K82" s="105"/>
    </row>
    <row r="83" spans="1:11" s="220" customFormat="1" ht="19.5" thickBot="1" x14ac:dyDescent="0.3">
      <c r="A83" s="286" t="s">
        <v>48</v>
      </c>
      <c r="B83" s="277">
        <v>99.3</v>
      </c>
      <c r="C83" s="290"/>
      <c r="D83" s="290"/>
      <c r="E83" s="290"/>
      <c r="F83" s="290"/>
      <c r="G83" s="291"/>
      <c r="H83" s="289"/>
      <c r="I83" s="105"/>
      <c r="J83" s="105"/>
      <c r="K83" s="105"/>
    </row>
    <row r="84" spans="1:11" s="220" customFormat="1" ht="27" thickBot="1" x14ac:dyDescent="0.3">
      <c r="A84" s="286" t="s">
        <v>49</v>
      </c>
      <c r="B84" s="292">
        <v>704.9</v>
      </c>
      <c r="C84" s="513" t="s">
        <v>50</v>
      </c>
      <c r="D84" s="514"/>
      <c r="E84" s="514"/>
      <c r="F84" s="514"/>
      <c r="G84" s="514"/>
      <c r="H84" s="515"/>
      <c r="I84" s="105"/>
      <c r="J84" s="105"/>
      <c r="K84" s="105"/>
    </row>
    <row r="85" spans="1:11" s="220" customFormat="1" ht="27" thickBot="1" x14ac:dyDescent="0.3">
      <c r="A85" s="286" t="s">
        <v>51</v>
      </c>
      <c r="B85" s="292">
        <v>802.9</v>
      </c>
      <c r="C85" s="513" t="s">
        <v>52</v>
      </c>
      <c r="D85" s="514"/>
      <c r="E85" s="514"/>
      <c r="F85" s="514"/>
      <c r="G85" s="514"/>
      <c r="H85" s="515"/>
      <c r="I85" s="105"/>
      <c r="J85" s="105"/>
      <c r="K85" s="105"/>
    </row>
    <row r="86" spans="1:11" s="220" customFormat="1" ht="18.75" x14ac:dyDescent="0.25">
      <c r="A86" s="286"/>
      <c r="B86" s="293"/>
      <c r="C86" s="113"/>
      <c r="D86" s="113"/>
      <c r="E86" s="113"/>
      <c r="F86" s="113"/>
      <c r="G86" s="113"/>
      <c r="H86" s="113"/>
      <c r="I86" s="105"/>
      <c r="J86" s="105"/>
      <c r="K86" s="105"/>
    </row>
    <row r="87" spans="1:11" ht="18.75" x14ac:dyDescent="0.3">
      <c r="A87" s="286" t="s">
        <v>53</v>
      </c>
      <c r="B87" s="294">
        <f>B84/B85</f>
        <v>0.87794245858761988</v>
      </c>
      <c r="C87" s="295" t="s">
        <v>54</v>
      </c>
      <c r="H87" s="289"/>
    </row>
    <row r="88" spans="1:11" ht="19.5" thickBot="1" x14ac:dyDescent="0.35">
      <c r="A88" s="286"/>
      <c r="B88" s="294"/>
      <c r="H88" s="289"/>
    </row>
    <row r="89" spans="1:11" ht="27" thickBot="1" x14ac:dyDescent="0.35">
      <c r="A89" s="296" t="s">
        <v>128</v>
      </c>
      <c r="B89" s="297">
        <v>50</v>
      </c>
      <c r="D89" s="366" t="s">
        <v>56</v>
      </c>
      <c r="E89" s="367"/>
      <c r="F89" s="546" t="s">
        <v>57</v>
      </c>
      <c r="G89" s="548"/>
    </row>
    <row r="90" spans="1:11" ht="26.25" x14ac:dyDescent="0.3">
      <c r="A90" s="298" t="s">
        <v>58</v>
      </c>
      <c r="B90" s="299">
        <v>1</v>
      </c>
      <c r="C90" s="276" t="s">
        <v>59</v>
      </c>
      <c r="D90" s="368" t="s">
        <v>60</v>
      </c>
      <c r="E90" s="301" t="s">
        <v>61</v>
      </c>
      <c r="F90" s="368" t="s">
        <v>60</v>
      </c>
      <c r="G90" s="302" t="s">
        <v>61</v>
      </c>
    </row>
    <row r="91" spans="1:11" ht="26.25" x14ac:dyDescent="0.3">
      <c r="A91" s="298" t="s">
        <v>63</v>
      </c>
      <c r="B91" s="299">
        <v>1</v>
      </c>
      <c r="C91" s="303">
        <v>1</v>
      </c>
      <c r="D91" s="369">
        <v>93367420</v>
      </c>
      <c r="E91" s="370">
        <f>IF(ISBLANK(D91),"-",$D$101/$D$98*D91)</f>
        <v>106037305.47153246</v>
      </c>
      <c r="F91" s="371">
        <v>87516882</v>
      </c>
      <c r="G91" s="372">
        <f>IF(ISBLANK(F91),"-",$D$101/$F$98*F91)</f>
        <v>106718762.51560707</v>
      </c>
    </row>
    <row r="92" spans="1:11" ht="26.25" x14ac:dyDescent="0.3">
      <c r="A92" s="298" t="s">
        <v>64</v>
      </c>
      <c r="B92" s="299">
        <v>1</v>
      </c>
      <c r="C92" s="307">
        <v>2</v>
      </c>
      <c r="D92" s="352">
        <v>93304567</v>
      </c>
      <c r="E92" s="373">
        <f>IF(ISBLANK(D92),"-",$D$101/$D$98*D92)</f>
        <v>105965923.36885893</v>
      </c>
      <c r="F92" s="374">
        <v>87597375</v>
      </c>
      <c r="G92" s="375">
        <f>IF(ISBLANK(F92),"-",$D$101/$F$98*F92)</f>
        <v>106816916.3021093</v>
      </c>
    </row>
    <row r="93" spans="1:11" ht="26.25" x14ac:dyDescent="0.3">
      <c r="A93" s="298" t="s">
        <v>65</v>
      </c>
      <c r="B93" s="299">
        <v>1</v>
      </c>
      <c r="C93" s="307">
        <v>3</v>
      </c>
      <c r="D93" s="352">
        <v>93278045</v>
      </c>
      <c r="E93" s="373">
        <f>IF(ISBLANK(D93),"-",$D$101/$D$98*D93)</f>
        <v>105935802.35431537</v>
      </c>
      <c r="F93" s="374">
        <v>87353335</v>
      </c>
      <c r="G93" s="375">
        <f>IF(ISBLANK(F93),"-",$D$101/$F$98*F93)</f>
        <v>106519332.03940319</v>
      </c>
    </row>
    <row r="94" spans="1:11" ht="26.25" x14ac:dyDescent="0.3">
      <c r="A94" s="298" t="s">
        <v>66</v>
      </c>
      <c r="B94" s="299">
        <v>1</v>
      </c>
      <c r="C94" s="311">
        <v>4</v>
      </c>
      <c r="D94" s="376"/>
      <c r="E94" s="377" t="str">
        <f>IF(ISBLANK(D94),"-",$D$101/$D$98*D94)</f>
        <v>-</v>
      </c>
      <c r="F94" s="378"/>
      <c r="G94" s="379" t="str">
        <f>IF(ISBLANK(F94),"-",$D$101/$F$98*F94)</f>
        <v>-</v>
      </c>
    </row>
    <row r="95" spans="1:11" ht="27" thickBot="1" x14ac:dyDescent="0.35">
      <c r="A95" s="298" t="s">
        <v>67</v>
      </c>
      <c r="B95" s="299">
        <v>1</v>
      </c>
      <c r="C95" s="286" t="s">
        <v>68</v>
      </c>
      <c r="D95" s="315">
        <v>62165101.333333336</v>
      </c>
      <c r="E95" s="316">
        <f>AVERAGE(E91:E94)</f>
        <v>105979677.06490226</v>
      </c>
      <c r="F95" s="380">
        <v>50865283</v>
      </c>
      <c r="G95" s="381">
        <f>AVERAGE(G91:G94)</f>
        <v>106685003.61903985</v>
      </c>
    </row>
    <row r="96" spans="1:11" ht="26.25" x14ac:dyDescent="0.3">
      <c r="A96" s="298" t="s">
        <v>69</v>
      </c>
      <c r="B96" s="299">
        <v>1</v>
      </c>
      <c r="C96" s="144" t="s">
        <v>70</v>
      </c>
      <c r="D96" s="320">
        <v>15.15</v>
      </c>
      <c r="E96" s="295"/>
      <c r="F96" s="321">
        <v>14.11</v>
      </c>
    </row>
    <row r="97" spans="1:9" s="38" customFormat="1" ht="26.25" x14ac:dyDescent="0.3">
      <c r="A97" s="298" t="s">
        <v>71</v>
      </c>
      <c r="B97" s="299">
        <v>1</v>
      </c>
      <c r="C97" s="146" t="s">
        <v>72</v>
      </c>
      <c r="D97" s="322">
        <f>D96*$B$87</f>
        <v>13.300828247602441</v>
      </c>
      <c r="E97" s="307"/>
      <c r="F97" s="323">
        <f>F96*$B$87</f>
        <v>12.387768090671315</v>
      </c>
      <c r="G97" s="17"/>
      <c r="H97" s="17"/>
      <c r="I97" s="1"/>
    </row>
    <row r="98" spans="1:9" s="38" customFormat="1" ht="19.5" thickBot="1" x14ac:dyDescent="0.35">
      <c r="A98" s="359" t="s">
        <v>73</v>
      </c>
      <c r="B98" s="382">
        <f>(B97/B96)*(B95/B94)*(B93/B92)*(B91/B90)*B89</f>
        <v>50</v>
      </c>
      <c r="C98" s="146" t="s">
        <v>74</v>
      </c>
      <c r="D98" s="325">
        <f>D97*$B$83/100</f>
        <v>13.207722449869223</v>
      </c>
      <c r="E98" s="326"/>
      <c r="F98" s="327">
        <f>F97*$B$83/100</f>
        <v>12.301053714036616</v>
      </c>
      <c r="G98" s="17"/>
      <c r="H98" s="17"/>
      <c r="I98" s="1"/>
    </row>
    <row r="99" spans="1:9" s="38" customFormat="1" ht="19.5" thickBot="1" x14ac:dyDescent="0.35">
      <c r="A99" s="504" t="s">
        <v>75</v>
      </c>
      <c r="B99" s="505"/>
      <c r="C99" s="146" t="s">
        <v>76</v>
      </c>
      <c r="D99" s="383">
        <f>D98/$B$98</f>
        <v>0.26415444899738444</v>
      </c>
      <c r="E99" s="384"/>
      <c r="F99" s="385">
        <f>F98/$B$98</f>
        <v>0.24602107428073233</v>
      </c>
      <c r="G99" s="386"/>
      <c r="H99" s="319"/>
      <c r="I99" s="1"/>
    </row>
    <row r="100" spans="1:9" s="38" customFormat="1" ht="19.5" thickBot="1" x14ac:dyDescent="0.35">
      <c r="A100" s="506"/>
      <c r="B100" s="507"/>
      <c r="C100" s="332" t="s">
        <v>129</v>
      </c>
      <c r="D100" s="387">
        <f>$B$56/$B$116</f>
        <v>0.3</v>
      </c>
      <c r="E100" s="17"/>
      <c r="F100" s="331"/>
      <c r="G100" s="388"/>
      <c r="H100" s="319"/>
      <c r="I100" s="1"/>
    </row>
    <row r="101" spans="1:9" s="38" customFormat="1" ht="18.75" x14ac:dyDescent="0.3">
      <c r="A101" s="17"/>
      <c r="B101" s="17"/>
      <c r="C101" s="332" t="s">
        <v>78</v>
      </c>
      <c r="D101" s="322">
        <f>D100*$B$98</f>
        <v>15</v>
      </c>
      <c r="E101" s="17"/>
      <c r="F101" s="331"/>
      <c r="G101" s="386"/>
      <c r="H101" s="319"/>
      <c r="I101" s="1"/>
    </row>
    <row r="102" spans="1:9" s="38" customFormat="1" ht="19.5" thickBot="1" x14ac:dyDescent="0.35">
      <c r="A102" s="17"/>
      <c r="B102" s="17"/>
      <c r="C102" s="333" t="s">
        <v>79</v>
      </c>
      <c r="D102" s="389">
        <f>D101/B34</f>
        <v>17.08540218470705</v>
      </c>
      <c r="E102" s="17"/>
      <c r="F102" s="309"/>
      <c r="G102" s="386"/>
      <c r="H102" s="319"/>
      <c r="I102" s="225"/>
    </row>
    <row r="103" spans="1:9" s="38" customFormat="1" ht="18.75" x14ac:dyDescent="0.3">
      <c r="A103" s="17"/>
      <c r="B103" s="17"/>
      <c r="C103" s="335" t="s">
        <v>114</v>
      </c>
      <c r="D103" s="336">
        <f>AVERAGE(E91:E94,G91:G94)</f>
        <v>106332340.34197105</v>
      </c>
      <c r="E103" s="17"/>
      <c r="F103" s="309"/>
      <c r="G103" s="388"/>
      <c r="H103" s="319"/>
      <c r="I103" s="229"/>
    </row>
    <row r="104" spans="1:9" s="38" customFormat="1" ht="18.75" x14ac:dyDescent="0.3">
      <c r="A104" s="17"/>
      <c r="B104" s="17"/>
      <c r="C104" s="337" t="s">
        <v>81</v>
      </c>
      <c r="D104" s="390">
        <f>STDEV(E91:E94,G91:G94)/D103</f>
        <v>3.756264249549955E-3</v>
      </c>
      <c r="E104" s="17"/>
      <c r="F104" s="309"/>
      <c r="G104" s="386"/>
      <c r="H104" s="319"/>
      <c r="I104" s="229"/>
    </row>
    <row r="105" spans="1:9" s="38" customFormat="1" ht="19.5" thickBot="1" x14ac:dyDescent="0.35">
      <c r="A105" s="17"/>
      <c r="B105" s="17"/>
      <c r="C105" s="339" t="s">
        <v>18</v>
      </c>
      <c r="D105" s="391">
        <f>COUNT(E91:E94,G91:G94)</f>
        <v>6</v>
      </c>
      <c r="E105" s="17"/>
      <c r="F105" s="309"/>
      <c r="G105" s="386"/>
      <c r="H105" s="319"/>
      <c r="I105" s="229"/>
    </row>
    <row r="106" spans="1:9" s="38" customFormat="1" ht="19.5" thickBot="1" x14ac:dyDescent="0.35">
      <c r="A106" s="341"/>
      <c r="B106" s="341"/>
      <c r="C106" s="341"/>
      <c r="D106" s="341"/>
      <c r="E106" s="341"/>
      <c r="F106" s="17"/>
      <c r="G106" s="17"/>
      <c r="H106" s="17"/>
      <c r="I106" s="1"/>
    </row>
    <row r="107" spans="1:9" s="38" customFormat="1" ht="26.25" x14ac:dyDescent="0.3">
      <c r="A107" s="296" t="s">
        <v>115</v>
      </c>
      <c r="B107" s="297">
        <v>1000</v>
      </c>
      <c r="C107" s="366" t="s">
        <v>133</v>
      </c>
      <c r="D107" s="392" t="s">
        <v>60</v>
      </c>
      <c r="E107" s="393" t="s">
        <v>117</v>
      </c>
      <c r="F107" s="394" t="s">
        <v>118</v>
      </c>
      <c r="G107" s="17"/>
      <c r="H107" s="17"/>
      <c r="I107" s="1"/>
    </row>
    <row r="108" spans="1:9" s="38" customFormat="1" ht="26.25" x14ac:dyDescent="0.3">
      <c r="A108" s="298" t="s">
        <v>119</v>
      </c>
      <c r="B108" s="299">
        <v>1</v>
      </c>
      <c r="C108" s="395">
        <v>1</v>
      </c>
      <c r="D108" s="396">
        <v>116595646</v>
      </c>
      <c r="E108" s="397">
        <f t="shared" ref="E108:E113" si="1">IF(ISBLANK(D108),"-",D108/$D$103*$D$100*$B$116)</f>
        <v>328.95630517965151</v>
      </c>
      <c r="F108" s="398">
        <f t="shared" ref="F108:F113" si="2">IF(ISBLANK(D108), "-", E108/$B$56)</f>
        <v>1.0965210172655051</v>
      </c>
      <c r="G108" s="17"/>
      <c r="H108" s="17"/>
      <c r="I108" s="1"/>
    </row>
    <row r="109" spans="1:9" s="38" customFormat="1" ht="26.25" x14ac:dyDescent="0.3">
      <c r="A109" s="298" t="s">
        <v>92</v>
      </c>
      <c r="B109" s="299">
        <v>1</v>
      </c>
      <c r="C109" s="395">
        <v>2</v>
      </c>
      <c r="D109" s="396">
        <v>105253989</v>
      </c>
      <c r="E109" s="399">
        <f t="shared" si="1"/>
        <v>296.95760103134279</v>
      </c>
      <c r="F109" s="400">
        <f t="shared" si="2"/>
        <v>0.98985867010447592</v>
      </c>
      <c r="G109" s="17"/>
      <c r="H109" s="17"/>
      <c r="I109" s="1"/>
    </row>
    <row r="110" spans="1:9" s="38" customFormat="1" ht="26.25" x14ac:dyDescent="0.3">
      <c r="A110" s="298" t="s">
        <v>93</v>
      </c>
      <c r="B110" s="299">
        <v>1</v>
      </c>
      <c r="C110" s="395">
        <v>3</v>
      </c>
      <c r="D110" s="396">
        <v>110469090</v>
      </c>
      <c r="E110" s="399">
        <f t="shared" si="1"/>
        <v>311.67118953102579</v>
      </c>
      <c r="F110" s="400">
        <f t="shared" si="2"/>
        <v>1.0389039651034193</v>
      </c>
      <c r="G110" s="17"/>
      <c r="H110" s="17"/>
      <c r="I110" s="1"/>
    </row>
    <row r="111" spans="1:9" s="38" customFormat="1" ht="26.25" x14ac:dyDescent="0.3">
      <c r="A111" s="298" t="s">
        <v>94</v>
      </c>
      <c r="B111" s="299">
        <v>1</v>
      </c>
      <c r="C111" s="395">
        <v>4</v>
      </c>
      <c r="D111" s="396">
        <v>73046264</v>
      </c>
      <c r="E111" s="399">
        <f t="shared" si="1"/>
        <v>206.08856279776856</v>
      </c>
      <c r="F111" s="400">
        <f t="shared" si="2"/>
        <v>0.68696187599256187</v>
      </c>
      <c r="G111" s="17"/>
      <c r="H111" s="17"/>
      <c r="I111" s="1"/>
    </row>
    <row r="112" spans="1:9" s="38" customFormat="1" ht="26.25" x14ac:dyDescent="0.3">
      <c r="A112" s="298" t="s">
        <v>95</v>
      </c>
      <c r="B112" s="299">
        <v>1</v>
      </c>
      <c r="C112" s="395">
        <v>5</v>
      </c>
      <c r="D112" s="396">
        <v>96865741</v>
      </c>
      <c r="E112" s="399">
        <f t="shared" si="1"/>
        <v>273.29147657751372</v>
      </c>
      <c r="F112" s="400">
        <f t="shared" si="2"/>
        <v>0.91097158859171234</v>
      </c>
      <c r="G112" s="17"/>
      <c r="H112" s="17"/>
      <c r="I112" s="1"/>
    </row>
    <row r="113" spans="1:11" ht="26.25" x14ac:dyDescent="0.3">
      <c r="A113" s="298" t="s">
        <v>97</v>
      </c>
      <c r="B113" s="299">
        <v>1</v>
      </c>
      <c r="C113" s="401">
        <v>6</v>
      </c>
      <c r="D113" s="402">
        <v>87539126</v>
      </c>
      <c r="E113" s="403">
        <f t="shared" si="1"/>
        <v>246.97789699296288</v>
      </c>
      <c r="F113" s="404">
        <f t="shared" si="2"/>
        <v>0.82325965664320966</v>
      </c>
    </row>
    <row r="114" spans="1:11" ht="26.25" x14ac:dyDescent="0.3">
      <c r="A114" s="298" t="s">
        <v>98</v>
      </c>
      <c r="B114" s="299">
        <v>1</v>
      </c>
      <c r="C114" s="395"/>
      <c r="D114" s="307"/>
      <c r="E114" s="295"/>
      <c r="F114" s="405"/>
    </row>
    <row r="115" spans="1:11" ht="26.25" x14ac:dyDescent="0.3">
      <c r="A115" s="298" t="s">
        <v>99</v>
      </c>
      <c r="B115" s="299">
        <v>1</v>
      </c>
      <c r="C115" s="395"/>
      <c r="D115" s="406"/>
      <c r="E115" s="407" t="s">
        <v>68</v>
      </c>
      <c r="F115" s="408">
        <f>AVERAGE(F108:F113)</f>
        <v>0.924412795616814</v>
      </c>
    </row>
    <row r="116" spans="1:11" ht="27" thickBot="1" x14ac:dyDescent="0.35">
      <c r="A116" s="298" t="s">
        <v>100</v>
      </c>
      <c r="B116" s="324">
        <f>(B115/B114)*(B113/B112)*(B111/B110)*(B109/B108)*B107</f>
        <v>1000</v>
      </c>
      <c r="C116" s="409"/>
      <c r="D116" s="410"/>
      <c r="E116" s="286" t="s">
        <v>81</v>
      </c>
      <c r="F116" s="411">
        <f>STDEV(F108:F113)/F115</f>
        <v>0.16320588458622895</v>
      </c>
    </row>
    <row r="117" spans="1:11" ht="27" thickBot="1" x14ac:dyDescent="0.35">
      <c r="A117" s="504" t="s">
        <v>75</v>
      </c>
      <c r="B117" s="505"/>
      <c r="C117" s="412"/>
      <c r="D117" s="413"/>
      <c r="E117" s="414" t="s">
        <v>18</v>
      </c>
      <c r="F117" s="415">
        <f>COUNT(F108:F113)</f>
        <v>6</v>
      </c>
      <c r="I117" s="229"/>
    </row>
    <row r="118" spans="1:11" ht="19.5" thickBot="1" x14ac:dyDescent="0.35">
      <c r="A118" s="506"/>
      <c r="B118" s="507"/>
      <c r="C118" s="295"/>
      <c r="D118" s="295"/>
      <c r="E118" s="295"/>
      <c r="F118" s="307"/>
      <c r="G118" s="295"/>
      <c r="H118" s="295"/>
    </row>
    <row r="119" spans="1:11" ht="18.75" x14ac:dyDescent="0.3">
      <c r="A119" s="113"/>
      <c r="B119" s="113"/>
      <c r="C119" s="295"/>
      <c r="D119" s="295"/>
      <c r="E119" s="295"/>
      <c r="F119" s="307"/>
      <c r="G119" s="295"/>
      <c r="H119" s="295"/>
    </row>
    <row r="120" spans="1:11" ht="18.75" x14ac:dyDescent="0.3">
      <c r="A120" s="100" t="s">
        <v>134</v>
      </c>
      <c r="B120" s="100" t="s">
        <v>135</v>
      </c>
      <c r="C120" s="198"/>
      <c r="D120" s="198"/>
      <c r="E120" s="198"/>
      <c r="F120" s="198"/>
      <c r="G120" s="198"/>
      <c r="H120" s="198"/>
    </row>
    <row r="121" spans="1:11" ht="18.75" x14ac:dyDescent="0.3">
      <c r="A121" s="100"/>
      <c r="B121" s="100"/>
      <c r="C121" s="198"/>
      <c r="D121" s="198"/>
      <c r="E121" s="198"/>
      <c r="F121" s="198"/>
      <c r="G121" s="198"/>
      <c r="H121" s="198"/>
    </row>
    <row r="122" spans="1:11" ht="18.75" x14ac:dyDescent="0.3">
      <c r="A122" s="254" t="s">
        <v>3</v>
      </c>
      <c r="B122" s="416" t="s">
        <v>125</v>
      </c>
      <c r="C122" s="198"/>
      <c r="D122" s="198"/>
      <c r="E122" s="198"/>
      <c r="F122" s="198"/>
      <c r="G122" s="198"/>
      <c r="H122" s="198"/>
    </row>
    <row r="123" spans="1:11" ht="18.75" x14ac:dyDescent="0.3">
      <c r="A123" s="209" t="s">
        <v>45</v>
      </c>
      <c r="B123" s="416" t="s">
        <v>126</v>
      </c>
      <c r="C123" s="198"/>
      <c r="D123" s="198"/>
      <c r="E123" s="198"/>
      <c r="F123" s="198"/>
      <c r="G123" s="198"/>
      <c r="H123" s="198"/>
    </row>
    <row r="124" spans="1:11" ht="19.5" thickBot="1" x14ac:dyDescent="0.35">
      <c r="A124" s="209" t="s">
        <v>5</v>
      </c>
      <c r="B124" s="416">
        <v>99.3</v>
      </c>
      <c r="C124" s="198"/>
      <c r="D124" s="198"/>
      <c r="E124" s="198"/>
      <c r="F124" s="198"/>
      <c r="G124" s="198"/>
      <c r="H124" s="198"/>
    </row>
    <row r="125" spans="1:11" s="220" customFormat="1" ht="19.5" thickBot="1" x14ac:dyDescent="0.35">
      <c r="A125" s="209" t="s">
        <v>46</v>
      </c>
      <c r="B125" s="416">
        <v>0</v>
      </c>
      <c r="C125" s="510" t="s">
        <v>47</v>
      </c>
      <c r="D125" s="511"/>
      <c r="E125" s="511"/>
      <c r="F125" s="511"/>
      <c r="G125" s="512"/>
      <c r="I125" s="105"/>
      <c r="J125" s="105"/>
      <c r="K125" s="105"/>
    </row>
    <row r="126" spans="1:11" s="220" customFormat="1" ht="19.5" thickBot="1" x14ac:dyDescent="0.35">
      <c r="A126" s="209" t="s">
        <v>48</v>
      </c>
      <c r="B126" s="278">
        <v>99.3</v>
      </c>
      <c r="C126" s="107"/>
      <c r="D126" s="107"/>
      <c r="E126" s="107"/>
      <c r="F126" s="107"/>
      <c r="G126" s="108"/>
      <c r="I126" s="105"/>
      <c r="J126" s="105"/>
      <c r="K126" s="105"/>
    </row>
    <row r="127" spans="1:11" s="220" customFormat="1" ht="27" thickBot="1" x14ac:dyDescent="0.3">
      <c r="A127" s="286" t="s">
        <v>49</v>
      </c>
      <c r="B127" s="292">
        <v>704.9</v>
      </c>
      <c r="C127" s="513" t="s">
        <v>50</v>
      </c>
      <c r="D127" s="514"/>
      <c r="E127" s="514"/>
      <c r="F127" s="514"/>
      <c r="G127" s="514"/>
      <c r="H127" s="515"/>
      <c r="I127" s="105"/>
      <c r="J127" s="105"/>
      <c r="K127" s="105"/>
    </row>
    <row r="128" spans="1:11" s="220" customFormat="1" ht="27" thickBot="1" x14ac:dyDescent="0.3">
      <c r="A128" s="286" t="s">
        <v>51</v>
      </c>
      <c r="B128" s="292">
        <v>802.9</v>
      </c>
      <c r="C128" s="513" t="s">
        <v>52</v>
      </c>
      <c r="D128" s="514"/>
      <c r="E128" s="514"/>
      <c r="F128" s="514"/>
      <c r="G128" s="514"/>
      <c r="H128" s="515"/>
      <c r="I128" s="105"/>
      <c r="J128" s="105"/>
      <c r="K128" s="105"/>
    </row>
    <row r="129" spans="1:11" s="220" customFormat="1" ht="18.75" x14ac:dyDescent="0.25">
      <c r="A129" s="286"/>
      <c r="B129" s="293"/>
      <c r="C129" s="113"/>
      <c r="D129" s="113"/>
      <c r="E129" s="113"/>
      <c r="F129" s="113"/>
      <c r="G129" s="113"/>
      <c r="H129" s="113"/>
      <c r="I129" s="105"/>
      <c r="J129" s="105"/>
      <c r="K129" s="105"/>
    </row>
    <row r="130" spans="1:11" ht="18.75" x14ac:dyDescent="0.3">
      <c r="A130" s="286" t="s">
        <v>53</v>
      </c>
      <c r="B130" s="294">
        <f>B127/B128</f>
        <v>0.87794245858761988</v>
      </c>
      <c r="C130" s="295" t="s">
        <v>54</v>
      </c>
      <c r="H130" s="289"/>
    </row>
    <row r="131" spans="1:11" ht="19.5" thickBot="1" x14ac:dyDescent="0.35">
      <c r="A131" s="100"/>
      <c r="B131" s="100"/>
      <c r="C131" s="198"/>
      <c r="D131" s="198"/>
      <c r="E131" s="198"/>
      <c r="F131" s="198"/>
      <c r="G131" s="198"/>
      <c r="H131" s="198"/>
    </row>
    <row r="132" spans="1:11" ht="27" thickBot="1" x14ac:dyDescent="0.35">
      <c r="A132" s="115" t="s">
        <v>128</v>
      </c>
      <c r="B132" s="417">
        <v>50</v>
      </c>
      <c r="C132" s="198"/>
      <c r="D132" s="516" t="s">
        <v>56</v>
      </c>
      <c r="E132" s="517"/>
      <c r="F132" s="516" t="s">
        <v>57</v>
      </c>
      <c r="G132" s="517"/>
      <c r="H132" s="198"/>
    </row>
    <row r="133" spans="1:11" ht="26.25" x14ac:dyDescent="0.3">
      <c r="A133" s="117" t="s">
        <v>58</v>
      </c>
      <c r="B133" s="418">
        <v>1</v>
      </c>
      <c r="C133" s="279" t="s">
        <v>136</v>
      </c>
      <c r="D133" s="419" t="s">
        <v>60</v>
      </c>
      <c r="E133" s="205" t="s">
        <v>61</v>
      </c>
      <c r="F133" s="419" t="s">
        <v>60</v>
      </c>
      <c r="G133" s="205" t="s">
        <v>61</v>
      </c>
      <c r="H133" s="198"/>
    </row>
    <row r="134" spans="1:11" ht="26.25" x14ac:dyDescent="0.3">
      <c r="A134" s="117" t="s">
        <v>63</v>
      </c>
      <c r="B134" s="418">
        <v>1</v>
      </c>
      <c r="C134" s="206">
        <v>1</v>
      </c>
      <c r="D134" s="369">
        <v>90364968</v>
      </c>
      <c r="E134" s="127">
        <f>IF(ISBLANK(D134),"-",$D$144/$D$141*D134)</f>
        <v>108879934.16719438</v>
      </c>
      <c r="F134" s="369">
        <v>95402361</v>
      </c>
      <c r="G134" s="127">
        <f>IF(ISBLANK(F134),"-",$D$144/$F$141*F134)</f>
        <v>107850069.21350972</v>
      </c>
      <c r="H134" s="198"/>
    </row>
    <row r="135" spans="1:11" ht="26.25" x14ac:dyDescent="0.3">
      <c r="A135" s="117" t="s">
        <v>64</v>
      </c>
      <c r="B135" s="418">
        <v>1</v>
      </c>
      <c r="C135" s="217">
        <v>2</v>
      </c>
      <c r="D135" s="352">
        <v>90267789</v>
      </c>
      <c r="E135" s="132">
        <f>IF(ISBLANK(D135),"-",$D$144/$D$141*D135)</f>
        <v>108762844.06738454</v>
      </c>
      <c r="F135" s="352">
        <v>95590372</v>
      </c>
      <c r="G135" s="132">
        <f>IF(ISBLANK(F135),"-",$D$144/$F$141*F135)</f>
        <v>108062611.11656494</v>
      </c>
      <c r="H135" s="198"/>
    </row>
    <row r="136" spans="1:11" ht="26.25" x14ac:dyDescent="0.3">
      <c r="A136" s="117" t="s">
        <v>65</v>
      </c>
      <c r="B136" s="418">
        <v>1</v>
      </c>
      <c r="C136" s="217">
        <v>3</v>
      </c>
      <c r="D136" s="352">
        <v>90387782</v>
      </c>
      <c r="E136" s="132">
        <f>IF(ISBLANK(D136),"-",$D$144/$D$141*D136)</f>
        <v>108907422.54983942</v>
      </c>
      <c r="F136" s="352">
        <v>95543797</v>
      </c>
      <c r="G136" s="132">
        <f>IF(ISBLANK(F136),"-",$D$144/$F$141*F136)</f>
        <v>108009959.20186423</v>
      </c>
      <c r="H136" s="198"/>
    </row>
    <row r="137" spans="1:11" ht="26.25" x14ac:dyDescent="0.3">
      <c r="A137" s="117" t="s">
        <v>66</v>
      </c>
      <c r="B137" s="418">
        <v>1</v>
      </c>
      <c r="C137" s="207">
        <v>4</v>
      </c>
      <c r="D137" s="376"/>
      <c r="E137" s="137" t="str">
        <f>IF(ISBLANK(D137),"-",$D$144/$D$141*D137)</f>
        <v>-</v>
      </c>
      <c r="F137" s="376"/>
      <c r="G137" s="137" t="str">
        <f>IF(ISBLANK(F137),"-",$D$144/$D$141*F137)</f>
        <v>-</v>
      </c>
      <c r="H137" s="198"/>
    </row>
    <row r="138" spans="1:11" ht="27" thickBot="1" x14ac:dyDescent="0.35">
      <c r="A138" s="117" t="s">
        <v>67</v>
      </c>
      <c r="B138" s="418">
        <v>1</v>
      </c>
      <c r="C138" s="209" t="s">
        <v>68</v>
      </c>
      <c r="D138" s="211">
        <f>AVERAGE(D134:D137)</f>
        <v>90340179.666666672</v>
      </c>
      <c r="E138" s="142">
        <f>AVERAGE(E134:E137)</f>
        <v>108850066.92813945</v>
      </c>
      <c r="F138" s="211">
        <f>AVERAGE(F134:F137)</f>
        <v>95512176.666666672</v>
      </c>
      <c r="G138" s="420">
        <f>AVERAGE(G134:G137)</f>
        <v>107974213.17731297</v>
      </c>
      <c r="H138" s="198"/>
    </row>
    <row r="139" spans="1:11" ht="26.25" x14ac:dyDescent="0.3">
      <c r="A139" s="117" t="s">
        <v>69</v>
      </c>
      <c r="B139" s="418">
        <v>1</v>
      </c>
      <c r="C139" s="213" t="s">
        <v>110</v>
      </c>
      <c r="D139" s="299">
        <v>14.28</v>
      </c>
      <c r="E139" s="198"/>
      <c r="F139" s="421">
        <v>15.22</v>
      </c>
      <c r="G139" s="198"/>
      <c r="H139" s="198"/>
    </row>
    <row r="140" spans="1:11" ht="26.25" x14ac:dyDescent="0.3">
      <c r="A140" s="117" t="s">
        <v>71</v>
      </c>
      <c r="B140" s="418">
        <v>1</v>
      </c>
      <c r="C140" s="215" t="s">
        <v>111</v>
      </c>
      <c r="D140" s="216">
        <f>D139*B130</f>
        <v>12.537018308631211</v>
      </c>
      <c r="E140" s="217"/>
      <c r="F140" s="147">
        <f>F139*B130</f>
        <v>13.362284219703575</v>
      </c>
      <c r="G140" s="198"/>
      <c r="H140" s="198"/>
    </row>
    <row r="141" spans="1:11" ht="19.5" thickBot="1" x14ac:dyDescent="0.35">
      <c r="A141" s="117" t="s">
        <v>73</v>
      </c>
      <c r="B141" s="422">
        <f>(B140/B139)*(B138/B137)*(B136/B135)*(B134/B133)*B132</f>
        <v>50</v>
      </c>
      <c r="C141" s="215" t="s">
        <v>112</v>
      </c>
      <c r="D141" s="218">
        <f>D140*B126/100</f>
        <v>12.449259180470792</v>
      </c>
      <c r="E141" s="194"/>
      <c r="F141" s="150">
        <f>F140*B126/100</f>
        <v>13.268748230165649</v>
      </c>
      <c r="G141" s="198"/>
      <c r="H141" s="198"/>
    </row>
    <row r="142" spans="1:11" ht="19.5" thickBot="1" x14ac:dyDescent="0.35">
      <c r="A142" s="504" t="s">
        <v>75</v>
      </c>
      <c r="B142" s="519"/>
      <c r="C142" s="215" t="s">
        <v>113</v>
      </c>
      <c r="D142" s="216">
        <f>D141/$B$141</f>
        <v>0.24898518360941582</v>
      </c>
      <c r="E142" s="194"/>
      <c r="F142" s="423">
        <f>F141/$B$141</f>
        <v>0.265374964603313</v>
      </c>
      <c r="G142" s="220"/>
      <c r="H142" s="143"/>
    </row>
    <row r="143" spans="1:11" ht="19.5" thickBot="1" x14ac:dyDescent="0.35">
      <c r="A143" s="506"/>
      <c r="B143" s="520"/>
      <c r="C143" s="215" t="s">
        <v>129</v>
      </c>
      <c r="D143" s="218">
        <v>0.3</v>
      </c>
      <c r="E143" s="198"/>
      <c r="F143" s="159"/>
      <c r="G143" s="228"/>
      <c r="H143" s="143"/>
    </row>
    <row r="144" spans="1:11" ht="18.75" x14ac:dyDescent="0.3">
      <c r="A144" s="198"/>
      <c r="B144" s="198"/>
      <c r="C144" s="215" t="s">
        <v>78</v>
      </c>
      <c r="D144" s="216">
        <f>D143*$B$141</f>
        <v>15</v>
      </c>
      <c r="E144" s="198"/>
      <c r="F144" s="159"/>
      <c r="G144" s="220"/>
      <c r="H144" s="143"/>
    </row>
    <row r="145" spans="1:9" s="38" customFormat="1" ht="19.5" thickBot="1" x14ac:dyDescent="0.35">
      <c r="A145" s="198"/>
      <c r="B145" s="198"/>
      <c r="C145" s="424" t="s">
        <v>79</v>
      </c>
      <c r="D145" s="425">
        <f>D144/B130</f>
        <v>17.08540218470705</v>
      </c>
      <c r="E145" s="198"/>
      <c r="F145" s="163"/>
      <c r="G145" s="220"/>
      <c r="H145" s="143"/>
      <c r="I145" s="225"/>
    </row>
    <row r="146" spans="1:9" s="38" customFormat="1" ht="18.75" x14ac:dyDescent="0.3">
      <c r="A146" s="198"/>
      <c r="B146" s="198"/>
      <c r="C146" s="191" t="s">
        <v>114</v>
      </c>
      <c r="D146" s="426">
        <f>AVERAGE(E134:E137,G134:G137)</f>
        <v>108412140.05272621</v>
      </c>
      <c r="E146" s="198"/>
      <c r="F146" s="163"/>
      <c r="G146" s="228"/>
      <c r="H146" s="143"/>
      <c r="I146" s="229"/>
    </row>
    <row r="147" spans="1:9" s="38" customFormat="1" ht="18.75" x14ac:dyDescent="0.3">
      <c r="A147" s="198"/>
      <c r="B147" s="198"/>
      <c r="C147" s="193" t="s">
        <v>81</v>
      </c>
      <c r="D147" s="230">
        <f>STDEV(E134:E137,G134:G137)/D146</f>
        <v>4.4942527033843176E-3</v>
      </c>
      <c r="E147" s="198"/>
      <c r="F147" s="163"/>
      <c r="G147" s="220"/>
      <c r="H147" s="143"/>
      <c r="I147" s="229"/>
    </row>
    <row r="148" spans="1:9" s="38" customFormat="1" ht="19.5" thickBot="1" x14ac:dyDescent="0.35">
      <c r="A148" s="198"/>
      <c r="B148" s="198"/>
      <c r="C148" s="195" t="s">
        <v>18</v>
      </c>
      <c r="D148" s="231">
        <f>COUNT(E134:E137,G134:G137)</f>
        <v>6</v>
      </c>
      <c r="E148" s="198"/>
      <c r="F148" s="163"/>
      <c r="G148" s="220"/>
      <c r="H148" s="143"/>
      <c r="I148" s="229"/>
    </row>
    <row r="149" spans="1:9" s="38" customFormat="1" ht="19.5" thickBot="1" x14ac:dyDescent="0.35">
      <c r="A149" s="167"/>
      <c r="B149" s="167"/>
      <c r="C149" s="167"/>
      <c r="D149" s="167"/>
      <c r="E149" s="167"/>
      <c r="F149" s="198"/>
      <c r="G149" s="198"/>
      <c r="H149" s="198"/>
      <c r="I149" s="1"/>
    </row>
    <row r="150" spans="1:9" s="38" customFormat="1" ht="26.25" x14ac:dyDescent="0.3">
      <c r="A150" s="115" t="s">
        <v>115</v>
      </c>
      <c r="B150" s="417">
        <v>1000</v>
      </c>
      <c r="C150" s="275" t="s">
        <v>133</v>
      </c>
      <c r="D150" s="234" t="s">
        <v>60</v>
      </c>
      <c r="E150" s="427" t="s">
        <v>117</v>
      </c>
      <c r="F150" s="235" t="s">
        <v>118</v>
      </c>
      <c r="G150" s="198"/>
      <c r="H150" s="198"/>
      <c r="I150" s="1"/>
    </row>
    <row r="151" spans="1:9" s="38" customFormat="1" ht="26.25" x14ac:dyDescent="0.3">
      <c r="A151" s="117" t="s">
        <v>119</v>
      </c>
      <c r="B151" s="418">
        <v>1</v>
      </c>
      <c r="C151" s="236">
        <v>1</v>
      </c>
      <c r="D151" s="428">
        <v>61683949</v>
      </c>
      <c r="E151" s="429">
        <f t="shared" ref="E151:E156" si="3">IF(ISBLANK(D151),"-",D151/$D$146*$D$143*$B$159)</f>
        <v>170.69291954757105</v>
      </c>
      <c r="F151" s="430">
        <f t="shared" ref="F151:F156" si="4">IF(ISBLANK(D151), "-", E151/$B$56)</f>
        <v>0.56897639849190351</v>
      </c>
      <c r="G151" s="198"/>
      <c r="H151" s="198"/>
      <c r="I151" s="1"/>
    </row>
    <row r="152" spans="1:9" s="38" customFormat="1" ht="26.25" x14ac:dyDescent="0.3">
      <c r="A152" s="117" t="s">
        <v>92</v>
      </c>
      <c r="B152" s="418">
        <v>1</v>
      </c>
      <c r="C152" s="236">
        <v>2</v>
      </c>
      <c r="D152" s="431">
        <v>103095981</v>
      </c>
      <c r="E152" s="432">
        <f t="shared" si="3"/>
        <v>285.28903022260965</v>
      </c>
      <c r="F152" s="433">
        <f t="shared" si="4"/>
        <v>0.95096343407536554</v>
      </c>
      <c r="G152" s="198"/>
      <c r="H152" s="198"/>
      <c r="I152" s="1"/>
    </row>
    <row r="153" spans="1:9" s="38" customFormat="1" ht="26.25" x14ac:dyDescent="0.3">
      <c r="A153" s="117" t="s">
        <v>93</v>
      </c>
      <c r="B153" s="418">
        <v>1</v>
      </c>
      <c r="C153" s="236">
        <v>3</v>
      </c>
      <c r="D153" s="431">
        <v>93623649</v>
      </c>
      <c r="E153" s="432">
        <f t="shared" si="3"/>
        <v>259.07702482710744</v>
      </c>
      <c r="F153" s="433">
        <f t="shared" si="4"/>
        <v>0.86359008275702476</v>
      </c>
      <c r="G153" s="198"/>
      <c r="H153" s="198"/>
      <c r="I153" s="1"/>
    </row>
    <row r="154" spans="1:9" s="38" customFormat="1" ht="26.25" x14ac:dyDescent="0.3">
      <c r="A154" s="117" t="s">
        <v>94</v>
      </c>
      <c r="B154" s="418">
        <v>1</v>
      </c>
      <c r="C154" s="236">
        <v>4</v>
      </c>
      <c r="D154" s="431">
        <v>91787714</v>
      </c>
      <c r="E154" s="432">
        <f t="shared" si="3"/>
        <v>253.99659287795373</v>
      </c>
      <c r="F154" s="433">
        <f t="shared" si="4"/>
        <v>0.84665530959317914</v>
      </c>
      <c r="G154" s="198"/>
      <c r="H154" s="198"/>
      <c r="I154" s="1"/>
    </row>
    <row r="155" spans="1:9" s="38" customFormat="1" ht="26.25" x14ac:dyDescent="0.3">
      <c r="A155" s="117" t="s">
        <v>95</v>
      </c>
      <c r="B155" s="418">
        <v>1</v>
      </c>
      <c r="C155" s="236">
        <v>5</v>
      </c>
      <c r="D155" s="431">
        <v>88692158</v>
      </c>
      <c r="E155" s="432">
        <f t="shared" si="3"/>
        <v>245.43051531921955</v>
      </c>
      <c r="F155" s="433">
        <f t="shared" si="4"/>
        <v>0.81810171773073181</v>
      </c>
      <c r="G155" s="198"/>
      <c r="H155" s="198"/>
      <c r="I155" s="1"/>
    </row>
    <row r="156" spans="1:9" s="38" customFormat="1" ht="26.25" x14ac:dyDescent="0.3">
      <c r="A156" s="117" t="s">
        <v>97</v>
      </c>
      <c r="B156" s="418">
        <v>1</v>
      </c>
      <c r="C156" s="240">
        <v>6</v>
      </c>
      <c r="D156" s="434">
        <v>65702625</v>
      </c>
      <c r="E156" s="435">
        <f t="shared" si="3"/>
        <v>181.8134711704212</v>
      </c>
      <c r="F156" s="436">
        <f t="shared" si="4"/>
        <v>0.60604490390140398</v>
      </c>
      <c r="G156" s="198"/>
      <c r="H156" s="198"/>
      <c r="I156" s="1"/>
    </row>
    <row r="157" spans="1:9" s="38" customFormat="1" ht="26.25" x14ac:dyDescent="0.3">
      <c r="A157" s="117" t="s">
        <v>98</v>
      </c>
      <c r="B157" s="418">
        <v>1</v>
      </c>
      <c r="C157" s="236"/>
      <c r="D157" s="217"/>
      <c r="E157" s="198"/>
      <c r="F157" s="243"/>
      <c r="G157" s="198"/>
      <c r="H157" s="198"/>
      <c r="I157" s="1"/>
    </row>
    <row r="158" spans="1:9" s="38" customFormat="1" ht="26.25" x14ac:dyDescent="0.4">
      <c r="A158" s="117" t="s">
        <v>99</v>
      </c>
      <c r="B158" s="418">
        <v>1</v>
      </c>
      <c r="C158" s="236"/>
      <c r="D158" s="437"/>
      <c r="E158" s="438" t="s">
        <v>68</v>
      </c>
      <c r="F158" s="439">
        <f>AVERAGE(F151:F156)</f>
        <v>0.77572197442493485</v>
      </c>
      <c r="G158" s="198"/>
      <c r="H158" s="198"/>
      <c r="I158" s="1"/>
    </row>
    <row r="159" spans="1:9" s="38" customFormat="1" ht="27" thickBot="1" x14ac:dyDescent="0.45">
      <c r="A159" s="117" t="s">
        <v>100</v>
      </c>
      <c r="B159" s="422">
        <f>(B158/B157)*(B156/B155)*(B154/B153)*(B152/B151)*B150</f>
        <v>1000</v>
      </c>
      <c r="C159" s="246"/>
      <c r="D159" s="198"/>
      <c r="E159" s="440" t="s">
        <v>81</v>
      </c>
      <c r="F159" s="267">
        <f>STDEV(F151:F156)/F158</f>
        <v>0.19702232671898182</v>
      </c>
      <c r="G159" s="198"/>
      <c r="H159" s="198"/>
      <c r="I159" s="1"/>
    </row>
    <row r="160" spans="1:9" s="38" customFormat="1" ht="27" thickBot="1" x14ac:dyDescent="0.45">
      <c r="A160" s="504" t="s">
        <v>75</v>
      </c>
      <c r="B160" s="505"/>
      <c r="C160" s="248"/>
      <c r="D160" s="441"/>
      <c r="E160" s="442" t="s">
        <v>18</v>
      </c>
      <c r="F160" s="196">
        <f>COUNT(F151:F156)</f>
        <v>6</v>
      </c>
      <c r="G160" s="198"/>
      <c r="H160" s="198"/>
      <c r="I160" s="229"/>
    </row>
    <row r="161" spans="1:8" s="38" customFormat="1" ht="19.5" thickBot="1" x14ac:dyDescent="0.35">
      <c r="A161" s="506"/>
      <c r="B161" s="507"/>
      <c r="C161" s="198"/>
      <c r="D161" s="198"/>
      <c r="E161" s="198"/>
      <c r="F161" s="217"/>
      <c r="G161" s="198"/>
      <c r="H161" s="198"/>
    </row>
    <row r="162" spans="1:8" s="38" customFormat="1" ht="18.75" x14ac:dyDescent="0.3">
      <c r="A162" s="113"/>
      <c r="B162" s="113"/>
      <c r="C162" s="198"/>
      <c r="D162" s="198"/>
      <c r="E162" s="198"/>
      <c r="F162" s="217"/>
      <c r="G162" s="198"/>
      <c r="H162" s="198"/>
    </row>
    <row r="163" spans="1:8" s="38" customFormat="1" ht="18.75" x14ac:dyDescent="0.3">
      <c r="A163" s="100" t="s">
        <v>134</v>
      </c>
      <c r="B163" s="284" t="s">
        <v>137</v>
      </c>
      <c r="C163" s="198"/>
      <c r="D163" s="198"/>
      <c r="E163" s="198"/>
      <c r="F163" s="217"/>
      <c r="G163" s="198"/>
      <c r="H163" s="198"/>
    </row>
    <row r="164" spans="1:8" s="38" customFormat="1" ht="19.5" thickBot="1" x14ac:dyDescent="0.35">
      <c r="A164" s="113"/>
      <c r="B164" s="113"/>
      <c r="C164" s="198"/>
      <c r="D164" s="198"/>
      <c r="E164" s="198"/>
      <c r="F164" s="217"/>
      <c r="G164" s="198"/>
      <c r="H164" s="198"/>
    </row>
    <row r="165" spans="1:8" s="38" customFormat="1" ht="26.25" x14ac:dyDescent="0.4">
      <c r="A165" s="443" t="s">
        <v>68</v>
      </c>
      <c r="B165" s="444">
        <f>AVERAGE(F108:F113,F151:F156)</f>
        <v>0.85006738502087442</v>
      </c>
      <c r="C165" s="198"/>
      <c r="D165" s="198"/>
      <c r="E165" s="198"/>
      <c r="F165" s="217"/>
      <c r="G165" s="198"/>
      <c r="H165" s="198"/>
    </row>
    <row r="166" spans="1:8" s="38" customFormat="1" ht="26.25" x14ac:dyDescent="0.4">
      <c r="A166" s="117" t="s">
        <v>81</v>
      </c>
      <c r="B166" s="445">
        <f>STDEV(F108:F113,F151:F156)/B165</f>
        <v>0.19327478551464847</v>
      </c>
      <c r="C166" s="198"/>
      <c r="D166" s="198"/>
      <c r="E166" s="198"/>
      <c r="F166" s="217"/>
      <c r="G166" s="198"/>
      <c r="H166" s="198"/>
    </row>
    <row r="167" spans="1:8" s="38" customFormat="1" ht="27" thickBot="1" x14ac:dyDescent="0.45">
      <c r="A167" s="446" t="s">
        <v>18</v>
      </c>
      <c r="B167" s="447">
        <f>COUNT(F108:F113,F151:F156)</f>
        <v>12</v>
      </c>
      <c r="C167" s="198"/>
      <c r="D167" s="198"/>
      <c r="E167" s="198"/>
      <c r="F167" s="217"/>
      <c r="G167" s="198"/>
      <c r="H167" s="198"/>
    </row>
    <row r="168" spans="1:8" s="38" customFormat="1" ht="26.25" x14ac:dyDescent="0.2">
      <c r="A168" s="285" t="s">
        <v>132</v>
      </c>
      <c r="B168" s="286" t="s">
        <v>120</v>
      </c>
      <c r="C168" s="522" t="str">
        <f>B20</f>
        <v xml:space="preserve">ATAZANAVIR </v>
      </c>
      <c r="D168" s="522"/>
      <c r="E168" s="295" t="s">
        <v>121</v>
      </c>
      <c r="F168" s="295"/>
      <c r="G168" s="365">
        <f>B165</f>
        <v>0.85006738502087442</v>
      </c>
      <c r="H168" s="295"/>
    </row>
    <row r="169" spans="1:8" s="38" customFormat="1" ht="19.5" thickBot="1" x14ac:dyDescent="0.25">
      <c r="A169" s="280"/>
      <c r="B169" s="280"/>
      <c r="C169" s="448"/>
      <c r="D169" s="448"/>
      <c r="E169" s="448"/>
      <c r="F169" s="448"/>
      <c r="G169" s="448"/>
      <c r="H169" s="448"/>
    </row>
    <row r="170" spans="1:8" s="38" customFormat="1" ht="18.75" x14ac:dyDescent="0.3">
      <c r="A170" s="17"/>
      <c r="B170" s="521" t="s">
        <v>23</v>
      </c>
      <c r="C170" s="521"/>
      <c r="D170" s="17"/>
      <c r="E170" s="276" t="s">
        <v>24</v>
      </c>
      <c r="F170" s="449"/>
      <c r="G170" s="521" t="s">
        <v>25</v>
      </c>
      <c r="H170" s="521"/>
    </row>
    <row r="171" spans="1:8" s="38" customFormat="1" ht="18.75" x14ac:dyDescent="0.3">
      <c r="A171" s="285" t="s">
        <v>26</v>
      </c>
      <c r="B171" s="450" t="s">
        <v>142</v>
      </c>
      <c r="C171" s="450"/>
      <c r="D171" s="17"/>
      <c r="E171" s="451" t="s">
        <v>143</v>
      </c>
      <c r="F171" s="295"/>
      <c r="G171" s="451"/>
      <c r="H171" s="451"/>
    </row>
    <row r="172" spans="1:8" s="38" customFormat="1" ht="18.75" x14ac:dyDescent="0.3">
      <c r="A172" s="285" t="s">
        <v>27</v>
      </c>
      <c r="B172" s="452"/>
      <c r="C172" s="452"/>
      <c r="D172" s="17"/>
      <c r="E172" s="453"/>
      <c r="F172" s="295"/>
      <c r="G172" s="454"/>
      <c r="H172" s="454"/>
    </row>
    <row r="173" spans="1:8" s="38" customFormat="1" ht="18.75" x14ac:dyDescent="0.2">
      <c r="A173" s="307"/>
      <c r="B173" s="307"/>
      <c r="C173" s="307"/>
      <c r="D173" s="307"/>
      <c r="E173" s="307"/>
      <c r="F173" s="326"/>
      <c r="G173" s="307"/>
      <c r="H173" s="307"/>
    </row>
    <row r="174" spans="1:8" s="38" customFormat="1" ht="18.75" x14ac:dyDescent="0.2">
      <c r="A174" s="307"/>
      <c r="B174" s="307"/>
      <c r="C174" s="307"/>
      <c r="D174" s="307"/>
      <c r="E174" s="307"/>
      <c r="F174" s="326"/>
      <c r="G174" s="307"/>
      <c r="H174" s="307"/>
    </row>
    <row r="175" spans="1:8" s="38" customFormat="1" ht="18.75" x14ac:dyDescent="0.2">
      <c r="A175" s="307"/>
      <c r="B175" s="307"/>
      <c r="C175" s="307"/>
      <c r="D175" s="307"/>
      <c r="E175" s="307"/>
      <c r="F175" s="326"/>
      <c r="G175" s="307"/>
      <c r="H175" s="307"/>
    </row>
    <row r="176" spans="1:8" s="38" customFormat="1" ht="18.75" x14ac:dyDescent="0.2">
      <c r="A176" s="307"/>
      <c r="B176" s="307"/>
      <c r="C176" s="307"/>
      <c r="D176" s="307"/>
      <c r="E176" s="307"/>
      <c r="F176" s="326"/>
      <c r="G176" s="307"/>
      <c r="H176" s="307"/>
    </row>
    <row r="177" spans="1:8" s="38" customFormat="1" ht="18.75" x14ac:dyDescent="0.2">
      <c r="A177" s="307"/>
      <c r="B177" s="307"/>
      <c r="C177" s="307"/>
      <c r="D177" s="307"/>
      <c r="E177" s="307"/>
      <c r="F177" s="326"/>
      <c r="G177" s="307"/>
      <c r="H177" s="307"/>
    </row>
    <row r="178" spans="1:8" s="38" customFormat="1" ht="18.75" x14ac:dyDescent="0.2">
      <c r="A178" s="307"/>
      <c r="B178" s="307"/>
      <c r="C178" s="307"/>
      <c r="D178" s="307"/>
      <c r="E178" s="307"/>
      <c r="F178" s="326"/>
      <c r="G178" s="307"/>
      <c r="H178" s="307"/>
    </row>
    <row r="179" spans="1:8" s="38" customFormat="1" ht="18.75" x14ac:dyDescent="0.2">
      <c r="A179" s="307"/>
      <c r="B179" s="307"/>
      <c r="C179" s="307"/>
      <c r="D179" s="307"/>
      <c r="E179" s="307"/>
      <c r="F179" s="326"/>
      <c r="G179" s="307"/>
      <c r="H179" s="307"/>
    </row>
    <row r="180" spans="1:8" s="38" customFormat="1" ht="18.75" x14ac:dyDescent="0.2">
      <c r="A180" s="307"/>
      <c r="B180" s="307"/>
      <c r="C180" s="307"/>
      <c r="D180" s="307"/>
      <c r="E180" s="307"/>
      <c r="F180" s="326"/>
      <c r="G180" s="307"/>
      <c r="H180" s="307"/>
    </row>
    <row r="181" spans="1:8" s="38" customFormat="1" ht="18.75" x14ac:dyDescent="0.2">
      <c r="A181" s="307"/>
      <c r="B181" s="307"/>
      <c r="C181" s="307"/>
      <c r="D181" s="307"/>
      <c r="E181" s="307"/>
      <c r="F181" s="326"/>
      <c r="G181" s="307"/>
      <c r="H181" s="307"/>
    </row>
    <row r="250" spans="1:1" s="38" customFormat="1" x14ac:dyDescent="0.3">
      <c r="A250" s="17">
        <v>5</v>
      </c>
    </row>
  </sheetData>
  <mergeCells count="41"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B20:C20"/>
    <mergeCell ref="A1:H7"/>
    <mergeCell ref="A8:H14"/>
    <mergeCell ref="A16:H16"/>
    <mergeCell ref="A17:H17"/>
    <mergeCell ref="B18:C18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ageMargins left="0.7" right="0.7" top="0.75" bottom="0.75" header="0.3" footer="0.3"/>
  <pageSetup scale="18" orientation="portrait" r:id="rId1"/>
  <rowBreaks count="1" manualBreakCount="1">
    <brk id="173" max="16383" man="1"/>
  </rowBreaks>
  <colBreaks count="1" manualBreakCount="1">
    <brk id="8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view="pageBreakPreview" topLeftCell="A83" zoomScale="60" zoomScaleNormal="50" workbookViewId="0">
      <selection activeCell="E125" sqref="E125"/>
    </sheetView>
  </sheetViews>
  <sheetFormatPr defaultRowHeight="13.5" x14ac:dyDescent="0.25"/>
  <cols>
    <col min="1" max="1" width="55.42578125" style="220" customWidth="1"/>
    <col min="2" max="2" width="33.7109375" style="220" customWidth="1"/>
    <col min="3" max="3" width="42.28515625" style="220" customWidth="1"/>
    <col min="4" max="4" width="30.5703125" style="220" customWidth="1"/>
    <col min="5" max="5" width="39.85546875" style="220" customWidth="1"/>
    <col min="6" max="6" width="30.7109375" style="220" customWidth="1"/>
    <col min="7" max="7" width="39.85546875" style="220" customWidth="1"/>
    <col min="8" max="8" width="41.140625" style="220" customWidth="1"/>
    <col min="9" max="9" width="30.28515625" style="220" customWidth="1"/>
    <col min="10" max="10" width="30.42578125" style="220" customWidth="1"/>
    <col min="11" max="11" width="21.28515625" style="220" customWidth="1"/>
    <col min="12" max="12" width="9.140625" style="220" customWidth="1"/>
    <col min="13" max="16384" width="9.140625" style="38"/>
  </cols>
  <sheetData>
    <row r="1" spans="1:8" x14ac:dyDescent="0.25">
      <c r="A1" s="502" t="s">
        <v>42</v>
      </c>
      <c r="B1" s="502"/>
      <c r="C1" s="502"/>
      <c r="D1" s="502"/>
      <c r="E1" s="502"/>
      <c r="F1" s="502"/>
      <c r="G1" s="502"/>
      <c r="H1" s="502"/>
    </row>
    <row r="2" spans="1:8" x14ac:dyDescent="0.25">
      <c r="A2" s="502"/>
      <c r="B2" s="502"/>
      <c r="C2" s="502"/>
      <c r="D2" s="502"/>
      <c r="E2" s="502"/>
      <c r="F2" s="502"/>
      <c r="G2" s="502"/>
      <c r="H2" s="502"/>
    </row>
    <row r="3" spans="1:8" x14ac:dyDescent="0.25">
      <c r="A3" s="502"/>
      <c r="B3" s="502"/>
      <c r="C3" s="502"/>
      <c r="D3" s="502"/>
      <c r="E3" s="502"/>
      <c r="F3" s="502"/>
      <c r="G3" s="502"/>
      <c r="H3" s="502"/>
    </row>
    <row r="4" spans="1:8" x14ac:dyDescent="0.25">
      <c r="A4" s="502"/>
      <c r="B4" s="502"/>
      <c r="C4" s="502"/>
      <c r="D4" s="502"/>
      <c r="E4" s="502"/>
      <c r="F4" s="502"/>
      <c r="G4" s="502"/>
      <c r="H4" s="502"/>
    </row>
    <row r="5" spans="1:8" x14ac:dyDescent="0.25">
      <c r="A5" s="502"/>
      <c r="B5" s="502"/>
      <c r="C5" s="502"/>
      <c r="D5" s="502"/>
      <c r="E5" s="502"/>
      <c r="F5" s="502"/>
      <c r="G5" s="502"/>
      <c r="H5" s="502"/>
    </row>
    <row r="6" spans="1:8" x14ac:dyDescent="0.25">
      <c r="A6" s="502"/>
      <c r="B6" s="502"/>
      <c r="C6" s="502"/>
      <c r="D6" s="502"/>
      <c r="E6" s="502"/>
      <c r="F6" s="502"/>
      <c r="G6" s="502"/>
      <c r="H6" s="502"/>
    </row>
    <row r="7" spans="1:8" x14ac:dyDescent="0.25">
      <c r="A7" s="502"/>
      <c r="B7" s="502"/>
      <c r="C7" s="502"/>
      <c r="D7" s="502"/>
      <c r="E7" s="502"/>
      <c r="F7" s="502"/>
      <c r="G7" s="502"/>
      <c r="H7" s="502"/>
    </row>
    <row r="8" spans="1:8" x14ac:dyDescent="0.25">
      <c r="A8" s="503" t="s">
        <v>43</v>
      </c>
      <c r="B8" s="503"/>
      <c r="C8" s="503"/>
      <c r="D8" s="503"/>
      <c r="E8" s="503"/>
      <c r="F8" s="503"/>
      <c r="G8" s="503"/>
      <c r="H8" s="503"/>
    </row>
    <row r="9" spans="1:8" x14ac:dyDescent="0.25">
      <c r="A9" s="503"/>
      <c r="B9" s="503"/>
      <c r="C9" s="503"/>
      <c r="D9" s="503"/>
      <c r="E9" s="503"/>
      <c r="F9" s="503"/>
      <c r="G9" s="503"/>
      <c r="H9" s="503"/>
    </row>
    <row r="10" spans="1:8" x14ac:dyDescent="0.25">
      <c r="A10" s="503"/>
      <c r="B10" s="503"/>
      <c r="C10" s="503"/>
      <c r="D10" s="503"/>
      <c r="E10" s="503"/>
      <c r="F10" s="503"/>
      <c r="G10" s="503"/>
      <c r="H10" s="503"/>
    </row>
    <row r="11" spans="1:8" x14ac:dyDescent="0.25">
      <c r="A11" s="503"/>
      <c r="B11" s="503"/>
      <c r="C11" s="503"/>
      <c r="D11" s="503"/>
      <c r="E11" s="503"/>
      <c r="F11" s="503"/>
      <c r="G11" s="503"/>
      <c r="H11" s="503"/>
    </row>
    <row r="12" spans="1:8" x14ac:dyDescent="0.25">
      <c r="A12" s="503"/>
      <c r="B12" s="503"/>
      <c r="C12" s="503"/>
      <c r="D12" s="503"/>
      <c r="E12" s="503"/>
      <c r="F12" s="503"/>
      <c r="G12" s="503"/>
      <c r="H12" s="503"/>
    </row>
    <row r="13" spans="1:8" x14ac:dyDescent="0.25">
      <c r="A13" s="503"/>
      <c r="B13" s="503"/>
      <c r="C13" s="503"/>
      <c r="D13" s="503"/>
      <c r="E13" s="503"/>
      <c r="F13" s="503"/>
      <c r="G13" s="503"/>
      <c r="H13" s="503"/>
    </row>
    <row r="14" spans="1:8" x14ac:dyDescent="0.25">
      <c r="A14" s="503"/>
      <c r="B14" s="503"/>
      <c r="C14" s="503"/>
      <c r="D14" s="503"/>
      <c r="E14" s="503"/>
      <c r="F14" s="503"/>
      <c r="G14" s="503"/>
      <c r="H14" s="503"/>
    </row>
    <row r="15" spans="1:8" ht="19.5" customHeight="1" thickBot="1" x14ac:dyDescent="0.3"/>
    <row r="16" spans="1:8" ht="19.5" customHeight="1" thickBot="1" x14ac:dyDescent="0.3">
      <c r="A16" s="549" t="s">
        <v>28</v>
      </c>
      <c r="B16" s="550"/>
      <c r="C16" s="550"/>
      <c r="D16" s="550"/>
      <c r="E16" s="550"/>
      <c r="F16" s="550"/>
      <c r="G16" s="550"/>
      <c r="H16" s="551"/>
    </row>
    <row r="17" spans="1:14" ht="18.75" x14ac:dyDescent="0.3">
      <c r="A17" s="167" t="s">
        <v>44</v>
      </c>
      <c r="B17" s="167"/>
    </row>
    <row r="18" spans="1:14" ht="18.75" x14ac:dyDescent="0.3">
      <c r="A18" s="93" t="s">
        <v>30</v>
      </c>
      <c r="B18" s="552" t="s">
        <v>4</v>
      </c>
      <c r="C18" s="552"/>
      <c r="D18" s="465"/>
      <c r="E18" s="465"/>
    </row>
    <row r="19" spans="1:14" ht="18.75" x14ac:dyDescent="0.3">
      <c r="A19" s="93" t="s">
        <v>31</v>
      </c>
      <c r="B19" s="466" t="s">
        <v>6</v>
      </c>
      <c r="C19" s="198">
        <v>24</v>
      </c>
    </row>
    <row r="20" spans="1:14" ht="18.75" x14ac:dyDescent="0.3">
      <c r="A20" s="93" t="s">
        <v>32</v>
      </c>
      <c r="B20" s="466" t="s">
        <v>138</v>
      </c>
    </row>
    <row r="21" spans="1:14" ht="18.75" x14ac:dyDescent="0.3">
      <c r="A21" s="93" t="s">
        <v>33</v>
      </c>
      <c r="B21" s="97" t="s">
        <v>10</v>
      </c>
      <c r="C21" s="97"/>
      <c r="D21" s="97"/>
      <c r="E21" s="97"/>
      <c r="F21" s="97"/>
      <c r="G21" s="97"/>
      <c r="H21" s="97"/>
      <c r="I21" s="97"/>
    </row>
    <row r="22" spans="1:14" ht="18.75" x14ac:dyDescent="0.3">
      <c r="A22" s="93" t="s">
        <v>34</v>
      </c>
      <c r="B22" s="467"/>
    </row>
    <row r="23" spans="1:14" ht="18.75" x14ac:dyDescent="0.3">
      <c r="A23" s="93" t="s">
        <v>35</v>
      </c>
      <c r="B23" s="467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254" t="s">
        <v>3</v>
      </c>
      <c r="B26" s="461" t="s">
        <v>139</v>
      </c>
      <c r="C26" s="468"/>
    </row>
    <row r="27" spans="1:14" ht="26.25" customHeight="1" x14ac:dyDescent="0.4">
      <c r="A27" s="209" t="s">
        <v>45</v>
      </c>
      <c r="B27" s="201" t="s">
        <v>140</v>
      </c>
    </row>
    <row r="28" spans="1:14" ht="27" customHeight="1" thickBot="1" x14ac:dyDescent="0.45">
      <c r="A28" s="209" t="s">
        <v>5</v>
      </c>
      <c r="B28" s="201">
        <v>99.3</v>
      </c>
    </row>
    <row r="29" spans="1:14" s="68" customFormat="1" ht="27" customHeight="1" thickBot="1" x14ac:dyDescent="0.45">
      <c r="A29" s="209" t="s">
        <v>46</v>
      </c>
      <c r="B29" s="201">
        <v>0</v>
      </c>
      <c r="C29" s="510" t="s">
        <v>47</v>
      </c>
      <c r="D29" s="511"/>
      <c r="E29" s="511"/>
      <c r="F29" s="511"/>
      <c r="G29" s="512"/>
      <c r="I29" s="105"/>
      <c r="J29" s="105"/>
      <c r="K29" s="105"/>
      <c r="L29" s="105"/>
    </row>
    <row r="30" spans="1:14" s="68" customFormat="1" ht="19.5" customHeight="1" thickBot="1" x14ac:dyDescent="0.35">
      <c r="A30" s="209" t="s">
        <v>48</v>
      </c>
      <c r="B30" s="462">
        <f>B28-B29</f>
        <v>99.3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68" customFormat="1" ht="27" customHeight="1" thickBot="1" x14ac:dyDescent="0.45">
      <c r="A31" s="209" t="s">
        <v>49</v>
      </c>
      <c r="B31" s="109">
        <v>1</v>
      </c>
      <c r="C31" s="513" t="s">
        <v>50</v>
      </c>
      <c r="D31" s="514"/>
      <c r="E31" s="514"/>
      <c r="F31" s="514"/>
      <c r="G31" s="514"/>
      <c r="H31" s="515"/>
      <c r="I31" s="105"/>
      <c r="J31" s="105"/>
      <c r="K31" s="105"/>
      <c r="L31" s="105"/>
    </row>
    <row r="32" spans="1:14" s="68" customFormat="1" ht="27" customHeight="1" thickBot="1" x14ac:dyDescent="0.45">
      <c r="A32" s="209" t="s">
        <v>51</v>
      </c>
      <c r="B32" s="109">
        <v>1</v>
      </c>
      <c r="C32" s="513" t="s">
        <v>52</v>
      </c>
      <c r="D32" s="514"/>
      <c r="E32" s="514"/>
      <c r="F32" s="514"/>
      <c r="G32" s="514"/>
      <c r="H32" s="515"/>
      <c r="I32" s="105"/>
      <c r="J32" s="105"/>
      <c r="K32" s="105"/>
      <c r="L32" s="110"/>
      <c r="M32" s="110"/>
      <c r="N32" s="111"/>
    </row>
    <row r="33" spans="1:14" s="68" customFormat="1" ht="17.25" customHeight="1" x14ac:dyDescent="0.3">
      <c r="A33" s="209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68" customFormat="1" ht="18.75" x14ac:dyDescent="0.3">
      <c r="A34" s="209" t="s">
        <v>53</v>
      </c>
      <c r="B34" s="114">
        <f>B31/B32</f>
        <v>1</v>
      </c>
      <c r="C34" s="198" t="s">
        <v>54</v>
      </c>
      <c r="D34" s="198"/>
      <c r="E34" s="198"/>
      <c r="F34" s="198"/>
      <c r="G34" s="198"/>
      <c r="I34" s="105"/>
      <c r="J34" s="105"/>
      <c r="K34" s="105"/>
      <c r="L34" s="110"/>
      <c r="M34" s="110"/>
      <c r="N34" s="111"/>
    </row>
    <row r="35" spans="1:14" s="68" customFormat="1" ht="19.5" customHeight="1" thickBot="1" x14ac:dyDescent="0.35">
      <c r="A35" s="209"/>
      <c r="B35" s="462"/>
      <c r="G35" s="198"/>
      <c r="I35" s="105"/>
      <c r="J35" s="105"/>
      <c r="K35" s="105"/>
      <c r="L35" s="110"/>
      <c r="M35" s="110"/>
      <c r="N35" s="111"/>
    </row>
    <row r="36" spans="1:14" s="68" customFormat="1" ht="27" customHeight="1" thickBot="1" x14ac:dyDescent="0.45">
      <c r="A36" s="115" t="s">
        <v>149</v>
      </c>
      <c r="B36" s="116">
        <v>100</v>
      </c>
      <c r="C36" s="198"/>
      <c r="D36" s="516" t="s">
        <v>56</v>
      </c>
      <c r="E36" s="534"/>
      <c r="F36" s="516" t="s">
        <v>57</v>
      </c>
      <c r="G36" s="517"/>
      <c r="J36" s="105"/>
      <c r="K36" s="105"/>
      <c r="L36" s="110"/>
      <c r="M36" s="110"/>
      <c r="N36" s="111"/>
    </row>
    <row r="37" spans="1:14" s="68" customFormat="1" ht="15.75" customHeight="1" x14ac:dyDescent="0.4">
      <c r="A37" s="117" t="s">
        <v>58</v>
      </c>
      <c r="B37" s="118">
        <v>1</v>
      </c>
      <c r="C37" s="119" t="s">
        <v>136</v>
      </c>
      <c r="D37" s="120" t="s">
        <v>60</v>
      </c>
      <c r="E37" s="121" t="s">
        <v>61</v>
      </c>
      <c r="F37" s="120" t="s">
        <v>60</v>
      </c>
      <c r="G37" s="205" t="s">
        <v>61</v>
      </c>
      <c r="J37" s="105"/>
      <c r="K37" s="105"/>
      <c r="L37" s="110"/>
      <c r="M37" s="110"/>
      <c r="N37" s="111"/>
    </row>
    <row r="38" spans="1:14" s="68" customFormat="1" ht="26.25" customHeight="1" x14ac:dyDescent="0.4">
      <c r="A38" s="117" t="s">
        <v>63</v>
      </c>
      <c r="B38" s="118">
        <v>1</v>
      </c>
      <c r="C38" s="124">
        <v>1</v>
      </c>
      <c r="D38" s="125">
        <v>48253019</v>
      </c>
      <c r="E38" s="126">
        <f>IF(ISBLANK(D38),"-",$D$48/$D$45*D38)</f>
        <v>47733959.919831753</v>
      </c>
      <c r="F38" s="125">
        <v>50223843</v>
      </c>
      <c r="G38" s="127">
        <f>IF(ISBLANK(F38),"-",$D$48/$F$45*F38)</f>
        <v>47269054.40889968</v>
      </c>
      <c r="J38" s="105"/>
      <c r="K38" s="105"/>
      <c r="L38" s="110"/>
      <c r="M38" s="110"/>
      <c r="N38" s="111"/>
    </row>
    <row r="39" spans="1:14" s="68" customFormat="1" ht="26.25" customHeight="1" x14ac:dyDescent="0.4">
      <c r="A39" s="117" t="s">
        <v>64</v>
      </c>
      <c r="B39" s="118">
        <v>1</v>
      </c>
      <c r="C39" s="149">
        <v>2</v>
      </c>
      <c r="D39" s="130">
        <v>48255490</v>
      </c>
      <c r="E39" s="131">
        <f>IF(ISBLANK(D39),"-",$D$48/$D$45*D39)</f>
        <v>47736404.339215375</v>
      </c>
      <c r="F39" s="130">
        <v>50378828</v>
      </c>
      <c r="G39" s="132">
        <f>IF(ISBLANK(F39),"-",$D$48/$F$45*F39)</f>
        <v>47414921.271329209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65</v>
      </c>
      <c r="B40" s="118">
        <v>1</v>
      </c>
      <c r="C40" s="149">
        <v>3</v>
      </c>
      <c r="D40" s="130">
        <v>48191070</v>
      </c>
      <c r="E40" s="131">
        <f>IF(ISBLANK(D40),"-",$D$48/$D$45*D40)</f>
        <v>47672677.306964077</v>
      </c>
      <c r="F40" s="130">
        <v>50353091</v>
      </c>
      <c r="G40" s="132">
        <f>IF(ISBLANK(F40),"-",$D$48/$F$45*F40)</f>
        <v>47390698.440485269</v>
      </c>
      <c r="L40" s="110"/>
      <c r="M40" s="110"/>
      <c r="N40" s="198"/>
    </row>
    <row r="41" spans="1:14" ht="26.25" customHeight="1" x14ac:dyDescent="0.4">
      <c r="A41" s="117" t="s">
        <v>66</v>
      </c>
      <c r="B41" s="118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L41" s="110"/>
      <c r="M41" s="110"/>
      <c r="N41" s="198"/>
    </row>
    <row r="42" spans="1:14" ht="27" customHeight="1" thickBot="1" x14ac:dyDescent="0.45">
      <c r="A42" s="117" t="s">
        <v>67</v>
      </c>
      <c r="B42" s="118">
        <v>1</v>
      </c>
      <c r="C42" s="139" t="s">
        <v>68</v>
      </c>
      <c r="D42" s="469">
        <f>AVERAGE(D38:D41)</f>
        <v>48233193</v>
      </c>
      <c r="E42" s="141">
        <f>AVERAGE(E38:E41)</f>
        <v>47714347.188670397</v>
      </c>
      <c r="F42" s="140">
        <f>AVERAGE(F38:F41)</f>
        <v>50318587.333333336</v>
      </c>
      <c r="G42" s="142">
        <f>AVERAGE(G38:G41)</f>
        <v>47358224.706904717</v>
      </c>
      <c r="H42" s="143"/>
    </row>
    <row r="43" spans="1:14" ht="26.25" customHeight="1" x14ac:dyDescent="0.4">
      <c r="A43" s="117" t="s">
        <v>69</v>
      </c>
      <c r="B43" s="201">
        <v>1</v>
      </c>
      <c r="C43" s="213" t="s">
        <v>110</v>
      </c>
      <c r="D43" s="214">
        <v>20.36</v>
      </c>
      <c r="E43" s="198"/>
      <c r="F43" s="145">
        <v>21.4</v>
      </c>
      <c r="H43" s="143"/>
    </row>
    <row r="44" spans="1:14" ht="26.25" customHeight="1" x14ac:dyDescent="0.4">
      <c r="A44" s="117" t="s">
        <v>71</v>
      </c>
      <c r="B44" s="201">
        <v>1</v>
      </c>
      <c r="C44" s="215" t="s">
        <v>111</v>
      </c>
      <c r="D44" s="216">
        <f>D43*$B$34</f>
        <v>20.36</v>
      </c>
      <c r="E44" s="217"/>
      <c r="F44" s="147">
        <f>F43*$B$34</f>
        <v>21.4</v>
      </c>
      <c r="H44" s="143"/>
    </row>
    <row r="45" spans="1:14" ht="19.5" customHeight="1" thickBot="1" x14ac:dyDescent="0.35">
      <c r="A45" s="117" t="s">
        <v>73</v>
      </c>
      <c r="B45" s="462">
        <f>(B44/B43)*(B42/B41)*(B40/B39)*(B38/B37)*B36</f>
        <v>100</v>
      </c>
      <c r="C45" s="215" t="s">
        <v>74</v>
      </c>
      <c r="D45" s="218">
        <f>D44*$B$30/100</f>
        <v>20.217479999999998</v>
      </c>
      <c r="E45" s="194"/>
      <c r="F45" s="150">
        <f>F44*$B$30/100</f>
        <v>21.2502</v>
      </c>
      <c r="H45" s="143"/>
    </row>
    <row r="46" spans="1:14" ht="19.5" customHeight="1" thickBot="1" x14ac:dyDescent="0.35">
      <c r="A46" s="504" t="s">
        <v>75</v>
      </c>
      <c r="B46" s="519"/>
      <c r="C46" s="215" t="s">
        <v>76</v>
      </c>
      <c r="D46" s="216">
        <f>D45/$B$45</f>
        <v>0.20217479999999999</v>
      </c>
      <c r="E46" s="194"/>
      <c r="F46" s="423">
        <f>F45/$B$45</f>
        <v>0.212502</v>
      </c>
      <c r="H46" s="143"/>
    </row>
    <row r="47" spans="1:14" ht="27" customHeight="1" thickBot="1" x14ac:dyDescent="0.45">
      <c r="A47" s="506"/>
      <c r="B47" s="520"/>
      <c r="C47" s="215" t="s">
        <v>129</v>
      </c>
      <c r="D47" s="470">
        <v>0.2</v>
      </c>
      <c r="F47" s="159"/>
      <c r="H47" s="143"/>
    </row>
    <row r="48" spans="1:14" ht="18.75" x14ac:dyDescent="0.3">
      <c r="C48" s="215" t="s">
        <v>78</v>
      </c>
      <c r="D48" s="216">
        <f>D47*$B$45</f>
        <v>20</v>
      </c>
      <c r="F48" s="159"/>
      <c r="H48" s="143"/>
    </row>
    <row r="49" spans="1:12" ht="19.5" customHeight="1" thickBot="1" x14ac:dyDescent="0.35">
      <c r="C49" s="223" t="s">
        <v>79</v>
      </c>
      <c r="D49" s="224">
        <f>D48/B34</f>
        <v>20</v>
      </c>
      <c r="F49" s="163"/>
      <c r="H49" s="143"/>
    </row>
    <row r="50" spans="1:12" ht="18.75" x14ac:dyDescent="0.3">
      <c r="C50" s="226" t="s">
        <v>80</v>
      </c>
      <c r="D50" s="227">
        <f>AVERAGE(E38:E41,G38:G41)</f>
        <v>47536285.947787561</v>
      </c>
      <c r="F50" s="163"/>
      <c r="H50" s="143"/>
    </row>
    <row r="51" spans="1:12" ht="18.75" x14ac:dyDescent="0.3">
      <c r="C51" s="193" t="s">
        <v>81</v>
      </c>
      <c r="D51" s="164">
        <f>STDEV(E38:E41,G38:G41)/D50</f>
        <v>4.260231174459758E-3</v>
      </c>
      <c r="F51" s="163"/>
    </row>
    <row r="52" spans="1:12" ht="19.5" customHeight="1" thickBot="1" x14ac:dyDescent="0.35">
      <c r="C52" s="195" t="s">
        <v>18</v>
      </c>
      <c r="D52" s="471">
        <f>COUNT(E38:E41,G38:G41)</f>
        <v>6</v>
      </c>
      <c r="F52" s="163"/>
    </row>
    <row r="54" spans="1:12" ht="18.75" x14ac:dyDescent="0.3">
      <c r="A54" s="167" t="s">
        <v>1</v>
      </c>
      <c r="B54" s="168" t="s">
        <v>82</v>
      </c>
    </row>
    <row r="55" spans="1:12" ht="18.75" x14ac:dyDescent="0.3">
      <c r="A55" s="198" t="s">
        <v>83</v>
      </c>
      <c r="B55" s="170" t="str">
        <f>B21</f>
        <v>Each film coated tablet contains:Atazanavir (as sulfate) equivalent to Atazanavir 300 mg Ritonavir USP 100 mg.</v>
      </c>
    </row>
    <row r="56" spans="1:12" ht="26.25" customHeight="1" x14ac:dyDescent="0.4">
      <c r="A56" s="170" t="s">
        <v>84</v>
      </c>
      <c r="B56" s="201">
        <v>100</v>
      </c>
      <c r="C56" s="198" t="str">
        <f>B20</f>
        <v xml:space="preserve"> RITONAVIR </v>
      </c>
      <c r="H56" s="217"/>
    </row>
    <row r="57" spans="1:12" ht="18.75" x14ac:dyDescent="0.3">
      <c r="A57" s="170" t="s">
        <v>85</v>
      </c>
      <c r="B57" s="261">
        <f>[1]Uniformity!C46</f>
        <v>1974.3689999999999</v>
      </c>
      <c r="H57" s="217"/>
    </row>
    <row r="58" spans="1:12" ht="19.5" customHeight="1" thickBot="1" x14ac:dyDescent="0.35">
      <c r="H58" s="217"/>
    </row>
    <row r="59" spans="1:12" s="68" customFormat="1" ht="27" customHeight="1" thickBot="1" x14ac:dyDescent="0.45">
      <c r="A59" s="115" t="s">
        <v>150</v>
      </c>
      <c r="B59" s="116">
        <v>100</v>
      </c>
      <c r="C59" s="198"/>
      <c r="D59" s="173" t="s">
        <v>87</v>
      </c>
      <c r="E59" s="174" t="s">
        <v>59</v>
      </c>
      <c r="F59" s="174" t="s">
        <v>60</v>
      </c>
      <c r="G59" s="174" t="s">
        <v>88</v>
      </c>
      <c r="H59" s="119" t="s">
        <v>89</v>
      </c>
      <c r="L59" s="105"/>
    </row>
    <row r="60" spans="1:12" s="68" customFormat="1" ht="22.5" customHeight="1" x14ac:dyDescent="0.4">
      <c r="A60" s="117" t="s">
        <v>119</v>
      </c>
      <c r="B60" s="118">
        <v>4</v>
      </c>
      <c r="C60" s="521" t="s">
        <v>91</v>
      </c>
      <c r="D60" s="524">
        <v>1946.3</v>
      </c>
      <c r="E60" s="175">
        <v>1</v>
      </c>
      <c r="F60" s="176">
        <v>47117746</v>
      </c>
      <c r="G60" s="472">
        <f>IF(ISBLANK(F60),"-",(F60/$D$50*$D$47*$B$68)*($B$57/$D$60))</f>
        <v>100.5490103842095</v>
      </c>
      <c r="H60" s="177">
        <f t="shared" ref="H60:H71" si="0">IF(ISBLANK(F60),"-",G60/$B$56)</f>
        <v>1.0054901038420949</v>
      </c>
      <c r="L60" s="105"/>
    </row>
    <row r="61" spans="1:12" s="68" customFormat="1" ht="26.25" customHeight="1" x14ac:dyDescent="0.4">
      <c r="A61" s="117" t="s">
        <v>92</v>
      </c>
      <c r="B61" s="118">
        <v>20</v>
      </c>
      <c r="C61" s="522"/>
      <c r="D61" s="525"/>
      <c r="E61" s="178">
        <v>2</v>
      </c>
      <c r="F61" s="130">
        <v>47374172</v>
      </c>
      <c r="G61" s="473">
        <f>IF(ISBLANK(F61),"-",(F61/$D$50*$D$47*$B$68)*($B$57/$D$60))</f>
        <v>101.09622205551445</v>
      </c>
      <c r="H61" s="179">
        <f t="shared" si="0"/>
        <v>1.0109622205551445</v>
      </c>
      <c r="L61" s="105"/>
    </row>
    <row r="62" spans="1:12" s="68" customFormat="1" ht="26.25" customHeight="1" x14ac:dyDescent="0.4">
      <c r="A62" s="117" t="s">
        <v>93</v>
      </c>
      <c r="B62" s="118">
        <v>1</v>
      </c>
      <c r="C62" s="522"/>
      <c r="D62" s="525"/>
      <c r="E62" s="178">
        <v>3</v>
      </c>
      <c r="F62" s="130">
        <v>46823669</v>
      </c>
      <c r="G62" s="473">
        <f>IF(ISBLANK(F62),"-",(F62/$D$50*$D$47*$B$68)*($B$57/$D$60))</f>
        <v>99.921451686330428</v>
      </c>
      <c r="H62" s="179">
        <f t="shared" si="0"/>
        <v>0.99921451686330431</v>
      </c>
      <c r="L62" s="105"/>
    </row>
    <row r="63" spans="1:12" ht="21" customHeight="1" thickBot="1" x14ac:dyDescent="0.45">
      <c r="A63" s="117" t="s">
        <v>94</v>
      </c>
      <c r="B63" s="118">
        <v>1</v>
      </c>
      <c r="C63" s="532"/>
      <c r="D63" s="526"/>
      <c r="E63" s="181">
        <v>4</v>
      </c>
      <c r="F63" s="182"/>
      <c r="G63" s="473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7" t="s">
        <v>95</v>
      </c>
      <c r="B64" s="118">
        <v>1</v>
      </c>
      <c r="C64" s="521" t="s">
        <v>96</v>
      </c>
      <c r="D64" s="524">
        <v>1990.18</v>
      </c>
      <c r="E64" s="175">
        <v>1</v>
      </c>
      <c r="F64" s="176">
        <v>48857235</v>
      </c>
      <c r="G64" s="474">
        <f>IF(ISBLANK(F64),"-",(F64/$D$50*$D$47*$B$68)*($B$57/$D$64))</f>
        <v>101.96229545948896</v>
      </c>
      <c r="H64" s="183">
        <f t="shared" si="0"/>
        <v>1.0196229545948896</v>
      </c>
    </row>
    <row r="65" spans="1:8" ht="26.25" customHeight="1" x14ac:dyDescent="0.4">
      <c r="A65" s="117" t="s">
        <v>97</v>
      </c>
      <c r="B65" s="118">
        <v>1</v>
      </c>
      <c r="C65" s="522"/>
      <c r="D65" s="525"/>
      <c r="E65" s="178">
        <v>2</v>
      </c>
      <c r="F65" s="130">
        <v>49242795</v>
      </c>
      <c r="G65" s="475">
        <f>IF(ISBLANK(F65),"-",(F65/$D$50*$D$47*$B$68)*($B$57/$D$64))</f>
        <v>102.76693744623587</v>
      </c>
      <c r="H65" s="184">
        <f t="shared" si="0"/>
        <v>1.0276693744623586</v>
      </c>
    </row>
    <row r="66" spans="1:8" ht="26.25" customHeight="1" x14ac:dyDescent="0.4">
      <c r="A66" s="117" t="s">
        <v>98</v>
      </c>
      <c r="B66" s="118">
        <v>1</v>
      </c>
      <c r="C66" s="522"/>
      <c r="D66" s="525"/>
      <c r="E66" s="178">
        <v>3</v>
      </c>
      <c r="F66" s="130">
        <v>49371040</v>
      </c>
      <c r="G66" s="475">
        <f>IF(ISBLANK(F66),"-",(F66/$D$50*$D$47*$B$68)*($B$57/$D$64))</f>
        <v>103.03457753231936</v>
      </c>
      <c r="H66" s="184">
        <f t="shared" si="0"/>
        <v>1.0303457753231937</v>
      </c>
    </row>
    <row r="67" spans="1:8" ht="21" customHeight="1" thickBot="1" x14ac:dyDescent="0.45">
      <c r="A67" s="117" t="s">
        <v>99</v>
      </c>
      <c r="B67" s="118">
        <v>1</v>
      </c>
      <c r="C67" s="532"/>
      <c r="D67" s="526"/>
      <c r="E67" s="181">
        <v>4</v>
      </c>
      <c r="F67" s="182"/>
      <c r="G67" s="476" t="str">
        <f>IF(ISBLANK(F67),"-",(F67/$D$50*$D$47*$B$68)*($B$57/$D$64))</f>
        <v>-</v>
      </c>
      <c r="H67" s="185" t="str">
        <f t="shared" si="0"/>
        <v>-</v>
      </c>
    </row>
    <row r="68" spans="1:8" ht="21.75" customHeight="1" x14ac:dyDescent="0.4">
      <c r="A68" s="117" t="s">
        <v>100</v>
      </c>
      <c r="B68" s="477">
        <f>(B67/B66)*(B65/B64)*(B63/B62)*(B61/B60)*B59</f>
        <v>500</v>
      </c>
      <c r="C68" s="521" t="s">
        <v>101</v>
      </c>
      <c r="D68" s="524">
        <v>1980.25</v>
      </c>
      <c r="E68" s="175">
        <v>1</v>
      </c>
      <c r="F68" s="176">
        <v>48862972</v>
      </c>
      <c r="G68" s="474">
        <f>IF(ISBLANK(F68),"-",(F68/$D$50*$D$47*$B$68)*($B$57/$D$68))</f>
        <v>102.48562009642528</v>
      </c>
      <c r="H68" s="179">
        <f t="shared" si="0"/>
        <v>1.0248562009642528</v>
      </c>
    </row>
    <row r="69" spans="1:8" ht="21.75" customHeight="1" thickBot="1" x14ac:dyDescent="0.45">
      <c r="A69" s="165" t="s">
        <v>102</v>
      </c>
      <c r="B69" s="478">
        <f>D47*B68/B56*B57</f>
        <v>1974.3689999999999</v>
      </c>
      <c r="C69" s="522"/>
      <c r="D69" s="525"/>
      <c r="E69" s="178">
        <v>2</v>
      </c>
      <c r="F69" s="130">
        <v>49253378</v>
      </c>
      <c r="G69" s="475">
        <f>IF(ISBLANK(F69),"-",(F69/$D$50*$D$47*$B$68)*($B$57/$D$68))</f>
        <v>103.30446101750894</v>
      </c>
      <c r="H69" s="179">
        <f t="shared" si="0"/>
        <v>1.0330446101750894</v>
      </c>
    </row>
    <row r="70" spans="1:8" ht="22.5" customHeight="1" x14ac:dyDescent="0.4">
      <c r="A70" s="527" t="s">
        <v>75</v>
      </c>
      <c r="B70" s="528"/>
      <c r="C70" s="522"/>
      <c r="D70" s="525"/>
      <c r="E70" s="178">
        <v>3</v>
      </c>
      <c r="F70" s="130">
        <v>48666881</v>
      </c>
      <c r="G70" s="475">
        <f>IF(ISBLANK(F70),"-",(F70/$D$50*$D$47*$B$68)*($B$57/$D$68))</f>
        <v>102.07433713700297</v>
      </c>
      <c r="H70" s="179">
        <f t="shared" si="0"/>
        <v>1.0207433713700298</v>
      </c>
    </row>
    <row r="71" spans="1:8" ht="21.75" customHeight="1" thickBot="1" x14ac:dyDescent="0.45">
      <c r="A71" s="529"/>
      <c r="B71" s="530"/>
      <c r="C71" s="523"/>
      <c r="D71" s="526"/>
      <c r="E71" s="181">
        <v>4</v>
      </c>
      <c r="F71" s="182"/>
      <c r="G71" s="476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7"/>
      <c r="G72" s="191" t="s">
        <v>68</v>
      </c>
      <c r="H72" s="192">
        <f>AVERAGE(H60:H71)</f>
        <v>1.019105458683373</v>
      </c>
    </row>
    <row r="73" spans="1:8" ht="26.25" customHeight="1" x14ac:dyDescent="0.4">
      <c r="C73" s="217"/>
      <c r="D73" s="217"/>
      <c r="E73" s="217"/>
      <c r="F73" s="217"/>
      <c r="G73" s="193" t="s">
        <v>81</v>
      </c>
      <c r="H73" s="267">
        <f>STDEV(H60:H71)/H72</f>
        <v>1.138711273536034E-2</v>
      </c>
    </row>
    <row r="74" spans="1:8" ht="27" customHeight="1" thickBot="1" x14ac:dyDescent="0.45">
      <c r="A74" s="217"/>
      <c r="B74" s="217"/>
      <c r="C74" s="217"/>
      <c r="D74" s="217"/>
      <c r="E74" s="194"/>
      <c r="F74" s="217"/>
      <c r="G74" s="195" t="s">
        <v>18</v>
      </c>
      <c r="H74" s="196">
        <f>COUNT(H60:H71)</f>
        <v>9</v>
      </c>
    </row>
    <row r="75" spans="1:8" ht="18.75" x14ac:dyDescent="0.3">
      <c r="A75" s="217"/>
      <c r="B75" s="217"/>
      <c r="C75" s="217"/>
      <c r="D75" s="217"/>
      <c r="E75" s="194"/>
      <c r="F75" s="217"/>
      <c r="G75" s="209"/>
      <c r="H75" s="462"/>
    </row>
    <row r="76" spans="1:8" ht="18.75" x14ac:dyDescent="0.3">
      <c r="A76" s="254" t="s">
        <v>132</v>
      </c>
      <c r="B76" s="209" t="s">
        <v>120</v>
      </c>
      <c r="C76" s="508" t="str">
        <f>B20</f>
        <v xml:space="preserve"> RITONAVIR </v>
      </c>
      <c r="D76" s="508"/>
      <c r="E76" s="198" t="s">
        <v>151</v>
      </c>
      <c r="F76" s="198"/>
      <c r="G76" s="479">
        <f>H72</f>
        <v>1.019105458683373</v>
      </c>
      <c r="H76" s="462"/>
    </row>
    <row r="77" spans="1:8" ht="18.75" x14ac:dyDescent="0.3">
      <c r="A77" s="217"/>
      <c r="B77" s="217"/>
      <c r="C77" s="217"/>
      <c r="D77" s="217"/>
      <c r="E77" s="194"/>
      <c r="F77" s="217"/>
      <c r="G77" s="209"/>
      <c r="H77" s="462"/>
    </row>
    <row r="78" spans="1:8" ht="26.25" customHeight="1" x14ac:dyDescent="0.4">
      <c r="A78" s="100" t="s">
        <v>134</v>
      </c>
      <c r="B78" s="100" t="s">
        <v>152</v>
      </c>
      <c r="D78" s="480" t="s">
        <v>153</v>
      </c>
    </row>
    <row r="79" spans="1:8" ht="18.75" x14ac:dyDescent="0.3">
      <c r="A79" s="100"/>
      <c r="B79" s="100"/>
    </row>
    <row r="80" spans="1:8" ht="26.25" customHeight="1" x14ac:dyDescent="0.4">
      <c r="A80" s="254" t="s">
        <v>3</v>
      </c>
      <c r="B80" s="201" t="str">
        <f>B26</f>
        <v xml:space="preserve">Ritonavir </v>
      </c>
      <c r="C80" s="468"/>
    </row>
    <row r="81" spans="1:12" ht="26.25" customHeight="1" x14ac:dyDescent="0.4">
      <c r="A81" s="209" t="s">
        <v>45</v>
      </c>
      <c r="B81" s="201" t="str">
        <f>B27</f>
        <v>R9-1</v>
      </c>
    </row>
    <row r="82" spans="1:12" ht="27" customHeight="1" thickBot="1" x14ac:dyDescent="0.45">
      <c r="A82" s="209" t="s">
        <v>5</v>
      </c>
      <c r="B82" s="201">
        <f>B28</f>
        <v>99.3</v>
      </c>
    </row>
    <row r="83" spans="1:12" s="68" customFormat="1" ht="27" customHeight="1" thickBot="1" x14ac:dyDescent="0.45">
      <c r="A83" s="209" t="s">
        <v>46</v>
      </c>
      <c r="B83" s="201">
        <f>B29</f>
        <v>0</v>
      </c>
      <c r="C83" s="510" t="s">
        <v>47</v>
      </c>
      <c r="D83" s="511"/>
      <c r="E83" s="511"/>
      <c r="F83" s="511"/>
      <c r="G83" s="512"/>
      <c r="I83" s="105"/>
      <c r="J83" s="105"/>
      <c r="K83" s="105"/>
      <c r="L83" s="105"/>
    </row>
    <row r="84" spans="1:12" s="68" customFormat="1" ht="18.75" x14ac:dyDescent="0.3">
      <c r="A84" s="209" t="s">
        <v>48</v>
      </c>
      <c r="B84" s="462">
        <f>B82-B83</f>
        <v>99.3</v>
      </c>
      <c r="C84" s="107"/>
      <c r="D84" s="107"/>
      <c r="E84" s="107"/>
      <c r="F84" s="107"/>
      <c r="G84" s="108"/>
      <c r="I84" s="105"/>
      <c r="J84" s="105"/>
      <c r="K84" s="105"/>
      <c r="L84" s="105"/>
    </row>
    <row r="85" spans="1:12" s="68" customFormat="1" ht="19.5" customHeight="1" thickBot="1" x14ac:dyDescent="0.35">
      <c r="A85" s="209"/>
      <c r="B85" s="462"/>
      <c r="C85" s="107"/>
      <c r="D85" s="107"/>
      <c r="E85" s="107"/>
      <c r="F85" s="107"/>
      <c r="G85" s="108"/>
      <c r="I85" s="105"/>
      <c r="J85" s="105"/>
      <c r="K85" s="105"/>
      <c r="L85" s="105"/>
    </row>
    <row r="86" spans="1:12" s="68" customFormat="1" ht="27" customHeight="1" thickBot="1" x14ac:dyDescent="0.45">
      <c r="A86" s="209" t="s">
        <v>49</v>
      </c>
      <c r="B86" s="109">
        <v>1</v>
      </c>
      <c r="C86" s="513" t="s">
        <v>50</v>
      </c>
      <c r="D86" s="514"/>
      <c r="E86" s="514"/>
      <c r="F86" s="514"/>
      <c r="G86" s="514"/>
      <c r="H86" s="515"/>
      <c r="I86" s="105"/>
      <c r="J86" s="105"/>
      <c r="K86" s="105"/>
      <c r="L86" s="105"/>
    </row>
    <row r="87" spans="1:12" s="68" customFormat="1" ht="27" customHeight="1" thickBot="1" x14ac:dyDescent="0.45">
      <c r="A87" s="209" t="s">
        <v>51</v>
      </c>
      <c r="B87" s="109">
        <v>1</v>
      </c>
      <c r="C87" s="513" t="s">
        <v>52</v>
      </c>
      <c r="D87" s="514"/>
      <c r="E87" s="514"/>
      <c r="F87" s="514"/>
      <c r="G87" s="514"/>
      <c r="H87" s="515"/>
      <c r="I87" s="105"/>
      <c r="J87" s="105"/>
      <c r="K87" s="105"/>
      <c r="L87" s="105"/>
    </row>
    <row r="88" spans="1:12" s="68" customFormat="1" ht="18.75" x14ac:dyDescent="0.3">
      <c r="A88" s="209"/>
      <c r="B88" s="462"/>
      <c r="C88" s="107"/>
      <c r="D88" s="107"/>
      <c r="E88" s="107"/>
      <c r="F88" s="107"/>
      <c r="G88" s="108"/>
      <c r="I88" s="105"/>
      <c r="J88" s="105"/>
      <c r="K88" s="105"/>
      <c r="L88" s="105"/>
    </row>
    <row r="89" spans="1:12" ht="18.75" x14ac:dyDescent="0.3">
      <c r="A89" s="209" t="s">
        <v>53</v>
      </c>
      <c r="B89" s="114">
        <f>B86/B87</f>
        <v>1</v>
      </c>
      <c r="C89" s="198" t="s">
        <v>54</v>
      </c>
    </row>
    <row r="90" spans="1:12" ht="19.5" customHeight="1" thickBot="1" x14ac:dyDescent="0.35">
      <c r="A90" s="209"/>
      <c r="B90" s="114"/>
    </row>
    <row r="91" spans="1:12" ht="27" customHeight="1" thickBot="1" x14ac:dyDescent="0.45">
      <c r="A91" s="115" t="s">
        <v>149</v>
      </c>
      <c r="B91" s="116">
        <v>100</v>
      </c>
      <c r="D91" s="459" t="s">
        <v>56</v>
      </c>
      <c r="E91" s="460"/>
      <c r="F91" s="516" t="s">
        <v>57</v>
      </c>
      <c r="G91" s="517"/>
    </row>
    <row r="92" spans="1:12" ht="26.25" customHeight="1" x14ac:dyDescent="0.4">
      <c r="A92" s="117" t="s">
        <v>58</v>
      </c>
      <c r="B92" s="118">
        <v>1</v>
      </c>
      <c r="C92" s="463" t="s">
        <v>136</v>
      </c>
      <c r="D92" s="120" t="s">
        <v>60</v>
      </c>
      <c r="E92" s="121" t="s">
        <v>61</v>
      </c>
      <c r="F92" s="120" t="s">
        <v>60</v>
      </c>
      <c r="G92" s="205" t="s">
        <v>61</v>
      </c>
    </row>
    <row r="93" spans="1:12" ht="26.25" customHeight="1" x14ac:dyDescent="0.4">
      <c r="A93" s="117" t="s">
        <v>63</v>
      </c>
      <c r="B93" s="118">
        <v>1</v>
      </c>
      <c r="C93" s="206">
        <v>1</v>
      </c>
      <c r="D93" s="125">
        <v>53386783</v>
      </c>
      <c r="E93" s="126">
        <f>IF(ISBLANK(D93),"-",$D$103/$D$100*D93)</f>
        <v>50753445.552835681</v>
      </c>
      <c r="F93" s="125">
        <v>52180249</v>
      </c>
      <c r="G93" s="127">
        <f>IF(ISBLANK(F93),"-",$D$103/$F$100*F93)</f>
        <v>51261423.860300802</v>
      </c>
    </row>
    <row r="94" spans="1:12" ht="26.25" customHeight="1" x14ac:dyDescent="0.4">
      <c r="A94" s="117" t="s">
        <v>64</v>
      </c>
      <c r="B94" s="118">
        <v>1</v>
      </c>
      <c r="C94" s="217">
        <v>2</v>
      </c>
      <c r="D94" s="130">
        <v>53126407</v>
      </c>
      <c r="E94" s="131">
        <f>IF(ISBLANK(D94),"-",$D$103/$D$100*D94)</f>
        <v>50505912.766691491</v>
      </c>
      <c r="F94" s="130">
        <v>52007200</v>
      </c>
      <c r="G94" s="132">
        <f>IF(ISBLANK(F94),"-",$D$103/$F$100*F94)</f>
        <v>51091422.024211422</v>
      </c>
    </row>
    <row r="95" spans="1:12" ht="26.25" customHeight="1" x14ac:dyDescent="0.4">
      <c r="A95" s="117" t="s">
        <v>65</v>
      </c>
      <c r="B95" s="118">
        <v>1</v>
      </c>
      <c r="C95" s="217">
        <v>3</v>
      </c>
      <c r="D95" s="130">
        <v>53224536</v>
      </c>
      <c r="E95" s="131">
        <f>IF(ISBLANK(D95),"-",$D$103/$D$100*D95)</f>
        <v>50599201.490581341</v>
      </c>
      <c r="F95" s="130">
        <v>51933422</v>
      </c>
      <c r="G95" s="132">
        <f>IF(ISBLANK(F95),"-",$D$103/$F$100*F95)</f>
        <v>51018943.157167964</v>
      </c>
    </row>
    <row r="96" spans="1:12" ht="26.25" customHeight="1" x14ac:dyDescent="0.4">
      <c r="A96" s="117" t="s">
        <v>66</v>
      </c>
      <c r="B96" s="118">
        <v>1</v>
      </c>
      <c r="C96" s="207">
        <v>4</v>
      </c>
      <c r="D96" s="135"/>
      <c r="E96" s="136" t="str">
        <f>IF(ISBLANK(D96),"-",$D$103/$D$100*D96)</f>
        <v>-</v>
      </c>
      <c r="F96" s="208"/>
      <c r="G96" s="137" t="str">
        <f>IF(ISBLANK(F96),"-",$D$103/$F$100*F96)</f>
        <v>-</v>
      </c>
    </row>
    <row r="97" spans="1:10" ht="27" customHeight="1" thickBot="1" x14ac:dyDescent="0.45">
      <c r="A97" s="117" t="s">
        <v>67</v>
      </c>
      <c r="B97" s="118">
        <v>1</v>
      </c>
      <c r="C97" s="209" t="s">
        <v>68</v>
      </c>
      <c r="D97" s="210">
        <f>AVERAGE(D93:D96)</f>
        <v>53245908.666666664</v>
      </c>
      <c r="E97" s="141">
        <f>AVERAGE(E93:E96)</f>
        <v>50619519.93670284</v>
      </c>
      <c r="F97" s="211">
        <f>AVERAGE(F93:F96)</f>
        <v>52040290.333333336</v>
      </c>
      <c r="G97" s="481">
        <f>AVERAGE(G93:G96)</f>
        <v>51123929.68056006</v>
      </c>
    </row>
    <row r="98" spans="1:10" ht="26.25" customHeight="1" x14ac:dyDescent="0.4">
      <c r="A98" s="117" t="s">
        <v>69</v>
      </c>
      <c r="B98" s="201">
        <v>1</v>
      </c>
      <c r="C98" s="213" t="s">
        <v>110</v>
      </c>
      <c r="D98" s="214">
        <v>11.77</v>
      </c>
      <c r="E98" s="198"/>
      <c r="F98" s="145">
        <v>11.39</v>
      </c>
    </row>
    <row r="99" spans="1:10" ht="26.25" customHeight="1" x14ac:dyDescent="0.4">
      <c r="A99" s="117" t="s">
        <v>71</v>
      </c>
      <c r="B99" s="201">
        <v>1</v>
      </c>
      <c r="C99" s="215" t="s">
        <v>111</v>
      </c>
      <c r="D99" s="216">
        <f>D98*$B$89</f>
        <v>11.77</v>
      </c>
      <c r="E99" s="217"/>
      <c r="F99" s="147">
        <f>F98*$B$89</f>
        <v>11.39</v>
      </c>
    </row>
    <row r="100" spans="1:10" ht="19.5" customHeight="1" thickBot="1" x14ac:dyDescent="0.35">
      <c r="A100" s="117" t="s">
        <v>73</v>
      </c>
      <c r="B100" s="462">
        <f>(B99/B98)*(B97/B96)*(B95/B94)*(B93/B92)*B91</f>
        <v>100</v>
      </c>
      <c r="C100" s="215" t="s">
        <v>74</v>
      </c>
      <c r="D100" s="218">
        <f>D99*$B$84/100</f>
        <v>11.687609999999999</v>
      </c>
      <c r="E100" s="194"/>
      <c r="F100" s="150">
        <f>F99*$B$84/100</f>
        <v>11.310270000000001</v>
      </c>
    </row>
    <row r="101" spans="1:10" ht="19.5" customHeight="1" thickBot="1" x14ac:dyDescent="0.35">
      <c r="A101" s="504" t="s">
        <v>75</v>
      </c>
      <c r="B101" s="519"/>
      <c r="C101" s="215" t="s">
        <v>76</v>
      </c>
      <c r="D101" s="216">
        <f>D100/$B$100</f>
        <v>0.1168761</v>
      </c>
      <c r="E101" s="194"/>
      <c r="F101" s="423">
        <f>F100/$B$100</f>
        <v>0.11310270000000001</v>
      </c>
      <c r="H101" s="143"/>
    </row>
    <row r="102" spans="1:10" ht="19.5" customHeight="1" thickBot="1" x14ac:dyDescent="0.35">
      <c r="A102" s="506"/>
      <c r="B102" s="520"/>
      <c r="C102" s="215" t="s">
        <v>129</v>
      </c>
      <c r="D102" s="218">
        <f>$B$56/$B$120</f>
        <v>0.1111111111111111</v>
      </c>
      <c r="F102" s="159"/>
      <c r="G102" s="228"/>
      <c r="H102" s="143"/>
    </row>
    <row r="103" spans="1:10" ht="18.75" x14ac:dyDescent="0.3">
      <c r="C103" s="215" t="s">
        <v>78</v>
      </c>
      <c r="D103" s="216">
        <f>D102*$B$100</f>
        <v>11.111111111111111</v>
      </c>
      <c r="F103" s="159"/>
      <c r="H103" s="143"/>
    </row>
    <row r="104" spans="1:10" ht="19.5" customHeight="1" thickBot="1" x14ac:dyDescent="0.35">
      <c r="C104" s="223" t="s">
        <v>79</v>
      </c>
      <c r="D104" s="224">
        <f>D103/B34</f>
        <v>11.111111111111111</v>
      </c>
      <c r="F104" s="163"/>
      <c r="H104" s="143"/>
      <c r="J104" s="225"/>
    </row>
    <row r="105" spans="1:10" ht="18.75" x14ac:dyDescent="0.3">
      <c r="C105" s="226" t="s">
        <v>80</v>
      </c>
      <c r="D105" s="227">
        <f>AVERAGE(E93:E96,G93:G96)</f>
        <v>50871724.80863145</v>
      </c>
      <c r="F105" s="163"/>
      <c r="G105" s="228"/>
      <c r="H105" s="143"/>
      <c r="J105" s="229"/>
    </row>
    <row r="106" spans="1:10" ht="18.75" x14ac:dyDescent="0.3">
      <c r="C106" s="193" t="s">
        <v>81</v>
      </c>
      <c r="D106" s="230">
        <f>STDEV(E93:E96,G93:G96)/D105</f>
        <v>5.8569662095993387E-3</v>
      </c>
      <c r="F106" s="163"/>
      <c r="H106" s="143"/>
      <c r="J106" s="229"/>
    </row>
    <row r="107" spans="1:10" ht="19.5" customHeight="1" thickBot="1" x14ac:dyDescent="0.35">
      <c r="C107" s="195" t="s">
        <v>18</v>
      </c>
      <c r="D107" s="231">
        <f>COUNT(E93:E96,G93:G96)</f>
        <v>6</v>
      </c>
      <c r="F107" s="163"/>
      <c r="H107" s="143"/>
      <c r="J107" s="229"/>
    </row>
    <row r="108" spans="1:10" ht="19.5" customHeight="1" x14ac:dyDescent="0.3">
      <c r="A108" s="167"/>
      <c r="B108" s="167"/>
      <c r="C108" s="167"/>
      <c r="D108" s="167"/>
      <c r="E108" s="167"/>
    </row>
    <row r="109" spans="1:10" ht="19.5" customHeight="1" x14ac:dyDescent="0.4">
      <c r="A109" s="167"/>
      <c r="B109" s="100" t="s">
        <v>152</v>
      </c>
      <c r="D109" s="480" t="s">
        <v>153</v>
      </c>
      <c r="E109" s="167"/>
    </row>
    <row r="110" spans="1:10" ht="19.5" customHeight="1" thickBot="1" x14ac:dyDescent="0.35">
      <c r="A110" s="167"/>
      <c r="B110" s="167"/>
      <c r="C110" s="167"/>
      <c r="D110" s="167"/>
      <c r="E110" s="167"/>
    </row>
    <row r="111" spans="1:10" ht="26.25" customHeight="1" x14ac:dyDescent="0.4">
      <c r="A111" s="115" t="s">
        <v>115</v>
      </c>
      <c r="B111" s="116">
        <v>900</v>
      </c>
      <c r="C111" s="459" t="s">
        <v>133</v>
      </c>
      <c r="D111" s="233" t="s">
        <v>60</v>
      </c>
      <c r="E111" s="427" t="s">
        <v>117</v>
      </c>
      <c r="F111" s="235" t="s">
        <v>118</v>
      </c>
    </row>
    <row r="112" spans="1:10" ht="26.25" customHeight="1" x14ac:dyDescent="0.4">
      <c r="A112" s="117" t="s">
        <v>119</v>
      </c>
      <c r="B112" s="118">
        <v>1</v>
      </c>
      <c r="C112" s="236">
        <v>1</v>
      </c>
      <c r="D112" s="237">
        <v>26559564</v>
      </c>
      <c r="E112" s="482">
        <f t="shared" ref="E112:E117" si="1">IF(ISBLANK(D112),"-",D112/$D$105*$D$102*$B$120)</f>
        <v>52.208892267583614</v>
      </c>
      <c r="F112" s="238">
        <f>IF(ISBLANK(D112), "-", E112/$B$56)</f>
        <v>0.52208892267583618</v>
      </c>
    </row>
    <row r="113" spans="1:10" ht="26.25" customHeight="1" x14ac:dyDescent="0.4">
      <c r="A113" s="117" t="s">
        <v>92</v>
      </c>
      <c r="B113" s="118">
        <v>1</v>
      </c>
      <c r="C113" s="236">
        <v>2</v>
      </c>
      <c r="D113" s="237">
        <v>28806811</v>
      </c>
      <c r="E113" s="483">
        <f t="shared" si="1"/>
        <v>56.626369772924072</v>
      </c>
      <c r="F113" s="239">
        <f t="shared" ref="F113:F117" si="2">IF(ISBLANK(D113), "-", E113/$B$56)</f>
        <v>0.56626369772924068</v>
      </c>
    </row>
    <row r="114" spans="1:10" ht="26.25" customHeight="1" x14ac:dyDescent="0.4">
      <c r="A114" s="117" t="s">
        <v>93</v>
      </c>
      <c r="B114" s="118">
        <v>1</v>
      </c>
      <c r="C114" s="236">
        <v>3</v>
      </c>
      <c r="D114" s="237">
        <v>28688034</v>
      </c>
      <c r="E114" s="483">
        <f t="shared" si="1"/>
        <v>56.392886437246325</v>
      </c>
      <c r="F114" s="239">
        <f t="shared" si="2"/>
        <v>0.56392886437246326</v>
      </c>
    </row>
    <row r="115" spans="1:10" ht="26.25" customHeight="1" x14ac:dyDescent="0.4">
      <c r="A115" s="117" t="s">
        <v>94</v>
      </c>
      <c r="B115" s="118">
        <v>1</v>
      </c>
      <c r="C115" s="236">
        <v>4</v>
      </c>
      <c r="D115" s="237">
        <v>33875090</v>
      </c>
      <c r="E115" s="483">
        <f t="shared" si="1"/>
        <v>66.589230318867394</v>
      </c>
      <c r="F115" s="239">
        <f t="shared" si="2"/>
        <v>0.66589230318867398</v>
      </c>
    </row>
    <row r="116" spans="1:10" ht="26.25" customHeight="1" x14ac:dyDescent="0.4">
      <c r="A116" s="117" t="s">
        <v>95</v>
      </c>
      <c r="B116" s="118">
        <v>1</v>
      </c>
      <c r="C116" s="236">
        <v>5</v>
      </c>
      <c r="D116" s="237">
        <v>32919957</v>
      </c>
      <c r="E116" s="483">
        <f t="shared" si="1"/>
        <v>64.711698146343252</v>
      </c>
      <c r="F116" s="239">
        <f t="shared" si="2"/>
        <v>0.64711698146343255</v>
      </c>
    </row>
    <row r="117" spans="1:10" ht="26.25" customHeight="1" x14ac:dyDescent="0.4">
      <c r="A117" s="117" t="s">
        <v>97</v>
      </c>
      <c r="B117" s="118">
        <v>1</v>
      </c>
      <c r="C117" s="240">
        <v>6</v>
      </c>
      <c r="D117" s="241">
        <v>31533243</v>
      </c>
      <c r="E117" s="484">
        <f t="shared" si="1"/>
        <v>61.985794896126123</v>
      </c>
      <c r="F117" s="242">
        <f t="shared" si="2"/>
        <v>0.61985794896126123</v>
      </c>
    </row>
    <row r="118" spans="1:10" ht="26.25" customHeight="1" x14ac:dyDescent="0.4">
      <c r="A118" s="117" t="s">
        <v>98</v>
      </c>
      <c r="B118" s="118">
        <v>1</v>
      </c>
      <c r="C118" s="236"/>
      <c r="D118" s="217"/>
      <c r="E118" s="198"/>
      <c r="F118" s="243"/>
    </row>
    <row r="119" spans="1:10" ht="26.25" customHeight="1" x14ac:dyDescent="0.4">
      <c r="A119" s="117" t="s">
        <v>99</v>
      </c>
      <c r="B119" s="118">
        <v>1</v>
      </c>
      <c r="C119" s="236"/>
      <c r="D119" s="437"/>
      <c r="E119" s="244" t="s">
        <v>68</v>
      </c>
      <c r="F119" s="485">
        <f>AVERAGE(F112:F117)</f>
        <v>0.59752478639848461</v>
      </c>
    </row>
    <row r="120" spans="1:10" ht="19.5" customHeight="1" thickBot="1" x14ac:dyDescent="0.35">
      <c r="A120" s="117" t="s">
        <v>100</v>
      </c>
      <c r="B120" s="477">
        <f>(B119/B118)*(B117/B116)*(B115/B114)*(B113/B112)*B111</f>
        <v>900</v>
      </c>
      <c r="C120" s="246"/>
      <c r="D120" s="486"/>
      <c r="E120" s="209" t="s">
        <v>81</v>
      </c>
      <c r="F120" s="487">
        <f>STDEV(F112:F117)/F119</f>
        <v>9.296616777250509E-2</v>
      </c>
      <c r="I120" s="198"/>
    </row>
    <row r="121" spans="1:10" ht="19.5" customHeight="1" thickBot="1" x14ac:dyDescent="0.35">
      <c r="A121" s="504" t="s">
        <v>75</v>
      </c>
      <c r="B121" s="505"/>
      <c r="C121" s="248"/>
      <c r="D121" s="488"/>
      <c r="E121" s="249" t="s">
        <v>18</v>
      </c>
      <c r="F121" s="231">
        <f>COUNT(F112:F117)</f>
        <v>6</v>
      </c>
      <c r="I121" s="198"/>
      <c r="J121" s="229"/>
    </row>
    <row r="122" spans="1:10" ht="19.5" customHeight="1" thickBot="1" x14ac:dyDescent="0.35">
      <c r="A122" s="506"/>
      <c r="B122" s="507"/>
      <c r="C122" s="198"/>
      <c r="D122" s="198"/>
      <c r="E122" s="198"/>
      <c r="F122" s="217"/>
      <c r="G122" s="198"/>
      <c r="H122" s="198"/>
      <c r="I122" s="198"/>
    </row>
    <row r="123" spans="1:10" ht="18.75" x14ac:dyDescent="0.3">
      <c r="A123" s="113"/>
      <c r="B123" s="113"/>
      <c r="C123" s="198"/>
      <c r="D123" s="198"/>
      <c r="E123" s="198"/>
      <c r="F123" s="217"/>
      <c r="G123" s="198"/>
      <c r="H123" s="198"/>
      <c r="I123" s="198"/>
    </row>
    <row r="124" spans="1:10" ht="18.75" x14ac:dyDescent="0.3">
      <c r="A124" s="254" t="s">
        <v>132</v>
      </c>
      <c r="B124" s="209" t="s">
        <v>120</v>
      </c>
      <c r="C124" s="508" t="str">
        <f>B20</f>
        <v xml:space="preserve"> RITONAVIR </v>
      </c>
      <c r="D124" s="508"/>
      <c r="E124" s="198" t="s">
        <v>121</v>
      </c>
      <c r="F124" s="198"/>
      <c r="G124" s="479">
        <f>F119</f>
        <v>0.59752478639848461</v>
      </c>
      <c r="H124" s="198"/>
      <c r="I124" s="198"/>
    </row>
    <row r="125" spans="1:10" ht="18.75" x14ac:dyDescent="0.3">
      <c r="A125" s="113"/>
      <c r="B125" s="113"/>
      <c r="C125" s="198"/>
      <c r="D125" s="198"/>
      <c r="E125" s="198"/>
      <c r="F125" s="217"/>
      <c r="G125" s="198"/>
      <c r="H125" s="198"/>
      <c r="I125" s="198"/>
    </row>
    <row r="126" spans="1:10" ht="26.25" customHeight="1" x14ac:dyDescent="0.4">
      <c r="A126" s="100" t="s">
        <v>134</v>
      </c>
      <c r="B126" s="100" t="s">
        <v>152</v>
      </c>
      <c r="D126" s="480" t="s">
        <v>154</v>
      </c>
    </row>
    <row r="127" spans="1:10" ht="19.5" customHeight="1" thickBot="1" x14ac:dyDescent="0.35">
      <c r="A127" s="167"/>
      <c r="B127" s="167"/>
      <c r="C127" s="167"/>
      <c r="D127" s="167"/>
      <c r="E127" s="167"/>
    </row>
    <row r="128" spans="1:10" ht="26.25" customHeight="1" x14ac:dyDescent="0.4">
      <c r="A128" s="115" t="s">
        <v>115</v>
      </c>
      <c r="B128" s="116">
        <v>900</v>
      </c>
      <c r="C128" s="459" t="s">
        <v>133</v>
      </c>
      <c r="D128" s="233" t="s">
        <v>60</v>
      </c>
      <c r="E128" s="427" t="s">
        <v>117</v>
      </c>
      <c r="F128" s="235" t="s">
        <v>118</v>
      </c>
    </row>
    <row r="129" spans="1:10" ht="26.25" customHeight="1" x14ac:dyDescent="0.4">
      <c r="A129" s="117" t="s">
        <v>119</v>
      </c>
      <c r="B129" s="118">
        <v>1</v>
      </c>
      <c r="C129" s="236">
        <v>1</v>
      </c>
      <c r="D129" s="237">
        <v>45922178</v>
      </c>
      <c r="E129" s="429">
        <f t="shared" ref="E129:E134" si="3">IF(ISBLANK(D129),"-",D129/$D$105*$D$102*$B$137)</f>
        <v>90.270534708129929</v>
      </c>
      <c r="F129" s="430">
        <f>IF(ISBLANK(D129), "-", E129/$B$56)</f>
        <v>0.90270534708129935</v>
      </c>
    </row>
    <row r="130" spans="1:10" ht="26.25" customHeight="1" x14ac:dyDescent="0.4">
      <c r="A130" s="117" t="s">
        <v>92</v>
      </c>
      <c r="B130" s="118">
        <v>1</v>
      </c>
      <c r="C130" s="236">
        <v>2</v>
      </c>
      <c r="D130" s="237">
        <v>48139652</v>
      </c>
      <c r="E130" s="432">
        <f t="shared" si="3"/>
        <v>94.629486578430502</v>
      </c>
      <c r="F130" s="433">
        <f t="shared" ref="F130:F134" si="4">IF(ISBLANK(D130), "-", E130/$B$56)</f>
        <v>0.94629486578430499</v>
      </c>
    </row>
    <row r="131" spans="1:10" ht="26.25" customHeight="1" x14ac:dyDescent="0.4">
      <c r="A131" s="117" t="s">
        <v>93</v>
      </c>
      <c r="B131" s="118">
        <v>1</v>
      </c>
      <c r="C131" s="236">
        <v>3</v>
      </c>
      <c r="D131" s="237">
        <v>47691335</v>
      </c>
      <c r="E131" s="432">
        <f t="shared" si="3"/>
        <v>93.748217068331371</v>
      </c>
      <c r="F131" s="433">
        <f t="shared" si="4"/>
        <v>0.93748217068331374</v>
      </c>
    </row>
    <row r="132" spans="1:10" ht="26.25" customHeight="1" x14ac:dyDescent="0.4">
      <c r="A132" s="117" t="s">
        <v>94</v>
      </c>
      <c r="B132" s="118">
        <v>1</v>
      </c>
      <c r="C132" s="236">
        <v>4</v>
      </c>
      <c r="D132" s="237">
        <v>48875560</v>
      </c>
      <c r="E132" s="432">
        <f t="shared" si="3"/>
        <v>96.076081917527674</v>
      </c>
      <c r="F132" s="433">
        <f t="shared" si="4"/>
        <v>0.96076081917527678</v>
      </c>
    </row>
    <row r="133" spans="1:10" ht="26.25" customHeight="1" x14ac:dyDescent="0.4">
      <c r="A133" s="117" t="s">
        <v>95</v>
      </c>
      <c r="B133" s="118">
        <v>1</v>
      </c>
      <c r="C133" s="236">
        <v>5</v>
      </c>
      <c r="D133" s="237">
        <v>51290747</v>
      </c>
      <c r="E133" s="432">
        <f t="shared" si="3"/>
        <v>100.8236838694674</v>
      </c>
      <c r="F133" s="433">
        <f t="shared" si="4"/>
        <v>1.0082368386946741</v>
      </c>
    </row>
    <row r="134" spans="1:10" ht="26.25" customHeight="1" x14ac:dyDescent="0.4">
      <c r="A134" s="117" t="s">
        <v>97</v>
      </c>
      <c r="B134" s="118">
        <v>1</v>
      </c>
      <c r="C134" s="240">
        <v>6</v>
      </c>
      <c r="D134" s="241">
        <v>48181382</v>
      </c>
      <c r="E134" s="435">
        <f t="shared" si="3"/>
        <v>94.711516429309313</v>
      </c>
      <c r="F134" s="436">
        <f t="shared" si="4"/>
        <v>0.94711516429309317</v>
      </c>
    </row>
    <row r="135" spans="1:10" ht="26.25" customHeight="1" x14ac:dyDescent="0.4">
      <c r="A135" s="117" t="s">
        <v>98</v>
      </c>
      <c r="B135" s="118">
        <v>1</v>
      </c>
      <c r="C135" s="236"/>
      <c r="D135" s="217"/>
      <c r="E135" s="198"/>
      <c r="F135" s="243"/>
    </row>
    <row r="136" spans="1:10" ht="26.25" customHeight="1" x14ac:dyDescent="0.4">
      <c r="A136" s="117" t="s">
        <v>99</v>
      </c>
      <c r="B136" s="118">
        <v>1</v>
      </c>
      <c r="C136" s="236"/>
      <c r="D136" s="437"/>
      <c r="E136" s="244" t="s">
        <v>68</v>
      </c>
      <c r="F136" s="245">
        <f>AVERAGE(F129:F134)</f>
        <v>0.95043253428532692</v>
      </c>
    </row>
    <row r="137" spans="1:10" ht="27" customHeight="1" thickBot="1" x14ac:dyDescent="0.45">
      <c r="A137" s="117" t="s">
        <v>100</v>
      </c>
      <c r="B137" s="118">
        <f>(B136/B135)*(B134/B133)*(B132/B131)*(B130/B129)*B128</f>
        <v>900</v>
      </c>
      <c r="C137" s="246"/>
      <c r="D137" s="486"/>
      <c r="E137" s="209" t="s">
        <v>81</v>
      </c>
      <c r="F137" s="247">
        <f>STDEV(F129:F134)/F136</f>
        <v>3.6209130930134288E-2</v>
      </c>
      <c r="I137" s="198"/>
    </row>
    <row r="138" spans="1:10" ht="27" customHeight="1" thickBot="1" x14ac:dyDescent="0.45">
      <c r="A138" s="504" t="s">
        <v>75</v>
      </c>
      <c r="B138" s="505"/>
      <c r="C138" s="248"/>
      <c r="D138" s="488"/>
      <c r="E138" s="249" t="s">
        <v>18</v>
      </c>
      <c r="F138" s="250">
        <f>COUNT(F129:F134)</f>
        <v>6</v>
      </c>
      <c r="I138" s="198"/>
      <c r="J138" s="229"/>
    </row>
    <row r="139" spans="1:10" ht="19.5" customHeight="1" thickBot="1" x14ac:dyDescent="0.35">
      <c r="A139" s="506"/>
      <c r="B139" s="507"/>
      <c r="C139" s="198"/>
      <c r="D139" s="198"/>
      <c r="E139" s="198"/>
      <c r="F139" s="217"/>
      <c r="G139" s="198"/>
      <c r="H139" s="198"/>
      <c r="I139" s="198"/>
    </row>
    <row r="140" spans="1:10" ht="18.75" x14ac:dyDescent="0.3">
      <c r="A140" s="113"/>
      <c r="B140" s="113"/>
      <c r="C140" s="198"/>
      <c r="D140" s="198"/>
      <c r="E140" s="198"/>
      <c r="F140" s="217"/>
      <c r="G140" s="198"/>
      <c r="H140" s="198"/>
      <c r="I140" s="198"/>
    </row>
    <row r="141" spans="1:10" ht="26.25" customHeight="1" x14ac:dyDescent="0.3">
      <c r="A141" s="254" t="s">
        <v>132</v>
      </c>
      <c r="B141" s="209" t="s">
        <v>120</v>
      </c>
      <c r="C141" s="508" t="str">
        <f>B20</f>
        <v xml:space="preserve"> RITONAVIR </v>
      </c>
      <c r="D141" s="508"/>
      <c r="E141" s="198" t="s">
        <v>121</v>
      </c>
      <c r="F141" s="198"/>
      <c r="G141" s="491">
        <f>F136</f>
        <v>0.95043253428532692</v>
      </c>
      <c r="H141" s="198"/>
      <c r="I141" s="198"/>
    </row>
    <row r="142" spans="1:10" ht="18.75" x14ac:dyDescent="0.3">
      <c r="A142" s="254"/>
      <c r="B142" s="209"/>
      <c r="C142" s="462"/>
      <c r="D142" s="462"/>
      <c r="E142" s="198"/>
      <c r="F142" s="198"/>
      <c r="G142" s="479"/>
      <c r="H142" s="198"/>
      <c r="I142" s="198"/>
    </row>
    <row r="143" spans="1:10" ht="19.5" customHeight="1" thickBot="1" x14ac:dyDescent="0.35">
      <c r="A143" s="464"/>
      <c r="B143" s="464"/>
      <c r="C143" s="252"/>
      <c r="D143" s="252"/>
      <c r="E143" s="252"/>
      <c r="F143" s="252"/>
      <c r="G143" s="252"/>
      <c r="H143" s="252"/>
    </row>
    <row r="144" spans="1:10" ht="18.75" x14ac:dyDescent="0.3">
      <c r="B144" s="509" t="s">
        <v>23</v>
      </c>
      <c r="C144" s="509"/>
      <c r="E144" s="463" t="s">
        <v>24</v>
      </c>
      <c r="F144" s="253"/>
      <c r="G144" s="509" t="s">
        <v>25</v>
      </c>
      <c r="H144" s="509"/>
    </row>
    <row r="145" spans="1:9" ht="83.1" customHeight="1" x14ac:dyDescent="0.3">
      <c r="A145" s="254" t="s">
        <v>26</v>
      </c>
      <c r="B145" s="489"/>
      <c r="C145" s="489"/>
      <c r="E145" s="256"/>
      <c r="F145" s="198"/>
      <c r="G145" s="256"/>
      <c r="H145" s="256"/>
    </row>
    <row r="146" spans="1:9" ht="83.1" customHeight="1" x14ac:dyDescent="0.3">
      <c r="A146" s="254" t="s">
        <v>27</v>
      </c>
      <c r="B146" s="490"/>
      <c r="C146" s="490"/>
      <c r="E146" s="257"/>
      <c r="F146" s="198"/>
      <c r="G146" s="258"/>
      <c r="H146" s="258"/>
    </row>
    <row r="147" spans="1:9" ht="18.75" x14ac:dyDescent="0.3">
      <c r="A147" s="217"/>
      <c r="B147" s="217"/>
      <c r="C147" s="217"/>
      <c r="D147" s="217"/>
      <c r="E147" s="217"/>
      <c r="F147" s="194"/>
      <c r="G147" s="217"/>
      <c r="H147" s="217"/>
      <c r="I147" s="198"/>
    </row>
    <row r="148" spans="1:9" ht="18.75" x14ac:dyDescent="0.3">
      <c r="A148" s="217"/>
      <c r="B148" s="217"/>
      <c r="C148" s="217"/>
      <c r="D148" s="217"/>
      <c r="E148" s="217"/>
      <c r="F148" s="194"/>
      <c r="G148" s="217"/>
      <c r="H148" s="217"/>
      <c r="I148" s="198"/>
    </row>
    <row r="149" spans="1:9" ht="18.75" x14ac:dyDescent="0.3">
      <c r="A149" s="217"/>
      <c r="B149" s="217"/>
      <c r="C149" s="217"/>
      <c r="D149" s="217"/>
      <c r="E149" s="217"/>
      <c r="F149" s="194"/>
      <c r="G149" s="217"/>
      <c r="H149" s="217"/>
      <c r="I149" s="198"/>
    </row>
    <row r="150" spans="1:9" ht="18.75" x14ac:dyDescent="0.3">
      <c r="A150" s="217"/>
      <c r="B150" s="217"/>
      <c r="C150" s="217"/>
      <c r="D150" s="217"/>
      <c r="E150" s="217"/>
      <c r="F150" s="194"/>
      <c r="G150" s="217"/>
      <c r="H150" s="217"/>
      <c r="I150" s="198"/>
    </row>
    <row r="151" spans="1:9" ht="18.75" x14ac:dyDescent="0.3">
      <c r="A151" s="217"/>
      <c r="B151" s="217"/>
      <c r="C151" s="217"/>
      <c r="D151" s="217"/>
      <c r="E151" s="217"/>
      <c r="F151" s="194"/>
      <c r="G151" s="217"/>
      <c r="H151" s="217"/>
      <c r="I151" s="198"/>
    </row>
    <row r="152" spans="1:9" ht="18.75" x14ac:dyDescent="0.3">
      <c r="A152" s="217"/>
      <c r="B152" s="217"/>
      <c r="C152" s="217"/>
      <c r="D152" s="217"/>
      <c r="E152" s="217"/>
      <c r="F152" s="194"/>
      <c r="G152" s="217"/>
      <c r="H152" s="217"/>
      <c r="I152" s="198"/>
    </row>
    <row r="153" spans="1:9" ht="18.75" x14ac:dyDescent="0.3">
      <c r="A153" s="217"/>
      <c r="B153" s="217"/>
      <c r="C153" s="217"/>
      <c r="D153" s="217"/>
      <c r="E153" s="217"/>
      <c r="F153" s="194"/>
      <c r="G153" s="217"/>
      <c r="H153" s="217"/>
      <c r="I153" s="198"/>
    </row>
    <row r="154" spans="1:9" ht="18.75" x14ac:dyDescent="0.3">
      <c r="A154" s="217"/>
      <c r="B154" s="217"/>
      <c r="C154" s="217"/>
      <c r="D154" s="217"/>
      <c r="E154" s="217"/>
      <c r="F154" s="194"/>
      <c r="G154" s="217"/>
      <c r="H154" s="217"/>
      <c r="I154" s="198"/>
    </row>
    <row r="155" spans="1:9" ht="18.75" x14ac:dyDescent="0.3">
      <c r="A155" s="217"/>
      <c r="B155" s="217"/>
      <c r="C155" s="217"/>
      <c r="D155" s="217"/>
      <c r="E155" s="217"/>
      <c r="F155" s="194"/>
      <c r="G155" s="217"/>
      <c r="H155" s="217"/>
      <c r="I155" s="198"/>
    </row>
    <row r="218" spans="1:1" x14ac:dyDescent="0.25">
      <c r="A218" s="220">
        <v>0</v>
      </c>
    </row>
  </sheetData>
  <mergeCells count="29">
    <mergeCell ref="B144:C144"/>
    <mergeCell ref="G144:H144"/>
    <mergeCell ref="C124:D124"/>
    <mergeCell ref="A138:B139"/>
    <mergeCell ref="C141:D141"/>
    <mergeCell ref="A121:B122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ageMargins left="0.7" right="0.7" top="0.75" bottom="0.75" header="0.3" footer="0.3"/>
  <pageSetup scale="16" orientation="portrait" r:id="rId1"/>
  <rowBreaks count="1" manualBreakCount="1">
    <brk id="148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topLeftCell="A92" zoomScale="60" zoomScaleNormal="60" workbookViewId="0">
      <selection activeCell="B129" sqref="B129"/>
    </sheetView>
  </sheetViews>
  <sheetFormatPr defaultRowHeight="13.5" x14ac:dyDescent="0.25"/>
  <cols>
    <col min="1" max="1" width="55.42578125" style="220" customWidth="1"/>
    <col min="2" max="2" width="33.7109375" style="220" customWidth="1"/>
    <col min="3" max="3" width="42.28515625" style="220" customWidth="1"/>
    <col min="4" max="4" width="30.5703125" style="220" customWidth="1"/>
    <col min="5" max="5" width="39.85546875" style="220" customWidth="1"/>
    <col min="6" max="6" width="30.7109375" style="220" customWidth="1"/>
    <col min="7" max="7" width="39.85546875" style="220" customWidth="1"/>
    <col min="8" max="8" width="41.140625" style="220" customWidth="1"/>
    <col min="9" max="9" width="30.28515625" style="220" customWidth="1"/>
    <col min="10" max="10" width="30.42578125" style="220" customWidth="1"/>
    <col min="11" max="11" width="21.28515625" style="220" customWidth="1"/>
    <col min="12" max="12" width="9.140625" style="220" customWidth="1"/>
    <col min="13" max="16384" width="9.140625" style="38"/>
  </cols>
  <sheetData>
    <row r="1" spans="1:8" x14ac:dyDescent="0.25">
      <c r="A1" s="502" t="s">
        <v>42</v>
      </c>
      <c r="B1" s="502"/>
      <c r="C1" s="502"/>
      <c r="D1" s="502"/>
      <c r="E1" s="502"/>
      <c r="F1" s="502"/>
      <c r="G1" s="502"/>
      <c r="H1" s="502"/>
    </row>
    <row r="2" spans="1:8" x14ac:dyDescent="0.25">
      <c r="A2" s="502"/>
      <c r="B2" s="502"/>
      <c r="C2" s="502"/>
      <c r="D2" s="502"/>
      <c r="E2" s="502"/>
      <c r="F2" s="502"/>
      <c r="G2" s="502"/>
      <c r="H2" s="502"/>
    </row>
    <row r="3" spans="1:8" x14ac:dyDescent="0.25">
      <c r="A3" s="502"/>
      <c r="B3" s="502"/>
      <c r="C3" s="502"/>
      <c r="D3" s="502"/>
      <c r="E3" s="502"/>
      <c r="F3" s="502"/>
      <c r="G3" s="502"/>
      <c r="H3" s="502"/>
    </row>
    <row r="4" spans="1:8" x14ac:dyDescent="0.25">
      <c r="A4" s="502"/>
      <c r="B4" s="502"/>
      <c r="C4" s="502"/>
      <c r="D4" s="502"/>
      <c r="E4" s="502"/>
      <c r="F4" s="502"/>
      <c r="G4" s="502"/>
      <c r="H4" s="502"/>
    </row>
    <row r="5" spans="1:8" x14ac:dyDescent="0.25">
      <c r="A5" s="502"/>
      <c r="B5" s="502"/>
      <c r="C5" s="502"/>
      <c r="D5" s="502"/>
      <c r="E5" s="502"/>
      <c r="F5" s="502"/>
      <c r="G5" s="502"/>
      <c r="H5" s="502"/>
    </row>
    <row r="6" spans="1:8" x14ac:dyDescent="0.25">
      <c r="A6" s="502"/>
      <c r="B6" s="502"/>
      <c r="C6" s="502"/>
      <c r="D6" s="502"/>
      <c r="E6" s="502"/>
      <c r="F6" s="502"/>
      <c r="G6" s="502"/>
      <c r="H6" s="502"/>
    </row>
    <row r="7" spans="1:8" x14ac:dyDescent="0.25">
      <c r="A7" s="502"/>
      <c r="B7" s="502"/>
      <c r="C7" s="502"/>
      <c r="D7" s="502"/>
      <c r="E7" s="502"/>
      <c r="F7" s="502"/>
      <c r="G7" s="502"/>
      <c r="H7" s="502"/>
    </row>
    <row r="8" spans="1:8" x14ac:dyDescent="0.25">
      <c r="A8" s="503" t="s">
        <v>43</v>
      </c>
      <c r="B8" s="503"/>
      <c r="C8" s="503"/>
      <c r="D8" s="503"/>
      <c r="E8" s="503"/>
      <c r="F8" s="503"/>
      <c r="G8" s="503"/>
      <c r="H8" s="503"/>
    </row>
    <row r="9" spans="1:8" x14ac:dyDescent="0.25">
      <c r="A9" s="503"/>
      <c r="B9" s="503"/>
      <c r="C9" s="503"/>
      <c r="D9" s="503"/>
      <c r="E9" s="503"/>
      <c r="F9" s="503"/>
      <c r="G9" s="503"/>
      <c r="H9" s="503"/>
    </row>
    <row r="10" spans="1:8" x14ac:dyDescent="0.25">
      <c r="A10" s="503"/>
      <c r="B10" s="503"/>
      <c r="C10" s="503"/>
      <c r="D10" s="503"/>
      <c r="E10" s="503"/>
      <c r="F10" s="503"/>
      <c r="G10" s="503"/>
      <c r="H10" s="503"/>
    </row>
    <row r="11" spans="1:8" x14ac:dyDescent="0.25">
      <c r="A11" s="503"/>
      <c r="B11" s="503"/>
      <c r="C11" s="503"/>
      <c r="D11" s="503"/>
      <c r="E11" s="503"/>
      <c r="F11" s="503"/>
      <c r="G11" s="503"/>
      <c r="H11" s="503"/>
    </row>
    <row r="12" spans="1:8" x14ac:dyDescent="0.25">
      <c r="A12" s="503"/>
      <c r="B12" s="503"/>
      <c r="C12" s="503"/>
      <c r="D12" s="503"/>
      <c r="E12" s="503"/>
      <c r="F12" s="503"/>
      <c r="G12" s="503"/>
      <c r="H12" s="503"/>
    </row>
    <row r="13" spans="1:8" x14ac:dyDescent="0.25">
      <c r="A13" s="503"/>
      <c r="B13" s="503"/>
      <c r="C13" s="503"/>
      <c r="D13" s="503"/>
      <c r="E13" s="503"/>
      <c r="F13" s="503"/>
      <c r="G13" s="503"/>
      <c r="H13" s="503"/>
    </row>
    <row r="14" spans="1:8" x14ac:dyDescent="0.25">
      <c r="A14" s="503"/>
      <c r="B14" s="503"/>
      <c r="C14" s="503"/>
      <c r="D14" s="503"/>
      <c r="E14" s="503"/>
      <c r="F14" s="503"/>
      <c r="G14" s="503"/>
      <c r="H14" s="503"/>
    </row>
    <row r="15" spans="1:8" ht="14.25" thickBot="1" x14ac:dyDescent="0.3"/>
    <row r="16" spans="1:8" ht="16.5" thickBot="1" x14ac:dyDescent="0.3">
      <c r="A16" s="549" t="s">
        <v>28</v>
      </c>
      <c r="B16" s="550"/>
      <c r="C16" s="550"/>
      <c r="D16" s="550"/>
      <c r="E16" s="550"/>
      <c r="F16" s="550"/>
      <c r="G16" s="550"/>
      <c r="H16" s="551"/>
    </row>
    <row r="17" spans="1:14" ht="18.75" x14ac:dyDescent="0.3">
      <c r="A17" s="167" t="s">
        <v>44</v>
      </c>
      <c r="B17" s="167"/>
    </row>
    <row r="18" spans="1:14" ht="18.75" x14ac:dyDescent="0.3">
      <c r="A18" s="93" t="s">
        <v>30</v>
      </c>
      <c r="B18" s="552" t="s">
        <v>4</v>
      </c>
      <c r="C18" s="552"/>
      <c r="D18" s="465"/>
      <c r="E18" s="465"/>
    </row>
    <row r="19" spans="1:14" ht="18.75" x14ac:dyDescent="0.3">
      <c r="A19" s="93" t="s">
        <v>31</v>
      </c>
      <c r="B19" s="466" t="s">
        <v>6</v>
      </c>
      <c r="C19" s="198">
        <v>24</v>
      </c>
    </row>
    <row r="20" spans="1:14" ht="18.75" x14ac:dyDescent="0.3">
      <c r="A20" s="93" t="s">
        <v>32</v>
      </c>
      <c r="B20" s="466" t="s">
        <v>141</v>
      </c>
    </row>
    <row r="21" spans="1:14" ht="18.75" x14ac:dyDescent="0.3">
      <c r="A21" s="93" t="s">
        <v>33</v>
      </c>
      <c r="B21" s="97" t="s">
        <v>10</v>
      </c>
      <c r="C21" s="97"/>
      <c r="D21" s="97"/>
      <c r="E21" s="97"/>
      <c r="F21" s="97"/>
      <c r="G21" s="97"/>
      <c r="H21" s="97"/>
      <c r="I21" s="97"/>
    </row>
    <row r="22" spans="1:14" ht="18.75" x14ac:dyDescent="0.3">
      <c r="A22" s="93" t="s">
        <v>34</v>
      </c>
      <c r="B22" s="467"/>
    </row>
    <row r="23" spans="1:14" ht="18.75" x14ac:dyDescent="0.3">
      <c r="A23" s="93" t="s">
        <v>35</v>
      </c>
      <c r="B23" s="467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254" t="s">
        <v>3</v>
      </c>
      <c r="B26" s="461" t="s">
        <v>125</v>
      </c>
      <c r="C26" s="468"/>
    </row>
    <row r="27" spans="1:14" ht="26.25" customHeight="1" x14ac:dyDescent="0.4">
      <c r="A27" s="209" t="s">
        <v>45</v>
      </c>
      <c r="B27" s="201" t="s">
        <v>126</v>
      </c>
    </row>
    <row r="28" spans="1:14" ht="27" customHeight="1" thickBot="1" x14ac:dyDescent="0.45">
      <c r="A28" s="209" t="s">
        <v>5</v>
      </c>
      <c r="B28" s="201">
        <v>99.3</v>
      </c>
    </row>
    <row r="29" spans="1:14" s="68" customFormat="1" ht="27" thickBot="1" x14ac:dyDescent="0.45">
      <c r="A29" s="209" t="s">
        <v>46</v>
      </c>
      <c r="B29" s="201">
        <v>0</v>
      </c>
      <c r="C29" s="510" t="s">
        <v>47</v>
      </c>
      <c r="D29" s="511"/>
      <c r="E29" s="511"/>
      <c r="F29" s="511"/>
      <c r="G29" s="512"/>
      <c r="I29" s="105"/>
      <c r="J29" s="105"/>
      <c r="K29" s="105"/>
      <c r="L29" s="105"/>
    </row>
    <row r="30" spans="1:14" s="68" customFormat="1" ht="19.5" customHeight="1" thickBot="1" x14ac:dyDescent="0.35">
      <c r="A30" s="209" t="s">
        <v>48</v>
      </c>
      <c r="B30" s="462">
        <f>B28-B29</f>
        <v>99.3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68" customFormat="1" ht="27" thickBot="1" x14ac:dyDescent="0.45">
      <c r="A31" s="209" t="s">
        <v>49</v>
      </c>
      <c r="B31" s="109">
        <v>704.9</v>
      </c>
      <c r="C31" s="513" t="s">
        <v>50</v>
      </c>
      <c r="D31" s="514"/>
      <c r="E31" s="514"/>
      <c r="F31" s="514"/>
      <c r="G31" s="514"/>
      <c r="H31" s="515"/>
      <c r="I31" s="105"/>
      <c r="J31" s="105"/>
      <c r="K31" s="105"/>
      <c r="L31" s="105"/>
    </row>
    <row r="32" spans="1:14" s="68" customFormat="1" ht="27" thickBot="1" x14ac:dyDescent="0.45">
      <c r="A32" s="209" t="s">
        <v>51</v>
      </c>
      <c r="B32" s="109">
        <v>802.9</v>
      </c>
      <c r="C32" s="513" t="s">
        <v>52</v>
      </c>
      <c r="D32" s="514"/>
      <c r="E32" s="514"/>
      <c r="F32" s="514"/>
      <c r="G32" s="514"/>
      <c r="H32" s="515"/>
      <c r="I32" s="105"/>
      <c r="J32" s="105"/>
      <c r="K32" s="105"/>
      <c r="L32" s="110"/>
      <c r="M32" s="110"/>
      <c r="N32" s="111"/>
    </row>
    <row r="33" spans="1:14" s="68" customFormat="1" ht="18.75" x14ac:dyDescent="0.3">
      <c r="A33" s="209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68" customFormat="1" ht="18.75" x14ac:dyDescent="0.3">
      <c r="A34" s="209" t="s">
        <v>53</v>
      </c>
      <c r="B34" s="114">
        <f>B31/B32</f>
        <v>0.87794245858761988</v>
      </c>
      <c r="C34" s="198" t="s">
        <v>54</v>
      </c>
      <c r="D34" s="198"/>
      <c r="E34" s="198"/>
      <c r="F34" s="198"/>
      <c r="G34" s="198"/>
      <c r="I34" s="105"/>
      <c r="J34" s="105"/>
      <c r="K34" s="105"/>
      <c r="L34" s="110"/>
      <c r="M34" s="110"/>
      <c r="N34" s="111"/>
    </row>
    <row r="35" spans="1:14" s="68" customFormat="1" ht="19.5" customHeight="1" thickBot="1" x14ac:dyDescent="0.35">
      <c r="A35" s="209"/>
      <c r="B35" s="462"/>
      <c r="G35" s="198"/>
      <c r="I35" s="105"/>
      <c r="J35" s="105"/>
      <c r="K35" s="105"/>
      <c r="L35" s="110"/>
      <c r="M35" s="110"/>
      <c r="N35" s="111"/>
    </row>
    <row r="36" spans="1:14" s="68" customFormat="1" ht="27" customHeight="1" thickBot="1" x14ac:dyDescent="0.45">
      <c r="A36" s="115" t="s">
        <v>149</v>
      </c>
      <c r="B36" s="116">
        <v>100</v>
      </c>
      <c r="C36" s="198"/>
      <c r="D36" s="516" t="s">
        <v>56</v>
      </c>
      <c r="E36" s="517"/>
      <c r="F36" s="516" t="s">
        <v>57</v>
      </c>
      <c r="G36" s="517"/>
      <c r="J36" s="105"/>
      <c r="K36" s="105"/>
      <c r="L36" s="110"/>
      <c r="M36" s="110"/>
      <c r="N36" s="111"/>
    </row>
    <row r="37" spans="1:14" s="68" customFormat="1" ht="26.25" x14ac:dyDescent="0.4">
      <c r="A37" s="117" t="s">
        <v>58</v>
      </c>
      <c r="B37" s="118">
        <v>1</v>
      </c>
      <c r="C37" s="119" t="s">
        <v>136</v>
      </c>
      <c r="D37" s="120" t="s">
        <v>60</v>
      </c>
      <c r="E37" s="121" t="s">
        <v>61</v>
      </c>
      <c r="F37" s="120" t="s">
        <v>60</v>
      </c>
      <c r="G37" s="205" t="s">
        <v>61</v>
      </c>
      <c r="J37" s="105"/>
      <c r="K37" s="105"/>
      <c r="L37" s="110"/>
      <c r="M37" s="110"/>
      <c r="N37" s="111"/>
    </row>
    <row r="38" spans="1:14" s="68" customFormat="1" ht="26.25" customHeight="1" x14ac:dyDescent="0.4">
      <c r="A38" s="117" t="s">
        <v>63</v>
      </c>
      <c r="B38" s="118">
        <v>1</v>
      </c>
      <c r="C38" s="124">
        <v>1</v>
      </c>
      <c r="D38" s="125">
        <v>62216550</v>
      </c>
      <c r="E38" s="126">
        <f>IF(ISBLANK(D38),"-",$D$48/$D$45*D38)</f>
        <v>163589409.23348802</v>
      </c>
      <c r="F38" s="125">
        <v>50749945</v>
      </c>
      <c r="G38" s="127">
        <f>IF(ISBLANK(F38),"-",$D$48/$F$45*F38)</f>
        <v>166153425.27115127</v>
      </c>
      <c r="J38" s="105"/>
      <c r="K38" s="105"/>
      <c r="L38" s="110"/>
      <c r="M38" s="110"/>
      <c r="N38" s="111"/>
    </row>
    <row r="39" spans="1:14" s="68" customFormat="1" ht="26.25" customHeight="1" x14ac:dyDescent="0.4">
      <c r="A39" s="117" t="s">
        <v>64</v>
      </c>
      <c r="B39" s="118">
        <v>1</v>
      </c>
      <c r="C39" s="149">
        <v>2</v>
      </c>
      <c r="D39" s="130">
        <v>62164205</v>
      </c>
      <c r="E39" s="131">
        <f>IF(ISBLANK(D39),"-",$D$48/$D$45*D39)</f>
        <v>163451775.63557354</v>
      </c>
      <c r="F39" s="130">
        <v>50929377</v>
      </c>
      <c r="G39" s="132">
        <f>IF(ISBLANK(F39),"-",$D$48/$F$45*F39)</f>
        <v>166740878.940377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65</v>
      </c>
      <c r="B40" s="118">
        <v>1</v>
      </c>
      <c r="C40" s="149">
        <v>3</v>
      </c>
      <c r="D40" s="130">
        <v>62114549</v>
      </c>
      <c r="E40" s="131">
        <f>IF(ISBLANK(D40),"-",$D$48/$D$45*D40)</f>
        <v>163321212.37379032</v>
      </c>
      <c r="F40" s="130">
        <v>50916527</v>
      </c>
      <c r="G40" s="132">
        <f>IF(ISBLANK(F40),"-",$D$48/$F$45*F40)</f>
        <v>166698808.52010885</v>
      </c>
      <c r="L40" s="110"/>
      <c r="M40" s="110"/>
      <c r="N40" s="198"/>
    </row>
    <row r="41" spans="1:14" ht="26.25" customHeight="1" x14ac:dyDescent="0.4">
      <c r="A41" s="117" t="s">
        <v>66</v>
      </c>
      <c r="B41" s="118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L41" s="110"/>
      <c r="M41" s="110"/>
      <c r="N41" s="198"/>
    </row>
    <row r="42" spans="1:14" ht="27" customHeight="1" thickBot="1" x14ac:dyDescent="0.45">
      <c r="A42" s="117" t="s">
        <v>67</v>
      </c>
      <c r="B42" s="118">
        <v>1</v>
      </c>
      <c r="C42" s="139" t="s">
        <v>68</v>
      </c>
      <c r="D42" s="469">
        <f>AVERAGE(D38:D41)</f>
        <v>62165101.333333336</v>
      </c>
      <c r="E42" s="141">
        <f>AVERAGE(E38:E41)</f>
        <v>163454132.41428396</v>
      </c>
      <c r="F42" s="140">
        <f>AVERAGE(F38:F41)</f>
        <v>50865283</v>
      </c>
      <c r="G42" s="142">
        <f>AVERAGE(G38:G41)</f>
        <v>166531037.57721236</v>
      </c>
      <c r="H42" s="143"/>
    </row>
    <row r="43" spans="1:14" ht="26.25" customHeight="1" x14ac:dyDescent="0.4">
      <c r="A43" s="117" t="s">
        <v>69</v>
      </c>
      <c r="B43" s="201">
        <v>1</v>
      </c>
      <c r="C43" s="213" t="s">
        <v>110</v>
      </c>
      <c r="D43" s="214">
        <v>24.43</v>
      </c>
      <c r="E43" s="198"/>
      <c r="F43" s="145">
        <v>19.62</v>
      </c>
      <c r="H43" s="143"/>
    </row>
    <row r="44" spans="1:14" ht="26.25" customHeight="1" x14ac:dyDescent="0.4">
      <c r="A44" s="117" t="s">
        <v>71</v>
      </c>
      <c r="B44" s="201">
        <v>1</v>
      </c>
      <c r="C44" s="215" t="s">
        <v>111</v>
      </c>
      <c r="D44" s="216">
        <f>D43*$B$34</f>
        <v>21.448134263295554</v>
      </c>
      <c r="E44" s="217"/>
      <c r="F44" s="147">
        <f>F43*$B$34</f>
        <v>17.225231037489102</v>
      </c>
      <c r="H44" s="143"/>
    </row>
    <row r="45" spans="1:14" ht="19.5" customHeight="1" thickBot="1" x14ac:dyDescent="0.35">
      <c r="A45" s="117" t="s">
        <v>73</v>
      </c>
      <c r="B45" s="462">
        <f>(B44/B43)*(B42/B41)*(B40/B39)*(B38/B37)*B36</f>
        <v>100</v>
      </c>
      <c r="C45" s="215" t="s">
        <v>74</v>
      </c>
      <c r="D45" s="218">
        <f>D44*$B$30/100</f>
        <v>21.297997323452481</v>
      </c>
      <c r="E45" s="194"/>
      <c r="F45" s="150">
        <f>F44*$B$30/100</f>
        <v>17.104654420226677</v>
      </c>
      <c r="H45" s="143"/>
    </row>
    <row r="46" spans="1:14" ht="19.5" thickBot="1" x14ac:dyDescent="0.35">
      <c r="A46" s="504" t="s">
        <v>75</v>
      </c>
      <c r="B46" s="505"/>
      <c r="C46" s="215" t="s">
        <v>76</v>
      </c>
      <c r="D46" s="216">
        <f>D45/$B$45</f>
        <v>0.21297997323452481</v>
      </c>
      <c r="E46" s="194"/>
      <c r="F46" s="423">
        <f>F45/$B$45</f>
        <v>0.17104654420226675</v>
      </c>
      <c r="H46" s="143"/>
    </row>
    <row r="47" spans="1:14" ht="27" customHeight="1" thickBot="1" x14ac:dyDescent="0.45">
      <c r="A47" s="506"/>
      <c r="B47" s="507"/>
      <c r="C47" s="215" t="s">
        <v>129</v>
      </c>
      <c r="D47" s="470">
        <v>0.56000000000000005</v>
      </c>
      <c r="F47" s="159"/>
      <c r="H47" s="143"/>
    </row>
    <row r="48" spans="1:14" ht="18.75" x14ac:dyDescent="0.3">
      <c r="C48" s="215" t="s">
        <v>78</v>
      </c>
      <c r="D48" s="216">
        <f>D47*$B$45</f>
        <v>56.000000000000007</v>
      </c>
      <c r="F48" s="159"/>
      <c r="H48" s="143"/>
    </row>
    <row r="49" spans="1:12" ht="19.5" customHeight="1" thickBot="1" x14ac:dyDescent="0.35">
      <c r="C49" s="223" t="s">
        <v>79</v>
      </c>
      <c r="D49" s="224">
        <f>D48/B34</f>
        <v>63.785501489572994</v>
      </c>
      <c r="F49" s="163"/>
      <c r="H49" s="143"/>
    </row>
    <row r="50" spans="1:12" ht="18.75" x14ac:dyDescent="0.3">
      <c r="C50" s="226" t="s">
        <v>80</v>
      </c>
      <c r="D50" s="227">
        <f>AVERAGE(E38:E41,G38:G41)</f>
        <v>164992584.99574816</v>
      </c>
      <c r="F50" s="163"/>
      <c r="H50" s="143"/>
    </row>
    <row r="51" spans="1:12" ht="18.75" x14ac:dyDescent="0.3">
      <c r="C51" s="193" t="s">
        <v>81</v>
      </c>
      <c r="D51" s="164">
        <f>STDEV(E38:E41,G38:G41)/D50</f>
        <v>1.0304121766699342E-2</v>
      </c>
      <c r="F51" s="163"/>
    </row>
    <row r="52" spans="1:12" ht="19.5" customHeight="1" thickBot="1" x14ac:dyDescent="0.35">
      <c r="C52" s="195" t="s">
        <v>18</v>
      </c>
      <c r="D52" s="471">
        <f>COUNT(E38:E41,G38:G41)</f>
        <v>6</v>
      </c>
      <c r="F52" s="163"/>
    </row>
    <row r="54" spans="1:12" ht="18.75" x14ac:dyDescent="0.3">
      <c r="A54" s="167" t="s">
        <v>1</v>
      </c>
      <c r="B54" s="168" t="s">
        <v>82</v>
      </c>
    </row>
    <row r="55" spans="1:12" ht="18.75" x14ac:dyDescent="0.3">
      <c r="A55" s="198" t="s">
        <v>83</v>
      </c>
      <c r="B55" s="170" t="str">
        <f>B21</f>
        <v>Each film coated tablet contains:Atazanavir (as sulfate) equivalent to Atazanavir 300 mg Ritonavir USP 100 mg.</v>
      </c>
    </row>
    <row r="56" spans="1:12" ht="26.25" customHeight="1" x14ac:dyDescent="0.4">
      <c r="A56" s="170" t="s">
        <v>84</v>
      </c>
      <c r="B56" s="201">
        <v>300</v>
      </c>
      <c r="C56" s="198" t="str">
        <f>B20</f>
        <v xml:space="preserve">ATAZANAVIR </v>
      </c>
      <c r="H56" s="217"/>
    </row>
    <row r="57" spans="1:12" ht="18.75" x14ac:dyDescent="0.3">
      <c r="A57" s="170" t="s">
        <v>85</v>
      </c>
      <c r="B57" s="261">
        <f>[1]Uniformity!C46</f>
        <v>1974.3689999999999</v>
      </c>
      <c r="H57" s="217"/>
    </row>
    <row r="58" spans="1:12" ht="19.5" customHeight="1" thickBot="1" x14ac:dyDescent="0.35">
      <c r="H58" s="217"/>
    </row>
    <row r="59" spans="1:12" s="68" customFormat="1" ht="27" customHeight="1" thickBot="1" x14ac:dyDescent="0.45">
      <c r="A59" s="115" t="s">
        <v>150</v>
      </c>
      <c r="B59" s="116">
        <v>100</v>
      </c>
      <c r="C59" s="198"/>
      <c r="D59" s="173" t="s">
        <v>87</v>
      </c>
      <c r="E59" s="174" t="s">
        <v>59</v>
      </c>
      <c r="F59" s="174" t="s">
        <v>60</v>
      </c>
      <c r="G59" s="174" t="s">
        <v>88</v>
      </c>
      <c r="H59" s="119" t="s">
        <v>89</v>
      </c>
      <c r="L59" s="105"/>
    </row>
    <row r="60" spans="1:12" s="68" customFormat="1" ht="26.25" x14ac:dyDescent="0.4">
      <c r="A60" s="117" t="s">
        <v>119</v>
      </c>
      <c r="B60" s="118">
        <v>4</v>
      </c>
      <c r="C60" s="553" t="s">
        <v>91</v>
      </c>
      <c r="D60" s="524">
        <v>1946.3</v>
      </c>
      <c r="E60" s="175">
        <v>1</v>
      </c>
      <c r="F60" s="176">
        <v>172085958</v>
      </c>
      <c r="G60" s="472">
        <f>IF(ISBLANK(F60),"-",(F60/$D$50*$D$47*$B$68)*($B$57/$D$60))</f>
        <v>296.24946805597205</v>
      </c>
      <c r="H60" s="177">
        <f t="shared" ref="H60:H71" si="0">IF(ISBLANK(F60),"-",G60/$B$56)</f>
        <v>0.98749822685324018</v>
      </c>
      <c r="L60" s="105"/>
    </row>
    <row r="61" spans="1:12" s="68" customFormat="1" ht="26.25" customHeight="1" x14ac:dyDescent="0.4">
      <c r="A61" s="117" t="s">
        <v>92</v>
      </c>
      <c r="B61" s="118">
        <v>20</v>
      </c>
      <c r="C61" s="554"/>
      <c r="D61" s="525"/>
      <c r="E61" s="178">
        <v>2</v>
      </c>
      <c r="F61" s="130">
        <v>172987089</v>
      </c>
      <c r="G61" s="473">
        <f>IF(ISBLANK(F61),"-",(F61/$D$50*$D$47*$B$68)*($B$57/$D$60))</f>
        <v>297.8007833550318</v>
      </c>
      <c r="H61" s="179">
        <f t="shared" si="0"/>
        <v>0.99266927785010595</v>
      </c>
      <c r="L61" s="105"/>
    </row>
    <row r="62" spans="1:12" s="68" customFormat="1" ht="26.25" customHeight="1" x14ac:dyDescent="0.4">
      <c r="A62" s="117" t="s">
        <v>93</v>
      </c>
      <c r="B62" s="118">
        <v>1</v>
      </c>
      <c r="C62" s="554"/>
      <c r="D62" s="525"/>
      <c r="E62" s="178">
        <v>3</v>
      </c>
      <c r="F62" s="130">
        <v>170902849</v>
      </c>
      <c r="G62" s="473">
        <f>IF(ISBLANK(F62),"-",(F62/$D$50*$D$47*$B$68)*($B$57/$D$60))</f>
        <v>294.21272190901311</v>
      </c>
      <c r="H62" s="179">
        <f t="shared" si="0"/>
        <v>0.98070907303004373</v>
      </c>
      <c r="L62" s="105"/>
    </row>
    <row r="63" spans="1:12" ht="27" thickBot="1" x14ac:dyDescent="0.45">
      <c r="A63" s="117" t="s">
        <v>94</v>
      </c>
      <c r="B63" s="118">
        <v>1</v>
      </c>
      <c r="C63" s="555"/>
      <c r="D63" s="526"/>
      <c r="E63" s="181">
        <v>4</v>
      </c>
      <c r="F63" s="182"/>
      <c r="G63" s="473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7" t="s">
        <v>95</v>
      </c>
      <c r="B64" s="118">
        <v>1</v>
      </c>
      <c r="C64" s="553" t="s">
        <v>96</v>
      </c>
      <c r="D64" s="524">
        <v>1990.18</v>
      </c>
      <c r="E64" s="175">
        <v>1</v>
      </c>
      <c r="F64" s="176">
        <v>180962969</v>
      </c>
      <c r="G64" s="474">
        <f>IF(ISBLANK(F64),"-",(F64/$D$50*$D$47*$B$68)*($B$57/$D$64))</f>
        <v>304.66269774263424</v>
      </c>
      <c r="H64" s="183">
        <f t="shared" si="0"/>
        <v>1.0155423258087808</v>
      </c>
    </row>
    <row r="65" spans="1:8" ht="26.25" customHeight="1" x14ac:dyDescent="0.4">
      <c r="A65" s="117" t="s">
        <v>97</v>
      </c>
      <c r="B65" s="118">
        <v>1</v>
      </c>
      <c r="C65" s="554"/>
      <c r="D65" s="525"/>
      <c r="E65" s="178">
        <v>2</v>
      </c>
      <c r="F65" s="130">
        <v>182210273</v>
      </c>
      <c r="G65" s="475">
        <f>IF(ISBLANK(F65),"-",(F65/$D$50*$D$47*$B$68)*($B$57/$D$64))</f>
        <v>306.7626135632305</v>
      </c>
      <c r="H65" s="184">
        <f t="shared" si="0"/>
        <v>1.0225420452107683</v>
      </c>
    </row>
    <row r="66" spans="1:8" ht="26.25" customHeight="1" x14ac:dyDescent="0.4">
      <c r="A66" s="117" t="s">
        <v>98</v>
      </c>
      <c r="B66" s="118">
        <v>1</v>
      </c>
      <c r="C66" s="554"/>
      <c r="D66" s="525"/>
      <c r="E66" s="178">
        <v>3</v>
      </c>
      <c r="F66" s="130">
        <v>182690907</v>
      </c>
      <c r="G66" s="475">
        <f>IF(ISBLANK(F66),"-",(F66/$D$50*$D$47*$B$68)*($B$57/$D$64))</f>
        <v>307.57179155072714</v>
      </c>
      <c r="H66" s="184">
        <f t="shared" si="0"/>
        <v>1.0252393051690905</v>
      </c>
    </row>
    <row r="67" spans="1:8" ht="27" thickBot="1" x14ac:dyDescent="0.45">
      <c r="A67" s="117" t="s">
        <v>99</v>
      </c>
      <c r="B67" s="118">
        <v>1</v>
      </c>
      <c r="C67" s="555"/>
      <c r="D67" s="526"/>
      <c r="E67" s="181">
        <v>4</v>
      </c>
      <c r="F67" s="182"/>
      <c r="G67" s="476" t="str">
        <f>IF(ISBLANK(F67),"-",(F67/$D$50*$D$47*$B$68)*($B$57/$D$64))</f>
        <v>-</v>
      </c>
      <c r="H67" s="185" t="str">
        <f t="shared" si="0"/>
        <v>-</v>
      </c>
    </row>
    <row r="68" spans="1:8" ht="26.25" x14ac:dyDescent="0.4">
      <c r="A68" s="117" t="s">
        <v>100</v>
      </c>
      <c r="B68" s="477">
        <f>(B67/B66)*(B65/B64)*(B63/B62)*(B61/B60)*B59</f>
        <v>500</v>
      </c>
      <c r="C68" s="553" t="s">
        <v>101</v>
      </c>
      <c r="D68" s="524">
        <v>1980.25</v>
      </c>
      <c r="E68" s="175">
        <v>1</v>
      </c>
      <c r="F68" s="176">
        <v>176669666</v>
      </c>
      <c r="G68" s="474">
        <f>IF(ISBLANK(F68),"-",(F68/$D$50*$D$47*$B$68)*($B$57/$D$68))</f>
        <v>298.92613987970668</v>
      </c>
      <c r="H68" s="179">
        <f t="shared" si="0"/>
        <v>0.99642046626568892</v>
      </c>
    </row>
    <row r="69" spans="1:8" ht="27" thickBot="1" x14ac:dyDescent="0.45">
      <c r="A69" s="165" t="s">
        <v>102</v>
      </c>
      <c r="B69" s="478">
        <f>D47*B68/B56*B57</f>
        <v>1842.7444</v>
      </c>
      <c r="C69" s="554"/>
      <c r="D69" s="525"/>
      <c r="E69" s="178">
        <v>2</v>
      </c>
      <c r="F69" s="130">
        <v>178224254</v>
      </c>
      <c r="G69" s="475">
        <f>IF(ISBLANK(F69),"-",(F69/$D$50*$D$47*$B$68)*($B$57/$D$68))</f>
        <v>301.55651214714106</v>
      </c>
      <c r="H69" s="179">
        <f t="shared" si="0"/>
        <v>1.0051883738238034</v>
      </c>
    </row>
    <row r="70" spans="1:8" ht="26.25" x14ac:dyDescent="0.4">
      <c r="A70" s="527" t="s">
        <v>75</v>
      </c>
      <c r="B70" s="528"/>
      <c r="C70" s="554"/>
      <c r="D70" s="525"/>
      <c r="E70" s="178">
        <v>3</v>
      </c>
      <c r="F70" s="130">
        <v>176010631</v>
      </c>
      <c r="G70" s="475">
        <f>IF(ISBLANK(F70),"-",(F70/$D$50*$D$47*$B$68)*($B$57/$D$68))</f>
        <v>297.8110486868834</v>
      </c>
      <c r="H70" s="179">
        <f t="shared" si="0"/>
        <v>0.99270349562294469</v>
      </c>
    </row>
    <row r="71" spans="1:8" ht="27" thickBot="1" x14ac:dyDescent="0.45">
      <c r="A71" s="529"/>
      <c r="B71" s="530"/>
      <c r="C71" s="555"/>
      <c r="D71" s="526"/>
      <c r="E71" s="181">
        <v>4</v>
      </c>
      <c r="F71" s="182"/>
      <c r="G71" s="476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7"/>
      <c r="G72" s="191" t="s">
        <v>68</v>
      </c>
      <c r="H72" s="192">
        <f>AVERAGE(H60:H71)</f>
        <v>1.0020569544038294</v>
      </c>
    </row>
    <row r="73" spans="1:8" ht="26.25" customHeight="1" x14ac:dyDescent="0.4">
      <c r="C73" s="217"/>
      <c r="D73" s="217"/>
      <c r="E73" s="217"/>
      <c r="F73" s="217"/>
      <c r="G73" s="193" t="s">
        <v>81</v>
      </c>
      <c r="H73" s="267">
        <f>STDEV(H60:H71)/H72</f>
        <v>1.5872521528004741E-2</v>
      </c>
    </row>
    <row r="74" spans="1:8" ht="27" customHeight="1" thickBot="1" x14ac:dyDescent="0.45">
      <c r="A74" s="217"/>
      <c r="B74" s="217"/>
      <c r="C74" s="217"/>
      <c r="D74" s="217"/>
      <c r="E74" s="194"/>
      <c r="F74" s="217"/>
      <c r="G74" s="195" t="s">
        <v>18</v>
      </c>
      <c r="H74" s="196">
        <f>COUNT(H60:H71)</f>
        <v>9</v>
      </c>
    </row>
    <row r="75" spans="1:8" ht="18.75" x14ac:dyDescent="0.3">
      <c r="A75" s="217"/>
      <c r="B75" s="217"/>
      <c r="C75" s="217"/>
      <c r="D75" s="217"/>
      <c r="E75" s="194"/>
      <c r="F75" s="217"/>
      <c r="G75" s="209"/>
      <c r="H75" s="462"/>
    </row>
    <row r="76" spans="1:8" ht="18.75" x14ac:dyDescent="0.3">
      <c r="A76" s="254" t="s">
        <v>132</v>
      </c>
      <c r="B76" s="209" t="s">
        <v>120</v>
      </c>
      <c r="C76" s="508" t="str">
        <f>B20</f>
        <v xml:space="preserve">ATAZANAVIR </v>
      </c>
      <c r="D76" s="508"/>
      <c r="E76" s="198" t="s">
        <v>151</v>
      </c>
      <c r="F76" s="198"/>
      <c r="G76" s="479">
        <f>H72</f>
        <v>1.0020569544038294</v>
      </c>
      <c r="H76" s="462"/>
    </row>
    <row r="77" spans="1:8" ht="18.75" x14ac:dyDescent="0.3">
      <c r="A77" s="217"/>
      <c r="B77" s="217"/>
      <c r="C77" s="217"/>
      <c r="D77" s="217"/>
      <c r="E77" s="194"/>
      <c r="F77" s="217"/>
      <c r="G77" s="209"/>
      <c r="H77" s="462"/>
    </row>
    <row r="78" spans="1:8" ht="26.25" customHeight="1" x14ac:dyDescent="0.4">
      <c r="A78" s="100" t="s">
        <v>134</v>
      </c>
      <c r="B78" s="100" t="s">
        <v>152</v>
      </c>
      <c r="D78" s="480" t="s">
        <v>153</v>
      </c>
    </row>
    <row r="79" spans="1:8" ht="18.75" x14ac:dyDescent="0.3">
      <c r="A79" s="100"/>
      <c r="B79" s="100"/>
    </row>
    <row r="80" spans="1:8" ht="26.25" customHeight="1" x14ac:dyDescent="0.4">
      <c r="A80" s="254" t="s">
        <v>3</v>
      </c>
      <c r="B80" s="201" t="s">
        <v>125</v>
      </c>
      <c r="C80" s="468"/>
    </row>
    <row r="81" spans="1:12" ht="26.25" customHeight="1" x14ac:dyDescent="0.4">
      <c r="A81" s="209" t="s">
        <v>45</v>
      </c>
      <c r="B81" s="201" t="s">
        <v>126</v>
      </c>
    </row>
    <row r="82" spans="1:12" ht="27" customHeight="1" thickBot="1" x14ac:dyDescent="0.45">
      <c r="A82" s="209" t="s">
        <v>5</v>
      </c>
      <c r="B82" s="201">
        <v>99.3</v>
      </c>
    </row>
    <row r="83" spans="1:12" s="68" customFormat="1" ht="27" thickBot="1" x14ac:dyDescent="0.45">
      <c r="A83" s="209" t="s">
        <v>46</v>
      </c>
      <c r="B83" s="201">
        <f>B29</f>
        <v>0</v>
      </c>
      <c r="C83" s="510" t="s">
        <v>47</v>
      </c>
      <c r="D83" s="511"/>
      <c r="E83" s="511"/>
      <c r="F83" s="511"/>
      <c r="G83" s="512"/>
      <c r="I83" s="105"/>
      <c r="J83" s="105"/>
      <c r="K83" s="105"/>
      <c r="L83" s="105"/>
    </row>
    <row r="84" spans="1:12" s="68" customFormat="1" ht="18.75" x14ac:dyDescent="0.3">
      <c r="A84" s="209" t="s">
        <v>48</v>
      </c>
      <c r="B84" s="462">
        <f>B82-B83</f>
        <v>99.3</v>
      </c>
      <c r="C84" s="107"/>
      <c r="D84" s="107"/>
      <c r="E84" s="107"/>
      <c r="F84" s="107"/>
      <c r="G84" s="108"/>
      <c r="I84" s="105"/>
      <c r="J84" s="105"/>
      <c r="K84" s="105"/>
      <c r="L84" s="105"/>
    </row>
    <row r="85" spans="1:12" s="68" customFormat="1" ht="19.5" customHeight="1" thickBot="1" x14ac:dyDescent="0.35">
      <c r="A85" s="209"/>
      <c r="B85" s="462"/>
      <c r="C85" s="107"/>
      <c r="D85" s="107"/>
      <c r="E85" s="107"/>
      <c r="F85" s="107"/>
      <c r="G85" s="108"/>
      <c r="I85" s="105"/>
      <c r="J85" s="105"/>
      <c r="K85" s="105"/>
      <c r="L85" s="105"/>
    </row>
    <row r="86" spans="1:12" s="68" customFormat="1" ht="27" thickBot="1" x14ac:dyDescent="0.45">
      <c r="A86" s="209" t="s">
        <v>49</v>
      </c>
      <c r="B86" s="109">
        <v>704.9</v>
      </c>
      <c r="C86" s="513" t="s">
        <v>50</v>
      </c>
      <c r="D86" s="514"/>
      <c r="E86" s="514"/>
      <c r="F86" s="514"/>
      <c r="G86" s="514"/>
      <c r="H86" s="515"/>
      <c r="I86" s="105"/>
      <c r="J86" s="105"/>
      <c r="K86" s="105"/>
      <c r="L86" s="105"/>
    </row>
    <row r="87" spans="1:12" s="68" customFormat="1" ht="27" thickBot="1" x14ac:dyDescent="0.45">
      <c r="A87" s="209" t="s">
        <v>51</v>
      </c>
      <c r="B87" s="109">
        <v>802.9</v>
      </c>
      <c r="C87" s="513" t="s">
        <v>52</v>
      </c>
      <c r="D87" s="514"/>
      <c r="E87" s="514"/>
      <c r="F87" s="514"/>
      <c r="G87" s="514"/>
      <c r="H87" s="515"/>
      <c r="I87" s="105"/>
      <c r="J87" s="105"/>
      <c r="K87" s="105"/>
      <c r="L87" s="105"/>
    </row>
    <row r="88" spans="1:12" s="68" customFormat="1" ht="18.75" x14ac:dyDescent="0.3">
      <c r="A88" s="209"/>
      <c r="B88" s="462"/>
      <c r="C88" s="107"/>
      <c r="D88" s="107"/>
      <c r="E88" s="107"/>
      <c r="F88" s="107"/>
      <c r="G88" s="108"/>
      <c r="I88" s="105"/>
      <c r="J88" s="105"/>
      <c r="K88" s="105"/>
      <c r="L88" s="105"/>
    </row>
    <row r="89" spans="1:12" ht="18.75" x14ac:dyDescent="0.3">
      <c r="A89" s="209" t="s">
        <v>53</v>
      </c>
      <c r="B89" s="114">
        <f>B86/B87</f>
        <v>0.87794245858761988</v>
      </c>
      <c r="C89" s="198" t="s">
        <v>54</v>
      </c>
    </row>
    <row r="90" spans="1:12" ht="19.5" customHeight="1" thickBot="1" x14ac:dyDescent="0.35">
      <c r="A90" s="209"/>
      <c r="B90" s="114"/>
    </row>
    <row r="91" spans="1:12" ht="27" customHeight="1" thickBot="1" x14ac:dyDescent="0.45">
      <c r="A91" s="115" t="s">
        <v>149</v>
      </c>
      <c r="B91" s="116">
        <v>50</v>
      </c>
      <c r="D91" s="459" t="s">
        <v>56</v>
      </c>
      <c r="E91" s="460"/>
      <c r="F91" s="516" t="s">
        <v>57</v>
      </c>
      <c r="G91" s="517"/>
    </row>
    <row r="92" spans="1:12" ht="26.25" customHeight="1" x14ac:dyDescent="0.4">
      <c r="A92" s="117" t="s">
        <v>58</v>
      </c>
      <c r="B92" s="118">
        <v>1</v>
      </c>
      <c r="C92" s="463" t="s">
        <v>136</v>
      </c>
      <c r="D92" s="120" t="s">
        <v>60</v>
      </c>
      <c r="E92" s="121" t="s">
        <v>61</v>
      </c>
      <c r="F92" s="120" t="s">
        <v>60</v>
      </c>
      <c r="G92" s="205" t="s">
        <v>61</v>
      </c>
    </row>
    <row r="93" spans="1:12" ht="26.25" customHeight="1" x14ac:dyDescent="0.4">
      <c r="A93" s="117" t="s">
        <v>63</v>
      </c>
      <c r="B93" s="118">
        <v>1</v>
      </c>
      <c r="C93" s="206">
        <v>1</v>
      </c>
      <c r="D93" s="125">
        <v>39579342</v>
      </c>
      <c r="E93" s="126">
        <f>IF(ISBLANK(D93),"-",$D$103/$D$100*D93)</f>
        <v>42350494.273099989</v>
      </c>
      <c r="F93" s="125">
        <v>34381284</v>
      </c>
      <c r="G93" s="127">
        <f>IF(ISBLANK(F93),"-",$D$103/$F$100*F93)</f>
        <v>42314662.203855708</v>
      </c>
    </row>
    <row r="94" spans="1:12" ht="26.25" customHeight="1" x14ac:dyDescent="0.4">
      <c r="A94" s="117" t="s">
        <v>64</v>
      </c>
      <c r="B94" s="118">
        <v>1</v>
      </c>
      <c r="C94" s="217">
        <v>2</v>
      </c>
      <c r="D94" s="130">
        <v>39648486</v>
      </c>
      <c r="E94" s="131">
        <f>IF(ISBLANK(D94),"-",$D$103/$D$100*D94)</f>
        <v>42424479.398371123</v>
      </c>
      <c r="F94" s="130">
        <v>34375350</v>
      </c>
      <c r="G94" s="132">
        <f>IF(ISBLANK(F94),"-",$D$103/$F$100*F94)</f>
        <v>42307358.951146543</v>
      </c>
    </row>
    <row r="95" spans="1:12" ht="26.25" customHeight="1" x14ac:dyDescent="0.4">
      <c r="A95" s="117" t="s">
        <v>65</v>
      </c>
      <c r="B95" s="118">
        <v>1</v>
      </c>
      <c r="C95" s="217">
        <v>3</v>
      </c>
      <c r="D95" s="130">
        <v>39544972</v>
      </c>
      <c r="E95" s="131">
        <f>IF(ISBLANK(D95),"-",$D$103/$D$100*D95)</f>
        <v>42313717.853518113</v>
      </c>
      <c r="F95" s="130">
        <v>34360361</v>
      </c>
      <c r="G95" s="132">
        <f>IF(ISBLANK(F95),"-",$D$103/$F$100*F95)</f>
        <v>42288911.28433533</v>
      </c>
    </row>
    <row r="96" spans="1:12" ht="26.25" customHeight="1" x14ac:dyDescent="0.4">
      <c r="A96" s="117" t="s">
        <v>66</v>
      </c>
      <c r="B96" s="118">
        <v>1</v>
      </c>
      <c r="C96" s="207">
        <v>4</v>
      </c>
      <c r="D96" s="135"/>
      <c r="E96" s="136" t="str">
        <f>IF(ISBLANK(D96),"-",$D$103/$D$100*D96)</f>
        <v>-</v>
      </c>
      <c r="F96" s="208"/>
      <c r="G96" s="137" t="str">
        <f>IF(ISBLANK(F96),"-",$D$103/$F$100*F96)</f>
        <v>-</v>
      </c>
    </row>
    <row r="97" spans="1:10" ht="27" customHeight="1" thickBot="1" x14ac:dyDescent="0.45">
      <c r="A97" s="117" t="s">
        <v>67</v>
      </c>
      <c r="B97" s="118">
        <v>1</v>
      </c>
      <c r="C97" s="209" t="s">
        <v>68</v>
      </c>
      <c r="D97" s="210">
        <f>AVERAGE(D93:D96)</f>
        <v>39590933.333333336</v>
      </c>
      <c r="E97" s="141">
        <f>AVERAGE(E93:E96)</f>
        <v>42362897.174996413</v>
      </c>
      <c r="F97" s="211">
        <f>AVERAGE(F93:F96)</f>
        <v>34372331.666666664</v>
      </c>
      <c r="G97" s="481">
        <f>AVERAGE(G93:G96)</f>
        <v>42303644.146445863</v>
      </c>
    </row>
    <row r="98" spans="1:10" ht="26.25" customHeight="1" x14ac:dyDescent="0.4">
      <c r="A98" s="117" t="s">
        <v>69</v>
      </c>
      <c r="B98" s="201">
        <v>1</v>
      </c>
      <c r="C98" s="213" t="s">
        <v>110</v>
      </c>
      <c r="D98" s="214">
        <v>16.079999999999998</v>
      </c>
      <c r="E98" s="198"/>
      <c r="F98" s="145">
        <v>13.98</v>
      </c>
    </row>
    <row r="99" spans="1:10" ht="26.25" customHeight="1" x14ac:dyDescent="0.4">
      <c r="A99" s="117" t="s">
        <v>71</v>
      </c>
      <c r="B99" s="201">
        <v>1</v>
      </c>
      <c r="C99" s="215" t="s">
        <v>111</v>
      </c>
      <c r="D99" s="216">
        <f>D98*$B$89</f>
        <v>14.117314734088927</v>
      </c>
      <c r="E99" s="217"/>
      <c r="F99" s="147">
        <f>F98*$B$89</f>
        <v>12.273635571054927</v>
      </c>
    </row>
    <row r="100" spans="1:10" ht="19.5" customHeight="1" thickBot="1" x14ac:dyDescent="0.35">
      <c r="A100" s="117" t="s">
        <v>73</v>
      </c>
      <c r="B100" s="462">
        <f>(B99/B98)*(B97/B96)*(B95/B94)*(B93/B92)*B91</f>
        <v>50</v>
      </c>
      <c r="C100" s="215" t="s">
        <v>74</v>
      </c>
      <c r="D100" s="218">
        <f>D99*$B$84/100</f>
        <v>14.018493530950304</v>
      </c>
      <c r="E100" s="194"/>
      <c r="F100" s="150">
        <f>F99*$B$84/100</f>
        <v>12.187720122057542</v>
      </c>
    </row>
    <row r="101" spans="1:10" ht="19.5" thickBot="1" x14ac:dyDescent="0.35">
      <c r="A101" s="504" t="s">
        <v>75</v>
      </c>
      <c r="B101" s="505"/>
      <c r="C101" s="215" t="s">
        <v>76</v>
      </c>
      <c r="D101" s="216">
        <f>D100/$B$100</f>
        <v>0.28036987061900609</v>
      </c>
      <c r="E101" s="194"/>
      <c r="F101" s="423">
        <f>F100/$B$100</f>
        <v>0.24375440244115082</v>
      </c>
      <c r="H101" s="143"/>
    </row>
    <row r="102" spans="1:10" ht="19.5" customHeight="1" thickBot="1" x14ac:dyDescent="0.35">
      <c r="A102" s="506"/>
      <c r="B102" s="507"/>
      <c r="C102" s="215" t="s">
        <v>129</v>
      </c>
      <c r="D102" s="218">
        <f>$B$56/$B$120</f>
        <v>0.3</v>
      </c>
      <c r="F102" s="159"/>
      <c r="G102" s="228"/>
      <c r="H102" s="143"/>
    </row>
    <row r="103" spans="1:10" ht="18.75" x14ac:dyDescent="0.3">
      <c r="C103" s="215" t="s">
        <v>78</v>
      </c>
      <c r="D103" s="216">
        <f>D102*$B$100</f>
        <v>15</v>
      </c>
      <c r="F103" s="159"/>
      <c r="H103" s="143"/>
    </row>
    <row r="104" spans="1:10" ht="19.5" customHeight="1" thickBot="1" x14ac:dyDescent="0.35">
      <c r="C104" s="223" t="s">
        <v>79</v>
      </c>
      <c r="D104" s="224">
        <f>D103/B34</f>
        <v>17.08540218470705</v>
      </c>
      <c r="F104" s="163"/>
      <c r="H104" s="143"/>
      <c r="J104" s="225"/>
    </row>
    <row r="105" spans="1:10" ht="18.75" x14ac:dyDescent="0.3">
      <c r="C105" s="226" t="s">
        <v>80</v>
      </c>
      <c r="D105" s="227">
        <f>AVERAGE(E93:E96,G93:G96)</f>
        <v>42333270.660721131</v>
      </c>
      <c r="F105" s="163"/>
      <c r="G105" s="228"/>
      <c r="H105" s="143"/>
      <c r="J105" s="229"/>
    </row>
    <row r="106" spans="1:10" ht="18.75" x14ac:dyDescent="0.3">
      <c r="C106" s="193" t="s">
        <v>81</v>
      </c>
      <c r="D106" s="230">
        <f>STDEV(E93:E96,G93:G96)/D105</f>
        <v>1.1564424094091513E-3</v>
      </c>
      <c r="F106" s="163"/>
      <c r="H106" s="143"/>
      <c r="J106" s="229"/>
    </row>
    <row r="107" spans="1:10" ht="19.5" customHeight="1" thickBot="1" x14ac:dyDescent="0.35">
      <c r="C107" s="195" t="s">
        <v>18</v>
      </c>
      <c r="D107" s="231">
        <f>COUNT(E93:E96,G93:G96)</f>
        <v>6</v>
      </c>
      <c r="F107" s="163"/>
      <c r="H107" s="143"/>
      <c r="J107" s="229"/>
    </row>
    <row r="108" spans="1:10" ht="19.5" customHeight="1" x14ac:dyDescent="0.3">
      <c r="A108" s="167"/>
      <c r="B108" s="167"/>
      <c r="C108" s="167"/>
      <c r="D108" s="167"/>
      <c r="E108" s="167"/>
    </row>
    <row r="109" spans="1:10" ht="19.5" customHeight="1" x14ac:dyDescent="0.4">
      <c r="A109" s="167"/>
      <c r="B109" s="100" t="s">
        <v>152</v>
      </c>
      <c r="D109" s="480" t="s">
        <v>153</v>
      </c>
      <c r="E109" s="167"/>
    </row>
    <row r="110" spans="1:10" ht="19.5" customHeight="1" thickBot="1" x14ac:dyDescent="0.35">
      <c r="A110" s="167"/>
      <c r="B110" s="167"/>
      <c r="C110" s="167"/>
      <c r="D110" s="167"/>
      <c r="E110" s="167"/>
    </row>
    <row r="111" spans="1:10" ht="26.25" x14ac:dyDescent="0.4">
      <c r="A111" s="115" t="s">
        <v>115</v>
      </c>
      <c r="B111" s="116">
        <v>1000</v>
      </c>
      <c r="C111" s="459" t="s">
        <v>133</v>
      </c>
      <c r="D111" s="233" t="s">
        <v>60</v>
      </c>
      <c r="E111" s="427" t="s">
        <v>117</v>
      </c>
      <c r="F111" s="235" t="s">
        <v>118</v>
      </c>
    </row>
    <row r="112" spans="1:10" ht="26.25" customHeight="1" x14ac:dyDescent="0.4">
      <c r="A112" s="117" t="s">
        <v>119</v>
      </c>
      <c r="B112" s="118">
        <v>1</v>
      </c>
      <c r="C112" s="236">
        <v>1</v>
      </c>
      <c r="D112" s="237">
        <v>37387986</v>
      </c>
      <c r="E112" s="482">
        <f t="shared" ref="E112:E117" si="1">IF(ISBLANK(D112),"-",D112/$D$105*$D$102*$B$120)</f>
        <v>264.95462374956816</v>
      </c>
      <c r="F112" s="238">
        <f>IF(ISBLANK(D112), "-", E112/$B$56)</f>
        <v>0.88318207916522717</v>
      </c>
    </row>
    <row r="113" spans="1:10" ht="26.25" customHeight="1" x14ac:dyDescent="0.4">
      <c r="A113" s="117" t="s">
        <v>92</v>
      </c>
      <c r="B113" s="118">
        <v>1</v>
      </c>
      <c r="C113" s="236">
        <v>2</v>
      </c>
      <c r="D113" s="237">
        <v>36715348</v>
      </c>
      <c r="E113" s="483">
        <f t="shared" si="1"/>
        <v>260.18789070838051</v>
      </c>
      <c r="F113" s="239">
        <f t="shared" ref="F113:F117" si="2">IF(ISBLANK(D113), "-", E113/$B$56)</f>
        <v>0.86729296902793507</v>
      </c>
    </row>
    <row r="114" spans="1:10" ht="26.25" customHeight="1" x14ac:dyDescent="0.4">
      <c r="A114" s="117" t="s">
        <v>93</v>
      </c>
      <c r="B114" s="118">
        <v>1</v>
      </c>
      <c r="C114" s="236">
        <v>3</v>
      </c>
      <c r="D114" s="237">
        <v>42459439</v>
      </c>
      <c r="E114" s="483">
        <f t="shared" si="1"/>
        <v>300.89410766503283</v>
      </c>
      <c r="F114" s="239">
        <f t="shared" si="2"/>
        <v>1.0029803588834427</v>
      </c>
    </row>
    <row r="115" spans="1:10" ht="26.25" customHeight="1" x14ac:dyDescent="0.4">
      <c r="A115" s="117" t="s">
        <v>94</v>
      </c>
      <c r="B115" s="118">
        <v>1</v>
      </c>
      <c r="C115" s="236">
        <v>4</v>
      </c>
      <c r="D115" s="237">
        <v>41668084</v>
      </c>
      <c r="E115" s="483">
        <f t="shared" si="1"/>
        <v>295.28607180353072</v>
      </c>
      <c r="F115" s="239">
        <f t="shared" si="2"/>
        <v>0.98428690601176905</v>
      </c>
    </row>
    <row r="116" spans="1:10" ht="26.25" customHeight="1" x14ac:dyDescent="0.4">
      <c r="A116" s="117" t="s">
        <v>95</v>
      </c>
      <c r="B116" s="118">
        <v>1</v>
      </c>
      <c r="C116" s="236">
        <v>5</v>
      </c>
      <c r="D116" s="237">
        <v>30389424</v>
      </c>
      <c r="E116" s="483">
        <f t="shared" si="1"/>
        <v>215.35844166321493</v>
      </c>
      <c r="F116" s="239">
        <f t="shared" si="2"/>
        <v>0.71786147221071639</v>
      </c>
    </row>
    <row r="117" spans="1:10" ht="26.25" customHeight="1" x14ac:dyDescent="0.4">
      <c r="A117" s="117" t="s">
        <v>97</v>
      </c>
      <c r="B117" s="118">
        <v>1</v>
      </c>
      <c r="C117" s="240">
        <v>6</v>
      </c>
      <c r="D117" s="241">
        <v>33629726</v>
      </c>
      <c r="E117" s="484">
        <f t="shared" si="1"/>
        <v>238.32124573736252</v>
      </c>
      <c r="F117" s="242">
        <f t="shared" si="2"/>
        <v>0.7944041524578751</v>
      </c>
    </row>
    <row r="118" spans="1:10" ht="26.25" customHeight="1" x14ac:dyDescent="0.4">
      <c r="A118" s="117" t="s">
        <v>98</v>
      </c>
      <c r="B118" s="118">
        <v>1</v>
      </c>
      <c r="C118" s="236"/>
      <c r="D118" s="217"/>
      <c r="E118" s="198"/>
      <c r="F118" s="243"/>
    </row>
    <row r="119" spans="1:10" ht="26.25" customHeight="1" x14ac:dyDescent="0.4">
      <c r="A119" s="117" t="s">
        <v>99</v>
      </c>
      <c r="B119" s="118">
        <v>1</v>
      </c>
      <c r="C119" s="236"/>
      <c r="D119" s="437"/>
      <c r="E119" s="244" t="s">
        <v>68</v>
      </c>
      <c r="F119" s="485">
        <f>AVERAGE(F112:F117)</f>
        <v>0.87500132295949429</v>
      </c>
    </row>
    <row r="120" spans="1:10" ht="19.5" customHeight="1" thickBot="1" x14ac:dyDescent="0.35">
      <c r="A120" s="117" t="s">
        <v>100</v>
      </c>
      <c r="B120" s="477">
        <f>(B119/B118)*(B117/B116)*(B115/B114)*(B113/B112)*B111</f>
        <v>1000</v>
      </c>
      <c r="C120" s="246"/>
      <c r="D120" s="486"/>
      <c r="E120" s="209" t="s">
        <v>81</v>
      </c>
      <c r="F120" s="487">
        <f>STDEV(F112:F117)/F119</f>
        <v>0.12481441260673641</v>
      </c>
      <c r="I120" s="198"/>
    </row>
    <row r="121" spans="1:10" ht="19.5" thickBot="1" x14ac:dyDescent="0.35">
      <c r="A121" s="504" t="s">
        <v>75</v>
      </c>
      <c r="B121" s="505"/>
      <c r="C121" s="248"/>
      <c r="D121" s="488"/>
      <c r="E121" s="249" t="s">
        <v>18</v>
      </c>
      <c r="F121" s="231">
        <f>COUNT(F112:F117)</f>
        <v>6</v>
      </c>
      <c r="I121" s="198"/>
      <c r="J121" s="229"/>
    </row>
    <row r="122" spans="1:10" ht="19.5" customHeight="1" thickBot="1" x14ac:dyDescent="0.35">
      <c r="A122" s="506"/>
      <c r="B122" s="507"/>
      <c r="C122" s="198"/>
      <c r="D122" s="198"/>
      <c r="E122" s="198"/>
      <c r="F122" s="217"/>
      <c r="G122" s="198"/>
      <c r="H122" s="198"/>
      <c r="I122" s="198"/>
    </row>
    <row r="123" spans="1:10" ht="18.75" x14ac:dyDescent="0.3">
      <c r="A123" s="113"/>
      <c r="B123" s="113"/>
      <c r="C123" s="198"/>
      <c r="D123" s="198"/>
      <c r="E123" s="198"/>
      <c r="F123" s="217"/>
      <c r="G123" s="198"/>
      <c r="H123" s="198"/>
      <c r="I123" s="198"/>
    </row>
    <row r="124" spans="1:10" ht="18.75" x14ac:dyDescent="0.3">
      <c r="A124" s="254" t="s">
        <v>132</v>
      </c>
      <c r="B124" s="209" t="s">
        <v>120</v>
      </c>
      <c r="C124" s="508" t="str">
        <f>B20</f>
        <v xml:space="preserve">ATAZANAVIR </v>
      </c>
      <c r="D124" s="508"/>
      <c r="E124" s="198" t="s">
        <v>121</v>
      </c>
      <c r="F124" s="198"/>
      <c r="G124" s="479">
        <f>F119</f>
        <v>0.87500132295949429</v>
      </c>
      <c r="H124" s="198"/>
      <c r="I124" s="198"/>
    </row>
    <row r="125" spans="1:10" ht="18.75" x14ac:dyDescent="0.3">
      <c r="A125" s="113"/>
      <c r="B125" s="113"/>
      <c r="C125" s="198"/>
      <c r="D125" s="198"/>
      <c r="E125" s="198"/>
      <c r="F125" s="217"/>
      <c r="G125" s="198"/>
      <c r="H125" s="198"/>
      <c r="I125" s="198"/>
    </row>
    <row r="126" spans="1:10" ht="26.25" customHeight="1" x14ac:dyDescent="0.4">
      <c r="A126" s="100" t="s">
        <v>134</v>
      </c>
      <c r="B126" s="100" t="s">
        <v>152</v>
      </c>
      <c r="D126" s="480" t="s">
        <v>154</v>
      </c>
    </row>
    <row r="127" spans="1:10" ht="19.5" customHeight="1" thickBot="1" x14ac:dyDescent="0.35">
      <c r="A127" s="167"/>
      <c r="B127" s="167"/>
      <c r="C127" s="167"/>
      <c r="D127" s="167"/>
      <c r="E127" s="167"/>
    </row>
    <row r="128" spans="1:10" ht="26.25" x14ac:dyDescent="0.4">
      <c r="A128" s="115" t="s">
        <v>115</v>
      </c>
      <c r="B128" s="116">
        <v>1000</v>
      </c>
      <c r="C128" s="459" t="s">
        <v>133</v>
      </c>
      <c r="D128" s="233" t="s">
        <v>60</v>
      </c>
      <c r="E128" s="427" t="s">
        <v>117</v>
      </c>
      <c r="F128" s="235" t="s">
        <v>118</v>
      </c>
    </row>
    <row r="129" spans="1:10" ht="26.25" customHeight="1" x14ac:dyDescent="0.4">
      <c r="A129" s="117" t="s">
        <v>119</v>
      </c>
      <c r="B129" s="118">
        <v>1</v>
      </c>
      <c r="C129" s="236">
        <v>1</v>
      </c>
      <c r="D129" s="237">
        <v>42272373</v>
      </c>
      <c r="E129" s="429">
        <f t="shared" ref="E129:E134" si="3">IF(ISBLANK(D129),"-",D129/$D$105*$D$102*$B$137)</f>
        <v>299.56844113551352</v>
      </c>
      <c r="F129" s="430">
        <f>IF(ISBLANK(D129), "-", E129/$B$56)</f>
        <v>0.99856147045171173</v>
      </c>
    </row>
    <row r="130" spans="1:10" ht="26.25" customHeight="1" x14ac:dyDescent="0.4">
      <c r="A130" s="117" t="s">
        <v>92</v>
      </c>
      <c r="B130" s="118">
        <v>1</v>
      </c>
      <c r="C130" s="236">
        <v>2</v>
      </c>
      <c r="D130" s="237">
        <v>43680633</v>
      </c>
      <c r="E130" s="432">
        <f t="shared" si="3"/>
        <v>309.54825118576787</v>
      </c>
      <c r="F130" s="433">
        <f t="shared" ref="F130:F134" si="4">IF(ISBLANK(D130), "-", E130/$B$56)</f>
        <v>1.0318275039525595</v>
      </c>
    </row>
    <row r="131" spans="1:10" ht="26.25" customHeight="1" x14ac:dyDescent="0.4">
      <c r="A131" s="117" t="s">
        <v>93</v>
      </c>
      <c r="B131" s="118">
        <v>1</v>
      </c>
      <c r="C131" s="236">
        <v>3</v>
      </c>
      <c r="D131" s="237">
        <v>42390857</v>
      </c>
      <c r="E131" s="432">
        <f t="shared" si="3"/>
        <v>300.40809277228112</v>
      </c>
      <c r="F131" s="433">
        <f t="shared" si="4"/>
        <v>1.0013603092409371</v>
      </c>
    </row>
    <row r="132" spans="1:10" ht="26.25" customHeight="1" x14ac:dyDescent="0.4">
      <c r="A132" s="117" t="s">
        <v>94</v>
      </c>
      <c r="B132" s="118">
        <v>1</v>
      </c>
      <c r="C132" s="236">
        <v>4</v>
      </c>
      <c r="D132" s="237">
        <v>42961098</v>
      </c>
      <c r="E132" s="432">
        <f t="shared" si="3"/>
        <v>304.44917670768154</v>
      </c>
      <c r="F132" s="433">
        <f t="shared" si="4"/>
        <v>1.0148305890256051</v>
      </c>
    </row>
    <row r="133" spans="1:10" ht="26.25" customHeight="1" x14ac:dyDescent="0.4">
      <c r="A133" s="117" t="s">
        <v>95</v>
      </c>
      <c r="B133" s="118">
        <v>1</v>
      </c>
      <c r="C133" s="236">
        <v>5</v>
      </c>
      <c r="D133" s="237">
        <v>39759464</v>
      </c>
      <c r="E133" s="432">
        <f t="shared" si="3"/>
        <v>281.76039823606709</v>
      </c>
      <c r="F133" s="433">
        <f t="shared" si="4"/>
        <v>0.939201327453557</v>
      </c>
    </row>
    <row r="134" spans="1:10" ht="26.25" customHeight="1" x14ac:dyDescent="0.4">
      <c r="A134" s="117" t="s">
        <v>97</v>
      </c>
      <c r="B134" s="118">
        <v>1</v>
      </c>
      <c r="C134" s="240">
        <v>6</v>
      </c>
      <c r="D134" s="241">
        <v>38379841</v>
      </c>
      <c r="E134" s="435">
        <f t="shared" si="3"/>
        <v>271.9835278563346</v>
      </c>
      <c r="F134" s="436">
        <f t="shared" si="4"/>
        <v>0.90661175952111539</v>
      </c>
    </row>
    <row r="135" spans="1:10" ht="26.25" customHeight="1" x14ac:dyDescent="0.4">
      <c r="A135" s="117" t="s">
        <v>98</v>
      </c>
      <c r="B135" s="118">
        <v>1</v>
      </c>
      <c r="C135" s="236"/>
      <c r="D135" s="217"/>
      <c r="E135" s="198"/>
      <c r="F135" s="243"/>
    </row>
    <row r="136" spans="1:10" ht="26.25" customHeight="1" x14ac:dyDescent="0.4">
      <c r="A136" s="117" t="s">
        <v>99</v>
      </c>
      <c r="B136" s="118">
        <v>1</v>
      </c>
      <c r="C136" s="236"/>
      <c r="D136" s="437"/>
      <c r="E136" s="244" t="s">
        <v>68</v>
      </c>
      <c r="F136" s="245">
        <f>AVERAGE(F129:F134)</f>
        <v>0.98206549327424764</v>
      </c>
    </row>
    <row r="137" spans="1:10" ht="27" customHeight="1" thickBot="1" x14ac:dyDescent="0.45">
      <c r="A137" s="117" t="s">
        <v>100</v>
      </c>
      <c r="B137" s="118">
        <f>(B136/B135)*(B134/B133)*(B132/B131)*(B130/B129)*B128</f>
        <v>1000</v>
      </c>
      <c r="C137" s="246"/>
      <c r="D137" s="486"/>
      <c r="E137" s="209" t="s">
        <v>81</v>
      </c>
      <c r="F137" s="247">
        <f>STDEV(F129:F134)/F136</f>
        <v>4.9309161857837305E-2</v>
      </c>
      <c r="I137" s="198"/>
    </row>
    <row r="138" spans="1:10" ht="27" thickBot="1" x14ac:dyDescent="0.45">
      <c r="A138" s="504" t="s">
        <v>75</v>
      </c>
      <c r="B138" s="505"/>
      <c r="C138" s="248"/>
      <c r="D138" s="488"/>
      <c r="E138" s="249" t="s">
        <v>18</v>
      </c>
      <c r="F138" s="250">
        <f>COUNT(F129:F134)</f>
        <v>6</v>
      </c>
      <c r="I138" s="198"/>
      <c r="J138" s="229"/>
    </row>
    <row r="139" spans="1:10" ht="19.5" customHeight="1" thickBot="1" x14ac:dyDescent="0.35">
      <c r="A139" s="506"/>
      <c r="B139" s="507"/>
      <c r="C139" s="198"/>
      <c r="D139" s="198"/>
      <c r="E139" s="198"/>
      <c r="F139" s="217"/>
      <c r="G139" s="198"/>
      <c r="H139" s="198"/>
      <c r="I139" s="198"/>
    </row>
    <row r="140" spans="1:10" ht="18.75" x14ac:dyDescent="0.3">
      <c r="A140" s="113"/>
      <c r="B140" s="113"/>
      <c r="C140" s="198"/>
      <c r="D140" s="198"/>
      <c r="E140" s="198"/>
      <c r="F140" s="217"/>
      <c r="G140" s="198"/>
      <c r="H140" s="198"/>
      <c r="I140" s="198"/>
    </row>
    <row r="141" spans="1:10" ht="26.25" customHeight="1" x14ac:dyDescent="0.4">
      <c r="A141" s="254" t="s">
        <v>132</v>
      </c>
      <c r="B141" s="209" t="s">
        <v>120</v>
      </c>
      <c r="C141" s="508" t="str">
        <f>B20</f>
        <v xml:space="preserve">ATAZANAVIR </v>
      </c>
      <c r="D141" s="508"/>
      <c r="E141" s="198" t="s">
        <v>121</v>
      </c>
      <c r="F141" s="198"/>
      <c r="G141" s="199">
        <f>F136</f>
        <v>0.98206549327424764</v>
      </c>
      <c r="H141" s="198"/>
      <c r="I141" s="198"/>
    </row>
    <row r="142" spans="1:10" ht="19.5" thickBot="1" x14ac:dyDescent="0.35">
      <c r="A142" s="209"/>
      <c r="B142" s="209"/>
      <c r="C142" s="209"/>
      <c r="D142" s="209"/>
      <c r="E142" s="209"/>
      <c r="F142" s="198"/>
      <c r="G142" s="479"/>
      <c r="H142" s="198"/>
      <c r="I142" s="198"/>
    </row>
    <row r="143" spans="1:10" ht="18.75" x14ac:dyDescent="0.3">
      <c r="B143" s="509" t="s">
        <v>23</v>
      </c>
      <c r="C143" s="509"/>
      <c r="E143" s="463" t="s">
        <v>24</v>
      </c>
      <c r="F143" s="253"/>
      <c r="G143" s="509" t="s">
        <v>25</v>
      </c>
      <c r="H143" s="509"/>
    </row>
    <row r="144" spans="1:10" ht="18.75" x14ac:dyDescent="0.3">
      <c r="A144" s="254" t="s">
        <v>26</v>
      </c>
      <c r="B144" s="489"/>
      <c r="C144" s="489"/>
      <c r="E144" s="256"/>
      <c r="F144" s="198"/>
      <c r="G144" s="256"/>
      <c r="H144" s="256"/>
    </row>
    <row r="145" spans="1:9" ht="18.75" x14ac:dyDescent="0.3">
      <c r="A145" s="254" t="s">
        <v>27</v>
      </c>
      <c r="B145" s="490"/>
      <c r="C145" s="490"/>
      <c r="E145" s="257"/>
      <c r="F145" s="198"/>
      <c r="G145" s="258"/>
      <c r="H145" s="258"/>
    </row>
    <row r="146" spans="1:9" ht="18.75" x14ac:dyDescent="0.3">
      <c r="A146" s="217"/>
      <c r="B146" s="217"/>
      <c r="C146" s="217"/>
      <c r="D146" s="217"/>
      <c r="E146" s="217"/>
      <c r="F146" s="194"/>
      <c r="G146" s="217"/>
      <c r="H146" s="217"/>
      <c r="I146" s="198"/>
    </row>
    <row r="147" spans="1:9" ht="18.75" x14ac:dyDescent="0.3">
      <c r="A147" s="217"/>
      <c r="B147" s="217"/>
      <c r="C147" s="217"/>
      <c r="D147" s="217"/>
      <c r="E147" s="217"/>
      <c r="F147" s="194"/>
      <c r="G147" s="217"/>
      <c r="H147" s="217"/>
      <c r="I147" s="198"/>
    </row>
    <row r="148" spans="1:9" ht="18.75" x14ac:dyDescent="0.3">
      <c r="A148" s="217"/>
      <c r="B148" s="217"/>
      <c r="C148" s="217"/>
      <c r="D148" s="217"/>
      <c r="E148" s="217"/>
      <c r="F148" s="194"/>
      <c r="G148" s="217"/>
      <c r="H148" s="217"/>
      <c r="I148" s="198"/>
    </row>
    <row r="149" spans="1:9" ht="18.75" x14ac:dyDescent="0.3">
      <c r="A149" s="217"/>
      <c r="B149" s="217"/>
      <c r="C149" s="217"/>
      <c r="D149" s="217"/>
      <c r="E149" s="217"/>
      <c r="F149" s="194"/>
      <c r="G149" s="217"/>
      <c r="H149" s="217"/>
      <c r="I149" s="198"/>
    </row>
    <row r="150" spans="1:9" ht="18.75" x14ac:dyDescent="0.3">
      <c r="A150" s="217"/>
      <c r="B150" s="217"/>
      <c r="C150" s="217"/>
      <c r="D150" s="217"/>
      <c r="E150" s="217"/>
      <c r="F150" s="194"/>
      <c r="G150" s="217"/>
      <c r="H150" s="217"/>
      <c r="I150" s="198"/>
    </row>
    <row r="151" spans="1:9" ht="18.75" x14ac:dyDescent="0.3">
      <c r="A151" s="217"/>
      <c r="B151" s="217"/>
      <c r="C151" s="217"/>
      <c r="D151" s="217"/>
      <c r="E151" s="217"/>
      <c r="F151" s="194"/>
      <c r="G151" s="217"/>
      <c r="H151" s="217"/>
      <c r="I151" s="198"/>
    </row>
    <row r="152" spans="1:9" ht="18.75" x14ac:dyDescent="0.3">
      <c r="A152" s="217"/>
      <c r="B152" s="217"/>
      <c r="C152" s="217"/>
      <c r="D152" s="217"/>
      <c r="E152" s="217"/>
      <c r="F152" s="194"/>
      <c r="G152" s="217"/>
      <c r="H152" s="217"/>
      <c r="I152" s="198"/>
    </row>
    <row r="153" spans="1:9" ht="18.75" x14ac:dyDescent="0.3">
      <c r="A153" s="217"/>
      <c r="B153" s="217"/>
      <c r="C153" s="217"/>
      <c r="D153" s="217"/>
      <c r="E153" s="217"/>
      <c r="F153" s="194"/>
      <c r="G153" s="217"/>
      <c r="H153" s="217"/>
      <c r="I153" s="198"/>
    </row>
    <row r="154" spans="1:9" ht="18.75" x14ac:dyDescent="0.3">
      <c r="A154" s="217"/>
      <c r="B154" s="217"/>
      <c r="C154" s="217"/>
      <c r="D154" s="217"/>
      <c r="E154" s="217"/>
      <c r="F154" s="194"/>
      <c r="G154" s="217"/>
      <c r="H154" s="217"/>
      <c r="I154" s="198"/>
    </row>
    <row r="217" spans="1:1" x14ac:dyDescent="0.25">
      <c r="A217" s="220">
        <v>0</v>
      </c>
    </row>
  </sheetData>
  <mergeCells count="29">
    <mergeCell ref="B143:C143"/>
    <mergeCell ref="G143:H143"/>
    <mergeCell ref="C124:D124"/>
    <mergeCell ref="A138:B139"/>
    <mergeCell ref="C141:D141"/>
    <mergeCell ref="A121:B122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workbookViewId="0">
      <selection activeCell="E24" sqref="E24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4" width="25.85546875" style="220" customWidth="1"/>
    <col min="5" max="5" width="25.7109375" style="220" customWidth="1"/>
    <col min="6" max="6" width="23.140625" style="220" customWidth="1"/>
    <col min="7" max="7" width="28.42578125" style="220" customWidth="1"/>
    <col min="8" max="8" width="21.5703125" style="220" customWidth="1"/>
    <col min="9" max="9" width="9.140625" style="220" customWidth="1"/>
    <col min="10" max="16384" width="9.140625" style="38"/>
  </cols>
  <sheetData>
    <row r="1" spans="1:6" s="38" customFormat="1" ht="18.75" x14ac:dyDescent="0.3">
      <c r="A1" s="492" t="s">
        <v>156</v>
      </c>
      <c r="B1" s="492"/>
      <c r="C1" s="492"/>
      <c r="D1" s="492"/>
      <c r="E1" s="492"/>
      <c r="F1" s="220"/>
    </row>
    <row r="2" spans="1:6" s="38" customFormat="1" ht="16.5" x14ac:dyDescent="0.3">
      <c r="A2" s="83" t="s">
        <v>1</v>
      </c>
      <c r="B2" s="52" t="s">
        <v>155</v>
      </c>
      <c r="C2" s="220"/>
      <c r="D2" s="220"/>
      <c r="E2" s="220"/>
      <c r="F2" s="220"/>
    </row>
    <row r="3" spans="1:6" s="38" customFormat="1" ht="16.5" x14ac:dyDescent="0.3">
      <c r="A3" s="6" t="s">
        <v>2</v>
      </c>
      <c r="B3" s="6"/>
      <c r="C3" s="220"/>
      <c r="D3" s="7"/>
      <c r="E3" s="65"/>
      <c r="F3" s="220"/>
    </row>
    <row r="4" spans="1:6" s="38" customFormat="1" ht="16.5" x14ac:dyDescent="0.3">
      <c r="A4" s="68" t="s">
        <v>3</v>
      </c>
      <c r="B4" s="6" t="s">
        <v>125</v>
      </c>
      <c r="C4" s="65"/>
      <c r="D4" s="65"/>
      <c r="E4" s="65"/>
      <c r="F4" s="220"/>
    </row>
    <row r="5" spans="1:6" s="38" customFormat="1" ht="16.5" x14ac:dyDescent="0.3">
      <c r="A5" s="68" t="s">
        <v>5</v>
      </c>
      <c r="B5" s="10">
        <v>99.3</v>
      </c>
      <c r="C5" s="65"/>
      <c r="D5" s="65"/>
      <c r="E5" s="65"/>
      <c r="F5" s="220"/>
    </row>
    <row r="6" spans="1:6" s="38" customFormat="1" ht="16.5" x14ac:dyDescent="0.3">
      <c r="A6" s="6" t="s">
        <v>7</v>
      </c>
      <c r="B6" s="10">
        <v>16.079999999999998</v>
      </c>
      <c r="C6" s="65"/>
      <c r="D6" s="65"/>
      <c r="E6" s="65"/>
      <c r="F6" s="220"/>
    </row>
    <row r="7" spans="1:6" s="38" customFormat="1" ht="16.5" x14ac:dyDescent="0.3">
      <c r="A7" s="6" t="s">
        <v>9</v>
      </c>
      <c r="B7" s="11">
        <f>B6/50</f>
        <v>0.32159999999999994</v>
      </c>
      <c r="C7" s="65"/>
      <c r="D7" s="65"/>
      <c r="E7" s="65"/>
      <c r="F7" s="220"/>
    </row>
    <row r="8" spans="1:6" s="38" customFormat="1" ht="16.5" x14ac:dyDescent="0.3">
      <c r="A8" s="14" t="s">
        <v>11</v>
      </c>
      <c r="B8" s="13" t="s">
        <v>12</v>
      </c>
      <c r="C8" s="14" t="s">
        <v>13</v>
      </c>
      <c r="D8" s="14" t="s">
        <v>14</v>
      </c>
      <c r="E8" s="14" t="s">
        <v>15</v>
      </c>
      <c r="F8" s="220"/>
    </row>
    <row r="9" spans="1:6" s="38" customFormat="1" ht="16.5" x14ac:dyDescent="0.3">
      <c r="A9" s="15">
        <v>1</v>
      </c>
      <c r="B9" s="16">
        <v>39824625</v>
      </c>
      <c r="C9" s="16">
        <v>3290</v>
      </c>
      <c r="D9" s="17">
        <v>0.94</v>
      </c>
      <c r="E9" s="18">
        <v>4.12</v>
      </c>
      <c r="F9" s="220"/>
    </row>
    <row r="10" spans="1:6" s="38" customFormat="1" ht="16.5" x14ac:dyDescent="0.3">
      <c r="A10" s="15">
        <v>2</v>
      </c>
      <c r="B10" s="16">
        <v>39798905</v>
      </c>
      <c r="C10" s="16">
        <v>3346</v>
      </c>
      <c r="D10" s="17">
        <v>0.95</v>
      </c>
      <c r="E10" s="17">
        <v>4.12</v>
      </c>
      <c r="F10" s="220"/>
    </row>
    <row r="11" spans="1:6" s="38" customFormat="1" ht="16.5" x14ac:dyDescent="0.3">
      <c r="A11" s="15">
        <v>3</v>
      </c>
      <c r="B11" s="16">
        <v>39787043</v>
      </c>
      <c r="C11" s="16">
        <v>3352</v>
      </c>
      <c r="D11" s="17">
        <v>0.94</v>
      </c>
      <c r="E11" s="17">
        <v>4.12</v>
      </c>
      <c r="F11" s="220"/>
    </row>
    <row r="12" spans="1:6" s="38" customFormat="1" ht="16.5" x14ac:dyDescent="0.3">
      <c r="A12" s="15">
        <v>4</v>
      </c>
      <c r="B12" s="16">
        <v>39787614</v>
      </c>
      <c r="C12" s="16">
        <v>3327</v>
      </c>
      <c r="D12" s="17">
        <v>0.94</v>
      </c>
      <c r="E12" s="17">
        <v>4.12</v>
      </c>
      <c r="F12" s="220"/>
    </row>
    <row r="13" spans="1:6" s="38" customFormat="1" ht="16.5" x14ac:dyDescent="0.3">
      <c r="A13" s="15">
        <v>5</v>
      </c>
      <c r="B13" s="16">
        <v>39780857</v>
      </c>
      <c r="C13" s="16">
        <v>3360</v>
      </c>
      <c r="D13" s="17">
        <v>0.94</v>
      </c>
      <c r="E13" s="17">
        <v>4.12</v>
      </c>
      <c r="F13" s="220"/>
    </row>
    <row r="14" spans="1:6" s="38" customFormat="1" ht="16.5" x14ac:dyDescent="0.3">
      <c r="A14" s="15">
        <v>6</v>
      </c>
      <c r="B14" s="19">
        <v>39650703</v>
      </c>
      <c r="C14" s="19">
        <v>3352</v>
      </c>
      <c r="D14" s="20">
        <v>0.96</v>
      </c>
      <c r="E14" s="20">
        <v>4.12</v>
      </c>
      <c r="F14" s="220"/>
    </row>
    <row r="15" spans="1:6" s="38" customFormat="1" ht="16.5" x14ac:dyDescent="0.3">
      <c r="A15" s="21" t="s">
        <v>16</v>
      </c>
      <c r="B15" s="22">
        <f>AVERAGE(B9:B14)</f>
        <v>39771624.5</v>
      </c>
      <c r="C15" s="23">
        <f>AVERAGE(C9:C14)</f>
        <v>3337.8333333333335</v>
      </c>
      <c r="D15" s="24">
        <f>AVERAGE(D9:D14)</f>
        <v>0.94499999999999995</v>
      </c>
      <c r="E15" s="24">
        <f>AVERAGE(E9:E14)</f>
        <v>4.12</v>
      </c>
      <c r="F15" s="220"/>
    </row>
    <row r="16" spans="1:6" s="38" customFormat="1" ht="16.5" x14ac:dyDescent="0.3">
      <c r="A16" s="25" t="s">
        <v>17</v>
      </c>
      <c r="B16" s="26">
        <f>(STDEV(B9:B14)/B15)</f>
        <v>1.5398829496750281E-3</v>
      </c>
      <c r="C16" s="27"/>
      <c r="D16" s="27"/>
      <c r="E16" s="28"/>
      <c r="F16" s="220"/>
    </row>
    <row r="17" spans="1:6" s="220" customFormat="1" ht="16.5" x14ac:dyDescent="0.3">
      <c r="A17" s="29" t="s">
        <v>18</v>
      </c>
      <c r="B17" s="30">
        <f>COUNT(B9:B14)</f>
        <v>6</v>
      </c>
      <c r="C17" s="31"/>
      <c r="D17" s="66"/>
      <c r="E17" s="33"/>
    </row>
    <row r="18" spans="1:6" s="220" customFormat="1" ht="16.5" x14ac:dyDescent="0.3">
      <c r="A18" s="68" t="s">
        <v>19</v>
      </c>
      <c r="B18" s="37" t="s">
        <v>20</v>
      </c>
      <c r="C18" s="36"/>
      <c r="D18" s="36"/>
      <c r="E18" s="36"/>
    </row>
    <row r="19" spans="1:6" s="38" customFormat="1" ht="16.5" x14ac:dyDescent="0.3">
      <c r="A19" s="68"/>
      <c r="B19" s="37" t="s">
        <v>21</v>
      </c>
      <c r="C19" s="36"/>
      <c r="D19" s="36"/>
      <c r="E19" s="36"/>
      <c r="F19" s="220"/>
    </row>
    <row r="20" spans="1:6" s="38" customFormat="1" ht="16.5" x14ac:dyDescent="0.3">
      <c r="A20" s="68"/>
      <c r="B20" s="37" t="s">
        <v>22</v>
      </c>
      <c r="C20" s="36"/>
      <c r="D20" s="36"/>
      <c r="E20" s="36"/>
      <c r="F20" s="220"/>
    </row>
    <row r="21" spans="1:6" s="38" customFormat="1" ht="15.75" x14ac:dyDescent="0.25">
      <c r="A21" s="456" t="s">
        <v>146</v>
      </c>
      <c r="B21" s="65"/>
      <c r="C21" s="65"/>
      <c r="D21" s="65"/>
      <c r="E21" s="65"/>
      <c r="F21" s="220"/>
    </row>
    <row r="22" spans="1:6" s="38" customFormat="1" ht="16.5" x14ac:dyDescent="0.3">
      <c r="A22" s="83" t="s">
        <v>1</v>
      </c>
      <c r="B22" s="52" t="s">
        <v>139</v>
      </c>
      <c r="C22" s="220"/>
      <c r="D22" s="220"/>
      <c r="E22" s="220"/>
      <c r="F22" s="220"/>
    </row>
    <row r="23" spans="1:6" s="38" customFormat="1" ht="16.5" x14ac:dyDescent="0.3">
      <c r="A23" s="68" t="s">
        <v>3</v>
      </c>
      <c r="B23" s="6" t="s">
        <v>122</v>
      </c>
      <c r="C23" s="65"/>
      <c r="D23" s="65"/>
      <c r="E23" s="65"/>
      <c r="F23" s="220"/>
    </row>
    <row r="24" spans="1:6" s="38" customFormat="1" ht="16.5" x14ac:dyDescent="0.3">
      <c r="A24" s="68" t="s">
        <v>5</v>
      </c>
      <c r="B24" s="10">
        <v>99.3</v>
      </c>
      <c r="C24" s="65"/>
      <c r="D24" s="65"/>
      <c r="E24" s="65"/>
      <c r="F24" s="220"/>
    </row>
    <row r="25" spans="1:6" s="38" customFormat="1" ht="16.5" x14ac:dyDescent="0.3">
      <c r="A25" s="6" t="s">
        <v>7</v>
      </c>
      <c r="B25" s="10">
        <v>11.77</v>
      </c>
      <c r="C25" s="65"/>
      <c r="D25" s="65"/>
      <c r="E25" s="65"/>
      <c r="F25" s="220"/>
    </row>
    <row r="26" spans="1:6" s="38" customFormat="1" ht="16.5" x14ac:dyDescent="0.3">
      <c r="A26" s="6" t="s">
        <v>9</v>
      </c>
      <c r="B26" s="11">
        <f>B25/100</f>
        <v>0.1177</v>
      </c>
      <c r="C26" s="65"/>
      <c r="D26" s="65"/>
      <c r="E26" s="65"/>
      <c r="F26" s="220"/>
    </row>
    <row r="27" spans="1:6" s="38" customFormat="1" ht="16.5" x14ac:dyDescent="0.3">
      <c r="A27" s="14" t="s">
        <v>11</v>
      </c>
      <c r="B27" s="13" t="s">
        <v>12</v>
      </c>
      <c r="C27" s="14" t="s">
        <v>13</v>
      </c>
      <c r="D27" s="14" t="s">
        <v>14</v>
      </c>
      <c r="E27" s="14" t="s">
        <v>15</v>
      </c>
      <c r="F27" s="220"/>
    </row>
    <row r="28" spans="1:6" s="38" customFormat="1" ht="16.5" x14ac:dyDescent="0.3">
      <c r="A28" s="15">
        <v>1</v>
      </c>
      <c r="B28" s="16">
        <v>53214981</v>
      </c>
      <c r="C28" s="16">
        <v>7469</v>
      </c>
      <c r="D28" s="17">
        <v>1.04</v>
      </c>
      <c r="E28" s="18">
        <v>7.07</v>
      </c>
      <c r="F28" s="220"/>
    </row>
    <row r="29" spans="1:6" s="38" customFormat="1" ht="16.5" x14ac:dyDescent="0.3">
      <c r="A29" s="15">
        <v>2</v>
      </c>
      <c r="B29" s="16">
        <v>53209643</v>
      </c>
      <c r="C29" s="16">
        <v>7483</v>
      </c>
      <c r="D29" s="17">
        <v>1.06</v>
      </c>
      <c r="E29" s="17">
        <v>7.05</v>
      </c>
      <c r="F29" s="220"/>
    </row>
    <row r="30" spans="1:6" s="38" customFormat="1" ht="16.5" x14ac:dyDescent="0.3">
      <c r="A30" s="15">
        <v>3</v>
      </c>
      <c r="B30" s="16">
        <v>53432706</v>
      </c>
      <c r="C30" s="16">
        <v>7493</v>
      </c>
      <c r="D30" s="17">
        <v>1.06</v>
      </c>
      <c r="E30" s="17">
        <v>7.07</v>
      </c>
      <c r="F30" s="220"/>
    </row>
    <row r="31" spans="1:6" s="38" customFormat="1" ht="16.5" x14ac:dyDescent="0.3">
      <c r="A31" s="15">
        <v>4</v>
      </c>
      <c r="B31" s="16">
        <v>53133704</v>
      </c>
      <c r="C31" s="16">
        <v>7454</v>
      </c>
      <c r="D31" s="17">
        <v>1.05</v>
      </c>
      <c r="E31" s="17">
        <v>7.08</v>
      </c>
      <c r="F31" s="220"/>
    </row>
    <row r="32" spans="1:6" s="38" customFormat="1" ht="16.5" x14ac:dyDescent="0.3">
      <c r="A32" s="15">
        <v>5</v>
      </c>
      <c r="B32" s="16">
        <v>53035333</v>
      </c>
      <c r="C32" s="16">
        <v>7425</v>
      </c>
      <c r="D32" s="17">
        <v>1.05</v>
      </c>
      <c r="E32" s="17">
        <v>7.07</v>
      </c>
      <c r="F32" s="220"/>
    </row>
    <row r="33" spans="1:7" ht="16.5" customHeight="1" x14ac:dyDescent="0.3">
      <c r="A33" s="15">
        <v>6</v>
      </c>
      <c r="B33" s="19">
        <v>53377391</v>
      </c>
      <c r="C33" s="19">
        <v>7393</v>
      </c>
      <c r="D33" s="20">
        <v>1.05</v>
      </c>
      <c r="E33" s="20">
        <v>7.08</v>
      </c>
    </row>
    <row r="34" spans="1:7" ht="16.5" customHeight="1" x14ac:dyDescent="0.3">
      <c r="A34" s="21" t="s">
        <v>16</v>
      </c>
      <c r="B34" s="22">
        <f>AVERAGE(B28:B33)</f>
        <v>53233959.666666664</v>
      </c>
      <c r="C34" s="23">
        <f>AVERAGE(C28:C33)</f>
        <v>7452.833333333333</v>
      </c>
      <c r="D34" s="24">
        <f>AVERAGE(D28:D33)</f>
        <v>1.0516666666666665</v>
      </c>
      <c r="E34" s="24">
        <f>AVERAGE(E28:E33)</f>
        <v>7.07</v>
      </c>
    </row>
    <row r="35" spans="1:7" ht="16.5" customHeight="1" x14ac:dyDescent="0.3">
      <c r="A35" s="25" t="s">
        <v>17</v>
      </c>
      <c r="B35" s="26">
        <f>(STDEV(B28:B33)/B34)</f>
        <v>2.7929436522954793E-3</v>
      </c>
      <c r="C35" s="27"/>
      <c r="D35" s="27"/>
      <c r="E35" s="28"/>
    </row>
    <row r="36" spans="1:7" s="220" customFormat="1" ht="16.5" customHeight="1" x14ac:dyDescent="0.3">
      <c r="A36" s="29" t="s">
        <v>18</v>
      </c>
      <c r="B36" s="30">
        <f>COUNT(B28:B33)</f>
        <v>6</v>
      </c>
      <c r="C36" s="31"/>
      <c r="D36" s="66"/>
      <c r="E36" s="33"/>
    </row>
    <row r="37" spans="1:7" s="220" customFormat="1" ht="16.5" customHeight="1" x14ac:dyDescent="0.3">
      <c r="A37" s="68" t="s">
        <v>19</v>
      </c>
      <c r="B37" s="37" t="s">
        <v>20</v>
      </c>
      <c r="C37" s="36"/>
      <c r="D37" s="36"/>
      <c r="E37" s="36"/>
    </row>
    <row r="38" spans="1:7" ht="16.5" customHeight="1" x14ac:dyDescent="0.3">
      <c r="A38" s="68"/>
      <c r="B38" s="37" t="s">
        <v>21</v>
      </c>
      <c r="C38" s="36"/>
      <c r="D38" s="36"/>
      <c r="E38" s="36"/>
    </row>
    <row r="39" spans="1:7" ht="16.5" customHeight="1" x14ac:dyDescent="0.3">
      <c r="A39" s="68"/>
      <c r="B39" s="37" t="s">
        <v>22</v>
      </c>
      <c r="C39" s="36"/>
      <c r="D39" s="36"/>
      <c r="E39" s="36"/>
    </row>
    <row r="40" spans="1:7" ht="16.5" customHeight="1" x14ac:dyDescent="0.3">
      <c r="A40" s="455" t="s">
        <v>146</v>
      </c>
      <c r="C40" s="36"/>
      <c r="D40" s="36"/>
      <c r="E40" s="36"/>
    </row>
    <row r="41" spans="1:7" ht="14.25" customHeight="1" thickBot="1" x14ac:dyDescent="0.35">
      <c r="A41" s="68"/>
      <c r="B41" s="37"/>
      <c r="C41" s="36"/>
      <c r="D41" s="36"/>
      <c r="E41" s="36"/>
    </row>
    <row r="42" spans="1:7" ht="15" customHeight="1" x14ac:dyDescent="0.3">
      <c r="B42" s="493" t="s">
        <v>23</v>
      </c>
      <c r="C42" s="493"/>
      <c r="E42" s="458" t="s">
        <v>24</v>
      </c>
      <c r="F42" s="40"/>
      <c r="G42" s="458" t="s">
        <v>25</v>
      </c>
    </row>
    <row r="43" spans="1:7" ht="15" customHeight="1" x14ac:dyDescent="0.3">
      <c r="A43" s="41" t="s">
        <v>26</v>
      </c>
      <c r="B43" s="42"/>
      <c r="C43" s="42"/>
      <c r="E43" s="42"/>
      <c r="G43" s="42"/>
    </row>
    <row r="44" spans="1:7" ht="15" customHeight="1" x14ac:dyDescent="0.3">
      <c r="A44" s="41" t="s">
        <v>27</v>
      </c>
      <c r="B44" s="43"/>
      <c r="C44" s="43"/>
      <c r="E44" s="43"/>
      <c r="G44" s="44"/>
    </row>
  </sheetData>
  <mergeCells count="2">
    <mergeCell ref="A1:E1"/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</vt:lpstr>
      <vt:lpstr>Uniformity</vt:lpstr>
      <vt:lpstr>ritonavir</vt:lpstr>
      <vt:lpstr>Atazanavir S2</vt:lpstr>
      <vt:lpstr> RITONAVIR 2</vt:lpstr>
      <vt:lpstr>ATAZANAVIR 2</vt:lpstr>
      <vt:lpstr>SST 2</vt:lpstr>
      <vt:lpstr>' RITONAVIR 2'!Print_Area</vt:lpstr>
      <vt:lpstr>'Atazanavir S2'!Print_Area</vt:lpstr>
      <vt:lpstr>ritonavir!Print_Area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2016-04-07T07:56:25Z</cp:lastPrinted>
  <dcterms:created xsi:type="dcterms:W3CDTF">2005-07-05T10:19:27Z</dcterms:created>
  <dcterms:modified xsi:type="dcterms:W3CDTF">2016-04-07T08:41:39Z</dcterms:modified>
</cp:coreProperties>
</file>