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10" windowWidth="15015" windowHeight="7110" activeTab="5"/>
  </bookViews>
  <sheets>
    <sheet name="SST" sheetId="19" r:id="rId1"/>
    <sheet name="ritonavir" sheetId="3" r:id="rId2"/>
    <sheet name="Uniformity" sheetId="15" r:id="rId3"/>
    <sheet name="atazanavir S2" sheetId="16" r:id="rId4"/>
    <sheet name="RITONAVIR 2" sheetId="17" r:id="rId5"/>
    <sheet name="ATAZANAVIR 2" sheetId="18" r:id="rId6"/>
    <sheet name="SST 2" sheetId="20" r:id="rId7"/>
  </sheets>
  <externalReferences>
    <externalReference r:id="rId8"/>
    <externalReference r:id="rId9"/>
    <externalReference r:id="rId10"/>
  </externalReferences>
  <definedNames>
    <definedName name="_xlnm.Print_Area" localSheetId="0">SST!$A$1:$G$80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36" i="20" l="1"/>
  <c r="E34" i="20"/>
  <c r="D34" i="20"/>
  <c r="C34" i="20"/>
  <c r="B34" i="20"/>
  <c r="B35" i="20" s="1"/>
  <c r="B26" i="20"/>
  <c r="B17" i="20"/>
  <c r="E15" i="20"/>
  <c r="D15" i="20"/>
  <c r="C15" i="20"/>
  <c r="B15" i="20"/>
  <c r="B16" i="20" s="1"/>
  <c r="B7" i="20"/>
  <c r="B74" i="19"/>
  <c r="E72" i="19"/>
  <c r="D72" i="19"/>
  <c r="C72" i="19"/>
  <c r="B72" i="19"/>
  <c r="B73" i="19" s="1"/>
  <c r="B63" i="19"/>
  <c r="B64" i="19" s="1"/>
  <c r="B55" i="19"/>
  <c r="E53" i="19"/>
  <c r="D53" i="19"/>
  <c r="C53" i="19"/>
  <c r="B53" i="19"/>
  <c r="B54" i="19" s="1"/>
  <c r="B44" i="19"/>
  <c r="B45" i="19" s="1"/>
  <c r="B36" i="19"/>
  <c r="E34" i="19"/>
  <c r="D34" i="19"/>
  <c r="C34" i="19"/>
  <c r="B34" i="19"/>
  <c r="B35" i="19" s="1"/>
  <c r="B25" i="19"/>
  <c r="B26" i="19" s="1"/>
  <c r="B17" i="19"/>
  <c r="E15" i="19"/>
  <c r="D15" i="19"/>
  <c r="C15" i="19"/>
  <c r="B15" i="19"/>
  <c r="B16" i="19" s="1"/>
  <c r="B6" i="19"/>
  <c r="B7" i="19" s="1"/>
  <c r="E126" i="18" l="1"/>
  <c r="F109" i="18"/>
  <c r="F126" i="17"/>
  <c r="G121" i="17"/>
  <c r="F109" i="17"/>
  <c r="C138" i="18"/>
  <c r="B134" i="18"/>
  <c r="C121" i="18"/>
  <c r="B117" i="18"/>
  <c r="D102" i="18"/>
  <c r="B99" i="18"/>
  <c r="F96" i="18"/>
  <c r="D96" i="18"/>
  <c r="G95" i="18"/>
  <c r="E95" i="18"/>
  <c r="B88" i="18"/>
  <c r="D98" i="18" s="1"/>
  <c r="B83" i="18"/>
  <c r="B82" i="18"/>
  <c r="B84" i="18" s="1"/>
  <c r="B81" i="18"/>
  <c r="B80" i="18"/>
  <c r="C76" i="18"/>
  <c r="H71" i="18"/>
  <c r="G71" i="18"/>
  <c r="B68" i="18"/>
  <c r="B69" i="18" s="1"/>
  <c r="H67" i="18"/>
  <c r="G67" i="18"/>
  <c r="H63" i="18"/>
  <c r="G63" i="18"/>
  <c r="B57" i="18"/>
  <c r="C56" i="18"/>
  <c r="B55" i="18"/>
  <c r="B45" i="18"/>
  <c r="D48" i="18" s="1"/>
  <c r="F42" i="18"/>
  <c r="D42" i="18"/>
  <c r="G41" i="18"/>
  <c r="E41" i="18"/>
  <c r="B34" i="18"/>
  <c r="D44" i="18" s="1"/>
  <c r="D45" i="18" s="1"/>
  <c r="D46" i="18" s="1"/>
  <c r="B30" i="18"/>
  <c r="C138" i="17"/>
  <c r="B134" i="17"/>
  <c r="C121" i="17"/>
  <c r="B117" i="17"/>
  <c r="D101" i="17"/>
  <c r="D102" i="17" s="1"/>
  <c r="D103" i="17" s="1"/>
  <c r="B99" i="17"/>
  <c r="F98" i="17"/>
  <c r="D98" i="17"/>
  <c r="D99" i="17" s="1"/>
  <c r="F96" i="17"/>
  <c r="D96" i="17"/>
  <c r="G95" i="17"/>
  <c r="E95" i="17"/>
  <c r="B88" i="17"/>
  <c r="B83" i="17"/>
  <c r="B82" i="17"/>
  <c r="B84" i="17" s="1"/>
  <c r="B81" i="17"/>
  <c r="B80" i="17"/>
  <c r="C76" i="17"/>
  <c r="H71" i="17"/>
  <c r="G71" i="17"/>
  <c r="B68" i="17"/>
  <c r="B69" i="17" s="1"/>
  <c r="H67" i="17"/>
  <c r="G67" i="17"/>
  <c r="H63" i="17"/>
  <c r="G63" i="17"/>
  <c r="B57" i="17"/>
  <c r="C56" i="17"/>
  <c r="B55" i="17"/>
  <c r="B45" i="17"/>
  <c r="D48" i="17" s="1"/>
  <c r="D49" i="17" s="1"/>
  <c r="F44" i="17"/>
  <c r="F45" i="17" s="1"/>
  <c r="D44" i="17"/>
  <c r="F42" i="17"/>
  <c r="D42" i="17"/>
  <c r="G41" i="17"/>
  <c r="E41" i="17"/>
  <c r="B34" i="17"/>
  <c r="B30" i="17"/>
  <c r="F98" i="18" l="1"/>
  <c r="F99" i="18" s="1"/>
  <c r="D49" i="18"/>
  <c r="F44" i="18"/>
  <c r="F45" i="18" s="1"/>
  <c r="G40" i="18" s="1"/>
  <c r="D45" i="17"/>
  <c r="D46" i="17" s="1"/>
  <c r="G38" i="18"/>
  <c r="D103" i="18"/>
  <c r="D99" i="18"/>
  <c r="D100" i="18" s="1"/>
  <c r="E39" i="18"/>
  <c r="E38" i="18"/>
  <c r="E40" i="18"/>
  <c r="G40" i="17"/>
  <c r="G39" i="17"/>
  <c r="F46" i="17"/>
  <c r="G38" i="17"/>
  <c r="E94" i="17"/>
  <c r="E92" i="17"/>
  <c r="D100" i="17"/>
  <c r="F99" i="17"/>
  <c r="G93" i="17" s="1"/>
  <c r="E93" i="17"/>
  <c r="C168" i="16"/>
  <c r="B159" i="16"/>
  <c r="B141" i="16"/>
  <c r="F138" i="16"/>
  <c r="D138" i="16"/>
  <c r="G137" i="16"/>
  <c r="E137" i="16"/>
  <c r="G136" i="16"/>
  <c r="E136" i="16"/>
  <c r="G135" i="16"/>
  <c r="E135" i="16"/>
  <c r="G134" i="16"/>
  <c r="E134" i="16"/>
  <c r="B130" i="16"/>
  <c r="F140" i="16" s="1"/>
  <c r="F141" i="16" s="1"/>
  <c r="B116" i="16"/>
  <c r="B98" i="16"/>
  <c r="G94" i="16"/>
  <c r="E94" i="16"/>
  <c r="B87" i="16"/>
  <c r="D97" i="16" s="1"/>
  <c r="B80" i="16"/>
  <c r="B79" i="16"/>
  <c r="C76" i="16"/>
  <c r="H71" i="16"/>
  <c r="G71" i="16"/>
  <c r="B68" i="16"/>
  <c r="H67" i="16"/>
  <c r="G67" i="16"/>
  <c r="H63" i="16"/>
  <c r="G63" i="16"/>
  <c r="B57" i="16"/>
  <c r="B69" i="16" s="1"/>
  <c r="C56" i="16"/>
  <c r="B55" i="16"/>
  <c r="D48" i="16"/>
  <c r="G41" i="16"/>
  <c r="E41" i="16"/>
  <c r="E40" i="16"/>
  <c r="E39" i="16"/>
  <c r="E38" i="16"/>
  <c r="B34" i="16"/>
  <c r="F100" i="18" l="1"/>
  <c r="G92" i="18"/>
  <c r="G94" i="18"/>
  <c r="G93" i="18"/>
  <c r="E94" i="18"/>
  <c r="G39" i="18"/>
  <c r="F46" i="18"/>
  <c r="G42" i="18"/>
  <c r="E93" i="18"/>
  <c r="E92" i="18"/>
  <c r="E40" i="17"/>
  <c r="E39" i="17"/>
  <c r="E38" i="17"/>
  <c r="E42" i="17" s="1"/>
  <c r="G42" i="17"/>
  <c r="D50" i="18"/>
  <c r="D52" i="18"/>
  <c r="E42" i="18"/>
  <c r="E96" i="17"/>
  <c r="G92" i="17"/>
  <c r="F100" i="17"/>
  <c r="G94" i="17"/>
  <c r="D52" i="17"/>
  <c r="D50" i="17"/>
  <c r="D144" i="16"/>
  <c r="F142" i="16"/>
  <c r="G138" i="16"/>
  <c r="F97" i="16"/>
  <c r="D145" i="16"/>
  <c r="E138" i="16"/>
  <c r="D140" i="16"/>
  <c r="D141" i="16" s="1"/>
  <c r="D142" i="16" s="1"/>
  <c r="D101" i="16"/>
  <c r="D102" i="16" s="1"/>
  <c r="F98" i="16"/>
  <c r="D49" i="16"/>
  <c r="F44" i="16"/>
  <c r="F45" i="16" s="1"/>
  <c r="D98" i="16"/>
  <c r="D146" i="16"/>
  <c r="D148" i="16"/>
  <c r="E42" i="16"/>
  <c r="B57" i="3"/>
  <c r="B68" i="3"/>
  <c r="B69" i="3" s="1"/>
  <c r="D44" i="3"/>
  <c r="D45" i="3" s="1"/>
  <c r="D46" i="3" s="1"/>
  <c r="B45" i="3"/>
  <c r="D48" i="3" s="1"/>
  <c r="B30" i="3"/>
  <c r="D50" i="15"/>
  <c r="C49" i="15"/>
  <c r="B49" i="15"/>
  <c r="C46" i="15"/>
  <c r="C50" i="15" s="1"/>
  <c r="C45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C120" i="3"/>
  <c r="D100" i="3"/>
  <c r="D101" i="3" s="1"/>
  <c r="I92" i="3"/>
  <c r="B87" i="3"/>
  <c r="F97" i="3" s="1"/>
  <c r="F98" i="3" s="1"/>
  <c r="B80" i="3"/>
  <c r="B79" i="3"/>
  <c r="C76" i="3"/>
  <c r="C56" i="3"/>
  <c r="B55" i="3"/>
  <c r="G96" i="18" l="1"/>
  <c r="D106" i="18"/>
  <c r="D104" i="18"/>
  <c r="E130" i="18" s="1"/>
  <c r="F130" i="18" s="1"/>
  <c r="E96" i="18"/>
  <c r="D106" i="17"/>
  <c r="G68" i="18"/>
  <c r="H68" i="18" s="1"/>
  <c r="G70" i="18"/>
  <c r="H70" i="18" s="1"/>
  <c r="G65" i="18"/>
  <c r="H65" i="18" s="1"/>
  <c r="G61" i="18"/>
  <c r="H61" i="18" s="1"/>
  <c r="G69" i="18"/>
  <c r="H69" i="18" s="1"/>
  <c r="G66" i="18"/>
  <c r="H66" i="18" s="1"/>
  <c r="G64" i="18"/>
  <c r="H64" i="18" s="1"/>
  <c r="G62" i="18"/>
  <c r="H62" i="18" s="1"/>
  <c r="G60" i="18"/>
  <c r="H60" i="18" s="1"/>
  <c r="D51" i="18"/>
  <c r="G68" i="17"/>
  <c r="H68" i="17" s="1"/>
  <c r="G70" i="17"/>
  <c r="H70" i="17" s="1"/>
  <c r="G69" i="17"/>
  <c r="H69" i="17" s="1"/>
  <c r="G66" i="17"/>
  <c r="H66" i="17" s="1"/>
  <c r="G64" i="17"/>
  <c r="H64" i="17" s="1"/>
  <c r="G62" i="17"/>
  <c r="H62" i="17" s="1"/>
  <c r="G60" i="17"/>
  <c r="H60" i="17" s="1"/>
  <c r="G65" i="17"/>
  <c r="H65" i="17" s="1"/>
  <c r="G61" i="17"/>
  <c r="H61" i="17" s="1"/>
  <c r="D51" i="17"/>
  <c r="G96" i="17"/>
  <c r="D104" i="17"/>
  <c r="D147" i="16"/>
  <c r="E155" i="16"/>
  <c r="F155" i="16" s="1"/>
  <c r="E151" i="16"/>
  <c r="F151" i="16" s="1"/>
  <c r="E154" i="16"/>
  <c r="F154" i="16" s="1"/>
  <c r="E153" i="16"/>
  <c r="F153" i="16" s="1"/>
  <c r="E156" i="16"/>
  <c r="F156" i="16" s="1"/>
  <c r="E152" i="16"/>
  <c r="F152" i="16" s="1"/>
  <c r="F99" i="16"/>
  <c r="G93" i="16"/>
  <c r="G92" i="16"/>
  <c r="G91" i="16"/>
  <c r="D99" i="16"/>
  <c r="E93" i="16"/>
  <c r="E91" i="16"/>
  <c r="E92" i="16"/>
  <c r="F46" i="16"/>
  <c r="G40" i="16"/>
  <c r="G38" i="16"/>
  <c r="G39" i="16"/>
  <c r="D97" i="3"/>
  <c r="D98" i="3" s="1"/>
  <c r="F99" i="3"/>
  <c r="G91" i="3"/>
  <c r="I39" i="3"/>
  <c r="G94" i="3"/>
  <c r="G92" i="3"/>
  <c r="D102" i="3"/>
  <c r="G93" i="3"/>
  <c r="F44" i="3"/>
  <c r="F45" i="3" s="1"/>
  <c r="F46" i="3" s="1"/>
  <c r="E39" i="3"/>
  <c r="D49" i="3"/>
  <c r="G41" i="3"/>
  <c r="D49" i="15"/>
  <c r="E131" i="18" l="1"/>
  <c r="F131" i="18" s="1"/>
  <c r="E114" i="18"/>
  <c r="F114" i="18" s="1"/>
  <c r="E111" i="18"/>
  <c r="F111" i="18" s="1"/>
  <c r="D105" i="18"/>
  <c r="F126" i="18"/>
  <c r="E129" i="18"/>
  <c r="F129" i="18" s="1"/>
  <c r="E113" i="18"/>
  <c r="F113" i="18" s="1"/>
  <c r="E110" i="18"/>
  <c r="F110" i="18" s="1"/>
  <c r="E128" i="18"/>
  <c r="F128" i="18" s="1"/>
  <c r="E109" i="18"/>
  <c r="E127" i="18"/>
  <c r="F127" i="18" s="1"/>
  <c r="E112" i="18"/>
  <c r="F112" i="18" s="1"/>
  <c r="H74" i="18"/>
  <c r="H72" i="18"/>
  <c r="E129" i="17"/>
  <c r="F129" i="17" s="1"/>
  <c r="E109" i="17"/>
  <c r="E130" i="17"/>
  <c r="F130" i="17" s="1"/>
  <c r="E128" i="17"/>
  <c r="F128" i="17" s="1"/>
  <c r="E126" i="17"/>
  <c r="E114" i="17"/>
  <c r="F114" i="17" s="1"/>
  <c r="E112" i="17"/>
  <c r="F112" i="17" s="1"/>
  <c r="E110" i="17"/>
  <c r="F110" i="17" s="1"/>
  <c r="D105" i="17"/>
  <c r="E131" i="17"/>
  <c r="F131" i="17" s="1"/>
  <c r="E127" i="17"/>
  <c r="F127" i="17" s="1"/>
  <c r="E113" i="17"/>
  <c r="F113" i="17" s="1"/>
  <c r="E111" i="17"/>
  <c r="F111" i="17" s="1"/>
  <c r="H74" i="17"/>
  <c r="H72" i="17"/>
  <c r="F158" i="16"/>
  <c r="F159" i="16" s="1"/>
  <c r="F160" i="16"/>
  <c r="G95" i="16"/>
  <c r="D105" i="16"/>
  <c r="D103" i="16"/>
  <c r="E95" i="16"/>
  <c r="D50" i="16"/>
  <c r="G42" i="16"/>
  <c r="D52" i="16"/>
  <c r="G40" i="3"/>
  <c r="G38" i="3"/>
  <c r="G42" i="3" s="1"/>
  <c r="G95" i="3"/>
  <c r="E40" i="3"/>
  <c r="D99" i="3"/>
  <c r="E93" i="3"/>
  <c r="E41" i="3"/>
  <c r="E38" i="3"/>
  <c r="E92" i="3"/>
  <c r="E94" i="3"/>
  <c r="E91" i="3"/>
  <c r="G39" i="3"/>
  <c r="F118" i="18" l="1"/>
  <c r="F135" i="18"/>
  <c r="F133" i="18"/>
  <c r="F134" i="18" s="1"/>
  <c r="F116" i="18"/>
  <c r="G121" i="18" s="1"/>
  <c r="D51" i="16"/>
  <c r="G65" i="16"/>
  <c r="H65" i="16" s="1"/>
  <c r="G60" i="16"/>
  <c r="H60" i="16" s="1"/>
  <c r="G70" i="16"/>
  <c r="H70" i="16" s="1"/>
  <c r="G62" i="16"/>
  <c r="H62" i="16" s="1"/>
  <c r="G69" i="16"/>
  <c r="H69" i="16" s="1"/>
  <c r="G66" i="16"/>
  <c r="H66" i="16" s="1"/>
  <c r="G61" i="16"/>
  <c r="H61" i="16" s="1"/>
  <c r="G68" i="16"/>
  <c r="H68" i="16" s="1"/>
  <c r="G64" i="16"/>
  <c r="H64" i="16" s="1"/>
  <c r="H73" i="18"/>
  <c r="G76" i="18"/>
  <c r="F118" i="17"/>
  <c r="F116" i="17"/>
  <c r="F133" i="17"/>
  <c r="F135" i="17"/>
  <c r="G76" i="17"/>
  <c r="H73" i="17"/>
  <c r="D104" i="16"/>
  <c r="E110" i="16"/>
  <c r="F110" i="16" s="1"/>
  <c r="E108" i="16"/>
  <c r="F108" i="16" s="1"/>
  <c r="E112" i="16"/>
  <c r="F112" i="16" s="1"/>
  <c r="E113" i="16"/>
  <c r="F113" i="16" s="1"/>
  <c r="E111" i="16"/>
  <c r="F111" i="16" s="1"/>
  <c r="E109" i="16"/>
  <c r="F109" i="16" s="1"/>
  <c r="D103" i="3"/>
  <c r="E95" i="3"/>
  <c r="D105" i="3"/>
  <c r="D50" i="3"/>
  <c r="E42" i="3"/>
  <c r="D52" i="3"/>
  <c r="F117" i="18" l="1"/>
  <c r="G138" i="18"/>
  <c r="H74" i="16"/>
  <c r="H73" i="16"/>
  <c r="H72" i="16"/>
  <c r="G76" i="16" s="1"/>
  <c r="F117" i="17"/>
  <c r="G138" i="17"/>
  <c r="F134" i="17"/>
  <c r="B167" i="16"/>
  <c r="F117" i="16"/>
  <c r="B165" i="16"/>
  <c r="F115" i="16"/>
  <c r="F116" i="16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66" i="3"/>
  <c r="H66" i="3" s="1"/>
  <c r="G71" i="3"/>
  <c r="H71" i="3" s="1"/>
  <c r="G64" i="3"/>
  <c r="H64" i="3" s="1"/>
  <c r="G69" i="3"/>
  <c r="H69" i="3" s="1"/>
  <c r="G62" i="3"/>
  <c r="H62" i="3" s="1"/>
  <c r="D51" i="3"/>
  <c r="G60" i="3"/>
  <c r="B166" i="16" l="1"/>
  <c r="G168" i="16"/>
  <c r="E117" i="3"/>
  <c r="F108" i="3"/>
  <c r="E115" i="3"/>
  <c r="E116" i="3" s="1"/>
  <c r="G74" i="3"/>
  <c r="G72" i="3"/>
  <c r="G73" i="3" s="1"/>
  <c r="H60" i="3"/>
  <c r="F117" i="3" l="1"/>
  <c r="F115" i="3"/>
  <c r="H74" i="3"/>
  <c r="H72" i="3"/>
  <c r="G120" i="3" l="1"/>
  <c r="F116" i="3"/>
  <c r="G76" i="3"/>
  <c r="H73" i="3"/>
</calcChain>
</file>

<file path=xl/sharedStrings.xml><?xml version="1.0" encoding="utf-8"?>
<sst xmlns="http://schemas.openxmlformats.org/spreadsheetml/2006/main" count="909" uniqueCount="159">
  <si>
    <t>Analysis Data</t>
  </si>
  <si>
    <t>Reference Substance:</t>
  </si>
  <si>
    <t>ATAZANAVIR SULFATE /RITONAVIR TABLETS</t>
  </si>
  <si>
    <t>% age Purity:</t>
  </si>
  <si>
    <t>NDQB201601711</t>
  </si>
  <si>
    <t>ATAZANAVIR SULFATE 300 mg RITONAVIR  100 mg TABLETS</t>
  </si>
  <si>
    <t>Each film coated contains: Atazanavir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</si>
  <si>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</si>
  <si>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</si>
  <si>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</si>
  <si>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</si>
  <si>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</si>
  <si>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</si>
  <si>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</si>
  <si>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</si>
  <si>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</si>
  <si>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</si>
  <si>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</si>
  <si>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</si>
  <si>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</si>
  <si>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</si>
  <si>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</si>
  <si>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</si>
  <si>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</si>
  <si>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</si>
  <si>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</si>
  <si>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</si>
  <si>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</si>
  <si>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</si>
  <si>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</si>
  <si>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</si>
  <si>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</si>
  <si>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</si>
  <si>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</si>
  <si>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</si>
  <si>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</si>
  <si>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</si>
  <si>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</si>
  <si>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</si>
  <si>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</si>
  <si>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</si>
  <si>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</si>
  <si>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</si>
  <si>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</si>
  <si>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</si>
  <si>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</si>
  <si>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</si>
  <si>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</si>
  <si>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</si>
  <si>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</si>
  <si>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</si>
  <si>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</si>
  <si>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</si>
  <si>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</si>
  <si>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</si>
  <si>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</si>
  <si>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</si>
  <si>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</si>
  <si>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</si>
  <si>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</si>
  <si>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</si>
  <si>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</si>
  <si>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</si>
  <si>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</si>
  <si>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</si>
  <si>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</si>
  <si>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</si>
  <si>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</si>
  <si>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</si>
  <si>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</si>
  <si>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</si>
  <si>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</si>
  <si>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</si>
  <si>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</si>
  <si>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</si>
  <si>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</si>
  <si>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</si>
  <si>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</si>
  <si>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</si>
  <si>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</si>
  <si>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</si>
  <si>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</si>
  <si>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</si>
  <si>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</si>
  <si>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</si>
  <si>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</si>
  <si>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</si>
  <si>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</si>
  <si>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</si>
  <si>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</si>
  <si>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</si>
  <si>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</si>
  <si>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</si>
  <si>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</si>
  <si>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</si>
  <si>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</si>
  <si>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</si>
  <si>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</si>
  <si>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</si>
  <si>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</si>
  <si>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</si>
  <si>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</si>
  <si>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</si>
  <si>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</si>
  <si>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</si>
  <si>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</si>
  <si>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</si>
  <si>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If correction for water content is NOT needed please enter 0</t>
  </si>
  <si>
    <t>Initial Standard dilution (mL):</t>
  </si>
  <si>
    <t>Desired Concetration (mg/mL):</t>
  </si>
  <si>
    <t>Each Tablet contains</t>
  </si>
  <si>
    <t>Average Tablet Content Weight (mg):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</si>
  <si>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</si>
  <si>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</si>
  <si>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</si>
  <si>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</si>
  <si>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</si>
  <si>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</si>
  <si>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</si>
  <si>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</si>
  <si>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>Atazanavir sulfate</t>
  </si>
  <si>
    <t>A48-1</t>
  </si>
  <si>
    <t xml:space="preserve">ATAZANAVIR </t>
  </si>
  <si>
    <t xml:space="preserve"> RITONAVIR </t>
  </si>
  <si>
    <t>R9-1</t>
  </si>
  <si>
    <t>Ritonavir</t>
  </si>
  <si>
    <t>Initial    Standard dilution</t>
  </si>
  <si>
    <t>Initial    Sample dilution</t>
  </si>
  <si>
    <t>Determination of Active Ingredient Dissolved after</t>
  </si>
  <si>
    <t>Each film coated tablet contains: Ritonavir 100mg</t>
  </si>
  <si>
    <t>45 Minutes</t>
  </si>
  <si>
    <t>90 Minutes</t>
  </si>
  <si>
    <t>Each film coated tablet contains: Atazanavir 300mg</t>
  </si>
  <si>
    <t>31/03/2016</t>
  </si>
  <si>
    <t>HPLC System Suitability Report</t>
  </si>
  <si>
    <t>Atazanavir 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</si>
  <si>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</si>
  <si>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</si>
  <si>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</si>
  <si>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</si>
  <si>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</si>
  <si>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</si>
  <si>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</si>
  <si>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</si>
  <si>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</si>
  <si>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</si>
  <si>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</si>
  <si>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</si>
  <si>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</si>
  <si>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</si>
  <si>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____________________________________________________________________________________________________________________________________________________</t>
  </si>
  <si>
    <t>Ritonavir Assay</t>
  </si>
  <si>
    <t>Atazanavir Dissolution</t>
  </si>
  <si>
    <t>Atazanavir Sulfate</t>
  </si>
  <si>
    <r>
      <t>__</t>
    </r>
    <r>
      <rPr>
        <sz val="12"/>
        <color rgb="FF000000"/>
        <rFont val="Book Antiqua"/>
        <family val="1"/>
      </rPr>
      <t>__________________________________________________________________________________________________________________________________________________</t>
    </r>
  </si>
  <si>
    <t>Atazanavir Dissolution (2nd run for S2)</t>
  </si>
  <si>
    <t>HPLC System Suitability Report (DISSOLUTION REPEAT)</t>
  </si>
  <si>
    <t>Atazanavir</t>
  </si>
  <si>
    <t xml:space="preserve">Ritonavir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</si>
</sst>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20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6" fillId="2" borderId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0" fontId="0" fillId="2" borderId="0" xfId="0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1" xfId="0" applyFont="1" applyFill="1" applyBorder="1" applyAlignment="1">
      <alignment horizontal="right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right"/>
    </xf>
    <xf numFmtId="0" fontId="10" fillId="3" borderId="14" xfId="0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6" xfId="0" applyNumberFormat="1" applyFont="1" applyFill="1" applyBorder="1" applyAlignment="1">
      <alignment horizontal="center"/>
    </xf>
    <xf numFmtId="169" fontId="8" fillId="2" borderId="21" xfId="0" applyNumberFormat="1" applyFont="1" applyFill="1" applyBorder="1" applyAlignment="1">
      <alignment horizontal="center"/>
    </xf>
    <xf numFmtId="0" fontId="15" fillId="2" borderId="22" xfId="0" applyFont="1" applyFill="1" applyBorder="1"/>
    <xf numFmtId="0" fontId="8" fillId="2" borderId="14" xfId="0" applyFont="1" applyFill="1" applyBorder="1" applyAlignment="1">
      <alignment horizontal="center"/>
    </xf>
    <xf numFmtId="0" fontId="10" fillId="3" borderId="13" xfId="0" applyFont="1" applyFill="1" applyBorder="1" applyAlignment="1" applyProtection="1">
      <alignment horizontal="center"/>
      <protection locked="0"/>
    </xf>
    <xf numFmtId="169" fontId="8" fillId="2" borderId="23" xfId="0" applyNumberFormat="1" applyFont="1" applyFill="1" applyBorder="1" applyAlignment="1">
      <alignment horizontal="center"/>
    </xf>
    <xf numFmtId="169" fontId="8" fillId="2" borderId="24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5" xfId="0" applyFont="1" applyFill="1" applyBorder="1" applyAlignment="1">
      <alignment horizontal="center"/>
    </xf>
    <xf numFmtId="0" fontId="10" fillId="3" borderId="26" xfId="0" applyFont="1" applyFill="1" applyBorder="1" applyAlignment="1" applyProtection="1">
      <alignment horizontal="center"/>
      <protection locked="0"/>
    </xf>
    <xf numFmtId="169" fontId="8" fillId="2" borderId="27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0" fontId="8" fillId="2" borderId="29" xfId="0" applyFont="1" applyFill="1" applyBorder="1"/>
    <xf numFmtId="0" fontId="8" fillId="2" borderId="14" xfId="0" applyFont="1" applyFill="1" applyBorder="1" applyAlignment="1">
      <alignment horizontal="right"/>
    </xf>
    <xf numFmtId="169" fontId="9" fillId="4" borderId="31" xfId="0" applyNumberFormat="1" applyFont="1" applyFill="1" applyBorder="1" applyAlignment="1">
      <alignment horizontal="center"/>
    </xf>
    <xf numFmtId="169" fontId="9" fillId="4" borderId="3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0" fillId="3" borderId="34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>
      <alignment horizontal="right"/>
    </xf>
    <xf numFmtId="2" fontId="8" fillId="4" borderId="3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5" borderId="35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4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170" fontId="8" fillId="2" borderId="0" xfId="0" applyNumberFormat="1" applyFont="1" applyFill="1"/>
    <xf numFmtId="0" fontId="8" fillId="2" borderId="2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29" xfId="0" applyFont="1" applyFill="1" applyBorder="1" applyAlignment="1">
      <alignment horizontal="right"/>
    </xf>
    <xf numFmtId="2" fontId="8" fillId="4" borderId="29" xfId="0" applyNumberFormat="1" applyFont="1" applyFill="1" applyBorder="1" applyAlignment="1">
      <alignment horizontal="center"/>
    </xf>
    <xf numFmtId="169" fontId="9" fillId="5" borderId="22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4" borderId="3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5" borderId="29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2" xfId="0" applyNumberFormat="1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0" fillId="3" borderId="11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" fontId="10" fillId="3" borderId="13" xfId="0" applyNumberFormat="1" applyFont="1" applyFill="1" applyBorder="1" applyAlignment="1" applyProtection="1">
      <alignment horizontal="center"/>
      <protection locked="0"/>
    </xf>
    <xf numFmtId="0" fontId="8" fillId="2" borderId="29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10" fontId="8" fillId="2" borderId="12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40" xfId="0" applyNumberFormat="1" applyFont="1" applyFill="1" applyBorder="1" applyAlignment="1">
      <alignment horizontal="center" vertical="center"/>
    </xf>
    <xf numFmtId="10" fontId="8" fillId="2" borderId="29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0" fillId="5" borderId="25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10" fillId="5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3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6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4" borderId="45" xfId="0" applyNumberFormat="1" applyFont="1" applyFill="1" applyBorder="1" applyAlignment="1">
      <alignment horizontal="center"/>
    </xf>
    <xf numFmtId="1" fontId="9" fillId="4" borderId="46" xfId="0" applyNumberFormat="1" applyFont="1" applyFill="1" applyBorder="1" applyAlignment="1">
      <alignment horizontal="center"/>
    </xf>
    <xf numFmtId="169" fontId="9" fillId="4" borderId="29" xfId="0" applyNumberFormat="1" applyFont="1" applyFill="1" applyBorder="1" applyAlignment="1">
      <alignment horizontal="center"/>
    </xf>
    <xf numFmtId="0" fontId="8" fillId="2" borderId="47" xfId="0" applyFont="1" applyFill="1" applyBorder="1" applyAlignment="1">
      <alignment horizontal="right"/>
    </xf>
    <xf numFmtId="0" fontId="10" fillId="3" borderId="48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2" fontId="8" fillId="4" borderId="1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5" borderId="17" xfId="0" applyNumberFormat="1" applyFont="1" applyFill="1" applyBorder="1" applyAlignment="1">
      <alignment horizontal="center"/>
    </xf>
    <xf numFmtId="170" fontId="8" fillId="4" borderId="17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5" borderId="1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49" xfId="0" applyFont="1" applyFill="1" applyBorder="1" applyAlignment="1">
      <alignment horizontal="right"/>
    </xf>
    <xf numFmtId="2" fontId="8" fillId="5" borderId="2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4" xfId="0" applyFont="1" applyFill="1" applyBorder="1" applyAlignment="1">
      <alignment horizontal="right"/>
    </xf>
    <xf numFmtId="169" fontId="9" fillId="5" borderId="3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4" borderId="35" xfId="0" applyNumberFormat="1" applyFont="1" applyFill="1" applyBorder="1" applyAlignment="1">
      <alignment horizontal="center"/>
    </xf>
    <xf numFmtId="0" fontId="9" fillId="5" borderId="36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0" fontId="8" fillId="2" borderId="21" xfId="0" applyNumberFormat="1" applyFont="1" applyFill="1" applyBorder="1" applyAlignment="1">
      <alignment horizontal="center"/>
    </xf>
    <xf numFmtId="10" fontId="8" fillId="2" borderId="24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1" fontId="10" fillId="3" borderId="27" xfId="0" applyNumberFormat="1" applyFont="1" applyFill="1" applyBorder="1" applyAlignment="1" applyProtection="1">
      <alignment horizontal="center"/>
      <protection locked="0"/>
    </xf>
    <xf numFmtId="10" fontId="8" fillId="2" borderId="28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5" borderId="17" xfId="0" applyNumberFormat="1" applyFont="1" applyFill="1" applyBorder="1" applyAlignment="1">
      <alignment horizontal="center"/>
    </xf>
    <xf numFmtId="0" fontId="8" fillId="2" borderId="13" xfId="0" applyFont="1" applyFill="1" applyBorder="1"/>
    <xf numFmtId="10" fontId="10" fillId="4" borderId="17" xfId="0" applyNumberFormat="1" applyFont="1" applyFill="1" applyBorder="1" applyAlignment="1">
      <alignment horizontal="center"/>
    </xf>
    <xf numFmtId="0" fontId="8" fillId="2" borderId="38" xfId="0" applyFont="1" applyFill="1" applyBorder="1"/>
    <xf numFmtId="0" fontId="8" fillId="2" borderId="52" xfId="0" applyFont="1" applyFill="1" applyBorder="1" applyAlignment="1">
      <alignment horizontal="right"/>
    </xf>
    <xf numFmtId="0" fontId="10" fillId="5" borderId="3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left" vertical="center" wrapText="1"/>
    </xf>
    <xf numFmtId="0" fontId="8" fillId="2" borderId="8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0" xfId="0" applyFont="1" applyFill="1" applyBorder="1"/>
    <xf numFmtId="0" fontId="8" fillId="2" borderId="10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1" xfId="0" applyNumberFormat="1" applyFont="1" applyFill="1" applyBorder="1" applyAlignment="1">
      <alignment horizontal="center"/>
    </xf>
    <xf numFmtId="170" fontId="8" fillId="2" borderId="13" xfId="0" applyNumberFormat="1" applyFont="1" applyFill="1" applyBorder="1" applyAlignment="1">
      <alignment horizontal="center"/>
    </xf>
    <xf numFmtId="170" fontId="8" fillId="2" borderId="22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0" fontId="8" fillId="2" borderId="29" xfId="0" applyNumberFormat="1" applyFont="1" applyFill="1" applyBorder="1" applyAlignment="1">
      <alignment horizontal="center"/>
    </xf>
    <xf numFmtId="10" fontId="10" fillId="4" borderId="53" xfId="0" applyNumberFormat="1" applyFont="1" applyFill="1" applyBorder="1" applyAlignment="1">
      <alignment horizontal="center"/>
    </xf>
    <xf numFmtId="170" fontId="8" fillId="2" borderId="16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27" xfId="0" applyNumberFormat="1" applyFont="1" applyFill="1" applyBorder="1" applyAlignment="1">
      <alignment horizontal="center"/>
    </xf>
    <xf numFmtId="2" fontId="10" fillId="5" borderId="25" xfId="0" applyNumberFormat="1" applyFont="1" applyFill="1" applyBorder="1" applyAlignment="1">
      <alignment horizontal="center"/>
    </xf>
    <xf numFmtId="2" fontId="10" fillId="5" borderId="1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8" xfId="0" applyFont="1" applyFill="1" applyBorder="1"/>
    <xf numFmtId="0" fontId="6" fillId="2" borderId="0" xfId="0" applyFont="1" applyFill="1" applyAlignment="1">
      <alignment horizontal="center"/>
    </xf>
    <xf numFmtId="10" fontId="6" fillId="2" borderId="8" xfId="0" applyNumberFormat="1" applyFont="1" applyFill="1" applyBorder="1"/>
    <xf numFmtId="0" fontId="21" fillId="2" borderId="0" xfId="0" applyFont="1" applyFill="1"/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0" xfId="0" applyFont="1" applyFill="1" applyBorder="1"/>
    <xf numFmtId="0" fontId="5" fillId="2" borderId="0" xfId="0" applyFont="1" applyFill="1"/>
    <xf numFmtId="0" fontId="6" fillId="2" borderId="10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8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right" vertical="center"/>
    </xf>
    <xf numFmtId="170" fontId="6" fillId="2" borderId="18" xfId="0" applyNumberFormat="1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wrapText="1"/>
    </xf>
    <xf numFmtId="164" fontId="5" fillId="2" borderId="18" xfId="0" applyNumberFormat="1" applyFont="1" applyFill="1" applyBorder="1" applyAlignment="1">
      <alignment horizontal="center" wrapText="1"/>
    </xf>
    <xf numFmtId="10" fontId="6" fillId="2" borderId="22" xfId="0" applyNumberFormat="1" applyFont="1" applyFill="1" applyBorder="1" applyAlignment="1">
      <alignment horizontal="center"/>
    </xf>
    <xf numFmtId="10" fontId="6" fillId="2" borderId="39" xfId="0" applyNumberFormat="1" applyFont="1" applyFill="1" applyBorder="1" applyAlignment="1">
      <alignment horizontal="center"/>
    </xf>
    <xf numFmtId="10" fontId="6" fillId="2" borderId="29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8" xfId="0" applyFont="1" applyFill="1" applyBorder="1" applyAlignment="1">
      <alignment horizontal="center" vertical="center"/>
    </xf>
    <xf numFmtId="165" fontId="5" fillId="2" borderId="34" xfId="0" applyNumberFormat="1" applyFont="1" applyFill="1" applyBorder="1" applyAlignment="1">
      <alignment horizontal="center"/>
    </xf>
    <xf numFmtId="165" fontId="5" fillId="2" borderId="36" xfId="0" applyNumberFormat="1" applyFont="1" applyFill="1" applyBorder="1" applyAlignment="1">
      <alignment horizontal="center"/>
    </xf>
    <xf numFmtId="2" fontId="6" fillId="3" borderId="39" xfId="0" applyNumberFormat="1" applyFont="1" applyFill="1" applyBorder="1" applyProtection="1">
      <protection locked="0"/>
    </xf>
    <xf numFmtId="2" fontId="6" fillId="3" borderId="29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0" xfId="0" applyFont="1" applyFill="1" applyBorder="1" applyAlignment="1" applyProtection="1">
      <alignment horizontal="center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0" fontId="10" fillId="3" borderId="26" xfId="0" applyFont="1" applyFill="1" applyBorder="1" applyAlignment="1" applyProtection="1">
      <alignment horizontal="center"/>
      <protection locked="0"/>
    </xf>
    <xf numFmtId="1" fontId="9" fillId="4" borderId="30" xfId="0" applyNumberFormat="1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2" fontId="8" fillId="4" borderId="35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5" borderId="35" xfId="0" applyNumberFormat="1" applyFont="1" applyFill="1" applyBorder="1" applyAlignment="1">
      <alignment horizontal="center"/>
    </xf>
    <xf numFmtId="170" fontId="8" fillId="4" borderId="35" xfId="0" applyNumberFormat="1" applyFont="1" applyFill="1" applyBorder="1" applyAlignment="1">
      <alignment horizontal="center"/>
    </xf>
    <xf numFmtId="170" fontId="10" fillId="3" borderId="35" xfId="0" applyNumberFormat="1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1" fontId="9" fillId="4" borderId="4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2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67" fontId="11" fillId="3" borderId="0" xfId="0" applyNumberFormat="1" applyFont="1" applyFill="1" applyAlignment="1" applyProtection="1">
      <alignment horizontal="left" vertical="center"/>
      <protection locked="0"/>
    </xf>
    <xf numFmtId="167" fontId="8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2" fontId="10" fillId="3" borderId="0" xfId="0" applyNumberFormat="1" applyFont="1" applyFill="1" applyAlignment="1" applyProtection="1">
      <alignment horizontal="center" vertical="center"/>
      <protection locked="0"/>
    </xf>
    <xf numFmtId="2" fontId="9" fillId="2" borderId="0" xfId="0" applyNumberFormat="1" applyFont="1" applyFill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0" fontId="8" fillId="2" borderId="11" xfId="0" applyFont="1" applyFill="1" applyBorder="1" applyAlignment="1">
      <alignment horizontal="right" vertical="center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right" vertical="center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9" fillId="2" borderId="49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10" fillId="3" borderId="49" xfId="0" applyFont="1" applyFill="1" applyBorder="1" applyAlignment="1" applyProtection="1">
      <alignment horizontal="center" vertical="center"/>
      <protection locked="0"/>
    </xf>
    <xf numFmtId="169" fontId="8" fillId="2" borderId="44" xfId="0" applyNumberFormat="1" applyFont="1" applyFill="1" applyBorder="1" applyAlignment="1">
      <alignment horizontal="center" vertical="center"/>
    </xf>
    <xf numFmtId="169" fontId="8" fillId="2" borderId="19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3" borderId="45" xfId="0" applyFont="1" applyFill="1" applyBorder="1" applyAlignment="1" applyProtection="1">
      <alignment horizontal="center" vertical="center"/>
      <protection locked="0"/>
    </xf>
    <xf numFmtId="169" fontId="8" fillId="2" borderId="0" xfId="0" applyNumberFormat="1" applyFont="1" applyFill="1" applyAlignment="1">
      <alignment horizontal="center" vertical="center"/>
    </xf>
    <xf numFmtId="169" fontId="8" fillId="2" borderId="14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0" fillId="3" borderId="58" xfId="0" applyFont="1" applyFill="1" applyBorder="1" applyAlignment="1" applyProtection="1">
      <alignment horizontal="center" vertical="center"/>
      <protection locked="0"/>
    </xf>
    <xf numFmtId="169" fontId="8" fillId="2" borderId="7" xfId="0" applyNumberFormat="1" applyFont="1" applyFill="1" applyBorder="1" applyAlignment="1">
      <alignment horizontal="center" vertical="center"/>
    </xf>
    <xf numFmtId="169" fontId="8" fillId="2" borderId="25" xfId="0" applyNumberFormat="1" applyFont="1" applyFill="1" applyBorder="1" applyAlignment="1">
      <alignment horizontal="center" vertical="center"/>
    </xf>
    <xf numFmtId="169" fontId="9" fillId="4" borderId="45" xfId="0" applyNumberFormat="1" applyFont="1" applyFill="1" applyBorder="1" applyAlignment="1">
      <alignment horizontal="center" vertical="center"/>
    </xf>
    <xf numFmtId="169" fontId="9" fillId="4" borderId="31" xfId="0" applyNumberFormat="1" applyFont="1" applyFill="1" applyBorder="1" applyAlignment="1">
      <alignment horizontal="center" vertical="center"/>
    </xf>
    <xf numFmtId="1" fontId="9" fillId="4" borderId="46" xfId="0" applyNumberFormat="1" applyFont="1" applyFill="1" applyBorder="1" applyAlignment="1">
      <alignment horizontal="center" vertical="center"/>
    </xf>
    <xf numFmtId="169" fontId="9" fillId="4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3" borderId="48" xfId="0" applyFont="1" applyFill="1" applyBorder="1" applyAlignment="1" applyProtection="1">
      <alignment horizontal="center" vertical="center"/>
      <protection locked="0"/>
    </xf>
    <xf numFmtId="0" fontId="10" fillId="3" borderId="34" xfId="0" applyFont="1" applyFill="1" applyBorder="1" applyAlignment="1" applyProtection="1">
      <alignment horizontal="center" vertical="center"/>
      <protection locked="0"/>
    </xf>
    <xf numFmtId="2" fontId="8" fillId="4" borderId="17" xfId="0" applyNumberFormat="1" applyFont="1" applyFill="1" applyBorder="1" applyAlignment="1">
      <alignment horizontal="center" vertical="center"/>
    </xf>
    <xf numFmtId="2" fontId="8" fillId="4" borderId="35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2" fontId="8" fillId="5" borderId="17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8" fillId="5" borderId="35" xfId="0" applyNumberFormat="1" applyFont="1" applyFill="1" applyBorder="1" applyAlignment="1">
      <alignment horizontal="center" vertical="center"/>
    </xf>
    <xf numFmtId="2" fontId="8" fillId="4" borderId="36" xfId="0" applyNumberFormat="1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right" vertical="center"/>
    </xf>
    <xf numFmtId="170" fontId="10" fillId="3" borderId="17" xfId="0" applyNumberFormat="1" applyFont="1" applyFill="1" applyBorder="1" applyAlignment="1" applyProtection="1">
      <alignment horizontal="center" vertical="center"/>
      <protection locked="0"/>
    </xf>
    <xf numFmtId="1" fontId="8" fillId="2" borderId="0" xfId="0" applyNumberFormat="1" applyFont="1" applyFill="1" applyAlignment="1">
      <alignment horizontal="center" vertical="center"/>
    </xf>
    <xf numFmtId="0" fontId="8" fillId="2" borderId="15" xfId="0" applyFont="1" applyFill="1" applyBorder="1" applyAlignment="1">
      <alignment horizontal="right" vertical="center"/>
    </xf>
    <xf numFmtId="0" fontId="8" fillId="2" borderId="49" xfId="0" applyFont="1" applyFill="1" applyBorder="1" applyAlignment="1">
      <alignment horizontal="right" vertical="center"/>
    </xf>
    <xf numFmtId="2" fontId="8" fillId="4" borderId="21" xfId="0" applyNumberFormat="1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right" vertical="center"/>
    </xf>
    <xf numFmtId="169" fontId="9" fillId="5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right" vertical="center"/>
    </xf>
    <xf numFmtId="10" fontId="8" fillId="4" borderId="35" xfId="0" applyNumberFormat="1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right" vertical="center"/>
    </xf>
    <xf numFmtId="0" fontId="8" fillId="5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170" fontId="9" fillId="2" borderId="0" xfId="0" applyNumberFormat="1" applyFont="1" applyFill="1" applyAlignment="1" applyProtection="1">
      <alignment horizontal="center" vertical="center"/>
      <protection locked="0"/>
    </xf>
    <xf numFmtId="2" fontId="9" fillId="2" borderId="22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10" fillId="3" borderId="11" xfId="0" applyFont="1" applyFill="1" applyBorder="1" applyAlignment="1" applyProtection="1">
      <alignment horizontal="center" vertical="center"/>
      <protection locked="0"/>
    </xf>
    <xf numFmtId="2" fontId="8" fillId="2" borderId="11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10" fillId="3" borderId="13" xfId="0" applyFont="1" applyFill="1" applyBorder="1" applyAlignment="1" applyProtection="1">
      <alignment horizontal="center" vertical="center"/>
      <protection locked="0"/>
    </xf>
    <xf numFmtId="2" fontId="8" fillId="2" borderId="13" xfId="0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10" fillId="3" borderId="38" xfId="0" applyFont="1" applyFill="1" applyBorder="1" applyAlignment="1" applyProtection="1">
      <alignment horizontal="center" vertical="center"/>
      <protection locked="0"/>
    </xf>
    <xf numFmtId="2" fontId="8" fillId="2" borderId="22" xfId="0" applyNumberFormat="1" applyFont="1" applyFill="1" applyBorder="1" applyAlignment="1">
      <alignment horizontal="center" vertical="center"/>
    </xf>
    <xf numFmtId="2" fontId="8" fillId="2" borderId="39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right" vertical="center"/>
    </xf>
    <xf numFmtId="2" fontId="9" fillId="2" borderId="40" xfId="0" applyNumberFormat="1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right" vertical="center"/>
    </xf>
    <xf numFmtId="10" fontId="10" fillId="5" borderId="25" xfId="0" applyNumberFormat="1" applyFont="1" applyFill="1" applyBorder="1" applyAlignment="1">
      <alignment horizontal="center" vertical="center"/>
    </xf>
    <xf numFmtId="10" fontId="10" fillId="4" borderId="53" xfId="0" applyNumberFormat="1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169" fontId="8" fillId="2" borderId="16" xfId="0" applyNumberFormat="1" applyFont="1" applyFill="1" applyBorder="1" applyAlignment="1">
      <alignment horizontal="center" vertical="center"/>
    </xf>
    <xf numFmtId="1" fontId="10" fillId="3" borderId="20" xfId="0" applyNumberFormat="1" applyFont="1" applyFill="1" applyBorder="1" applyAlignment="1" applyProtection="1">
      <alignment horizontal="center" vertical="center"/>
      <protection locked="0"/>
    </xf>
    <xf numFmtId="169" fontId="8" fillId="2" borderId="21" xfId="0" applyNumberFormat="1" applyFont="1" applyFill="1" applyBorder="1" applyAlignment="1">
      <alignment horizontal="center" vertical="center"/>
    </xf>
    <xf numFmtId="169" fontId="8" fillId="2" borderId="23" xfId="0" applyNumberFormat="1" applyFont="1" applyFill="1" applyBorder="1" applyAlignment="1">
      <alignment horizontal="center" vertical="center"/>
    </xf>
    <xf numFmtId="1" fontId="10" fillId="3" borderId="13" xfId="0" applyNumberFormat="1" applyFont="1" applyFill="1" applyBorder="1" applyAlignment="1" applyProtection="1">
      <alignment horizontal="center" vertical="center"/>
      <protection locked="0"/>
    </xf>
    <xf numFmtId="169" fontId="8" fillId="2" borderId="24" xfId="0" applyNumberFormat="1" applyFont="1" applyFill="1" applyBorder="1" applyAlignment="1">
      <alignment horizontal="center" vertical="center"/>
    </xf>
    <xf numFmtId="0" fontId="10" fillId="3" borderId="26" xfId="0" applyFont="1" applyFill="1" applyBorder="1" applyAlignment="1" applyProtection="1">
      <alignment horizontal="center" vertical="center"/>
      <protection locked="0"/>
    </xf>
    <xf numFmtId="169" fontId="8" fillId="2" borderId="27" xfId="0" applyNumberFormat="1" applyFont="1" applyFill="1" applyBorder="1" applyAlignment="1">
      <alignment horizontal="center" vertical="center"/>
    </xf>
    <xf numFmtId="1" fontId="10" fillId="3" borderId="26" xfId="0" applyNumberFormat="1" applyFont="1" applyFill="1" applyBorder="1" applyAlignment="1" applyProtection="1">
      <alignment horizontal="center" vertical="center"/>
      <protection locked="0"/>
    </xf>
    <xf numFmtId="169" fontId="8" fillId="2" borderId="28" xfId="0" applyNumberFormat="1" applyFont="1" applyFill="1" applyBorder="1" applyAlignment="1">
      <alignment horizontal="center" vertical="center"/>
    </xf>
    <xf numFmtId="169" fontId="9" fillId="4" borderId="46" xfId="0" applyNumberFormat="1" applyFont="1" applyFill="1" applyBorder="1" applyAlignment="1">
      <alignment horizontal="center" vertical="center"/>
    </xf>
    <xf numFmtId="169" fontId="9" fillId="4" borderId="29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164" fontId="8" fillId="4" borderId="17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8" fillId="4" borderId="3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70" fontId="8" fillId="5" borderId="1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8" fillId="5" borderId="21" xfId="0" applyNumberFormat="1" applyFont="1" applyFill="1" applyBorder="1" applyAlignment="1">
      <alignment horizontal="center" vertical="center"/>
    </xf>
    <xf numFmtId="10" fontId="9" fillId="4" borderId="35" xfId="0" applyNumberFormat="1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2" borderId="50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vertical="center"/>
    </xf>
    <xf numFmtId="0" fontId="9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8" fillId="2" borderId="16" xfId="0" applyNumberFormat="1" applyFont="1" applyFill="1" applyBorder="1" applyAlignment="1">
      <alignment horizontal="center" vertical="center"/>
    </xf>
    <xf numFmtId="10" fontId="8" fillId="2" borderId="21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" fontId="10" fillId="3" borderId="27" xfId="0" applyNumberFormat="1" applyFont="1" applyFill="1" applyBorder="1" applyAlignment="1" applyProtection="1">
      <alignment horizontal="center" vertical="center"/>
      <protection locked="0"/>
    </xf>
    <xf numFmtId="2" fontId="8" fillId="2" borderId="27" xfId="0" applyNumberFormat="1" applyFont="1" applyFill="1" applyBorder="1" applyAlignment="1">
      <alignment horizontal="center" vertical="center"/>
    </xf>
    <xf numFmtId="10" fontId="8" fillId="2" borderId="28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9" fontId="9" fillId="2" borderId="0" xfId="0" applyNumberFormat="1" applyFont="1" applyFill="1" applyAlignment="1">
      <alignment horizontal="center" vertical="center"/>
    </xf>
    <xf numFmtId="169" fontId="8" fillId="2" borderId="2" xfId="0" applyNumberFormat="1" applyFont="1" applyFill="1" applyBorder="1" applyAlignment="1">
      <alignment horizontal="right" vertical="center"/>
    </xf>
    <xf numFmtId="10" fontId="10" fillId="5" borderId="17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10" fontId="10" fillId="4" borderId="1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right" vertical="center"/>
    </xf>
    <xf numFmtId="0" fontId="10" fillId="5" borderId="36" xfId="0" applyFont="1" applyFill="1" applyBorder="1" applyAlignment="1">
      <alignment horizontal="center" vertical="center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61" xfId="0" applyFont="1" applyFill="1" applyBorder="1" applyAlignment="1" applyProtection="1">
      <alignment horizontal="center" vertical="center"/>
      <protection locked="0"/>
    </xf>
    <xf numFmtId="0" fontId="10" fillId="3" borderId="24" xfId="0" applyFont="1" applyFill="1" applyBorder="1" applyAlignment="1" applyProtection="1">
      <alignment horizontal="center" vertical="center"/>
      <protection locked="0"/>
    </xf>
    <xf numFmtId="0" fontId="9" fillId="2" borderId="49" xfId="0" applyFont="1" applyFill="1" applyBorder="1" applyAlignment="1">
      <alignment horizontal="center"/>
    </xf>
    <xf numFmtId="1" fontId="9" fillId="4" borderId="40" xfId="0" applyNumberFormat="1" applyFont="1" applyFill="1" applyBorder="1" applyAlignment="1">
      <alignment horizontal="center"/>
    </xf>
    <xf numFmtId="0" fontId="10" fillId="3" borderId="22" xfId="0" applyFont="1" applyFill="1" applyBorder="1" applyAlignment="1" applyProtection="1">
      <alignment horizontal="center" vertical="center"/>
      <protection locked="0"/>
    </xf>
    <xf numFmtId="169" fontId="8" fillId="2" borderId="32" xfId="0" applyNumberFormat="1" applyFont="1" applyFill="1" applyBorder="1" applyAlignment="1">
      <alignment horizontal="center"/>
    </xf>
    <xf numFmtId="2" fontId="8" fillId="4" borderId="36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5" borderId="62" xfId="0" applyNumberFormat="1" applyFont="1" applyFill="1" applyBorder="1" applyAlignment="1">
      <alignment horizontal="center"/>
    </xf>
    <xf numFmtId="169" fontId="9" fillId="5" borderId="41" xfId="0" applyNumberFormat="1" applyFont="1" applyFill="1" applyBorder="1" applyAlignment="1">
      <alignment horizontal="center"/>
    </xf>
    <xf numFmtId="0" fontId="9" fillId="2" borderId="51" xfId="0" applyFont="1" applyFill="1" applyBorder="1"/>
    <xf numFmtId="0" fontId="10" fillId="3" borderId="16" xfId="0" applyFont="1" applyFill="1" applyBorder="1" applyAlignment="1" applyProtection="1">
      <alignment horizontal="center" vertical="center"/>
      <protection locked="0"/>
    </xf>
    <xf numFmtId="2" fontId="8" fillId="2" borderId="4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 vertical="center"/>
      <protection locked="0"/>
    </xf>
    <xf numFmtId="2" fontId="8" fillId="2" borderId="3" xfId="0" applyNumberFormat="1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 vertical="center"/>
      <protection locked="0"/>
    </xf>
    <xf numFmtId="2" fontId="8" fillId="2" borderId="5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1" xfId="0" applyNumberFormat="1" applyFont="1" applyFill="1" applyBorder="1" applyAlignment="1">
      <alignment horizontal="right"/>
    </xf>
    <xf numFmtId="10" fontId="10" fillId="5" borderId="53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2" borderId="8" xfId="0" applyFont="1" applyFill="1" applyBorder="1" applyAlignment="1">
      <alignment horizontal="center"/>
    </xf>
    <xf numFmtId="0" fontId="8" fillId="2" borderId="63" xfId="0" applyFont="1" applyFill="1" applyBorder="1" applyAlignment="1">
      <alignment horizontal="right"/>
    </xf>
    <xf numFmtId="169" fontId="8" fillId="2" borderId="43" xfId="0" applyNumberFormat="1" applyFont="1" applyFill="1" applyBorder="1" applyAlignment="1">
      <alignment horizontal="right"/>
    </xf>
    <xf numFmtId="165" fontId="10" fillId="5" borderId="48" xfId="0" applyNumberFormat="1" applyFont="1" applyFill="1" applyBorder="1" applyAlignment="1">
      <alignment horizontal="center"/>
    </xf>
    <xf numFmtId="165" fontId="10" fillId="4" borderId="17" xfId="0" applyNumberFormat="1" applyFont="1" applyFill="1" applyBorder="1" applyAlignment="1">
      <alignment horizontal="center"/>
    </xf>
    <xf numFmtId="0" fontId="8" fillId="2" borderId="64" xfId="0" applyFont="1" applyFill="1" applyBorder="1" applyAlignment="1">
      <alignment horizontal="right"/>
    </xf>
    <xf numFmtId="0" fontId="10" fillId="5" borderId="62" xfId="0" applyFont="1" applyFill="1" applyBorder="1" applyAlignment="1">
      <alignment horizont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>
      <alignment vertical="center"/>
    </xf>
    <xf numFmtId="0" fontId="9" fillId="2" borderId="10" xfId="0" applyFont="1" applyFill="1" applyBorder="1" applyAlignment="1" applyProtection="1">
      <alignment vertical="center"/>
      <protection locked="0"/>
    </xf>
    <xf numFmtId="0" fontId="9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left" vertical="center" wrapText="1"/>
    </xf>
    <xf numFmtId="0" fontId="9" fillId="2" borderId="33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8" fillId="2" borderId="0" xfId="0" applyFont="1" applyFill="1" applyProtection="1">
      <protection locked="0"/>
    </xf>
    <xf numFmtId="167" fontId="8" fillId="3" borderId="0" xfId="0" applyNumberFormat="1" applyFont="1" applyFill="1" applyAlignment="1" applyProtection="1">
      <alignment horizontal="left"/>
      <protection locked="0"/>
    </xf>
    <xf numFmtId="1" fontId="9" fillId="4" borderId="49" xfId="0" applyNumberFormat="1" applyFont="1" applyFill="1" applyBorder="1" applyAlignment="1">
      <alignment horizontal="center"/>
    </xf>
    <xf numFmtId="0" fontId="10" fillId="3" borderId="17" xfId="0" applyFont="1" applyFill="1" applyBorder="1" applyAlignment="1" applyProtection="1">
      <alignment horizontal="center"/>
      <protection locked="0"/>
    </xf>
    <xf numFmtId="0" fontId="8" fillId="5" borderId="36" xfId="0" applyFont="1" applyFill="1" applyBorder="1" applyAlignment="1">
      <alignment horizontal="center"/>
    </xf>
    <xf numFmtId="2" fontId="8" fillId="2" borderId="11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2" fontId="8" fillId="2" borderId="39" xfId="0" applyNumberFormat="1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25" fillId="3" borderId="0" xfId="0" applyFont="1" applyFill="1" applyAlignment="1" applyProtection="1">
      <alignment horizontal="center"/>
      <protection locked="0"/>
    </xf>
    <xf numFmtId="1" fontId="9" fillId="4" borderId="29" xfId="0" applyNumberFormat="1" applyFont="1" applyFill="1" applyBorder="1" applyAlignment="1">
      <alignment horizontal="center"/>
    </xf>
    <xf numFmtId="2" fontId="8" fillId="2" borderId="16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6" xfId="0" applyFont="1" applyFill="1" applyBorder="1"/>
    <xf numFmtId="0" fontId="8" fillId="2" borderId="60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1" fontId="11" fillId="3" borderId="23" xfId="0" applyNumberFormat="1" applyFont="1" applyFill="1" applyBorder="1" applyAlignment="1" applyProtection="1">
      <alignment horizontal="center"/>
      <protection locked="0"/>
    </xf>
    <xf numFmtId="1" fontId="11" fillId="3" borderId="27" xfId="0" applyNumberFormat="1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Protection="1">
      <protection locked="0"/>
    </xf>
    <xf numFmtId="0" fontId="9" fillId="2" borderId="10" xfId="0" applyFont="1" applyFill="1" applyBorder="1" applyProtection="1"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16" fillId="2" borderId="38" xfId="0" applyFont="1" applyFill="1" applyBorder="1" applyAlignment="1">
      <alignment horizontal="left" vertical="center" wrapText="1"/>
    </xf>
    <xf numFmtId="0" fontId="16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10" fontId="12" fillId="2" borderId="39" xfId="0" applyNumberFormat="1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2" fontId="10" fillId="3" borderId="22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29" xfId="0" applyNumberFormat="1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38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8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3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170" fontId="5" fillId="2" borderId="22" xfId="0" applyNumberFormat="1" applyFont="1" applyFill="1" applyBorder="1" applyAlignment="1">
      <alignment horizontal="center" vertical="center"/>
    </xf>
    <xf numFmtId="170" fontId="5" fillId="2" borderId="2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4" xfId="0" applyFont="1" applyFill="1" applyBorder="1" applyAlignment="1">
      <alignment horizontal="center" wrapText="1"/>
    </xf>
    <xf numFmtId="0" fontId="22" fillId="2" borderId="55" xfId="0" applyFont="1" applyFill="1" applyBorder="1" applyAlignment="1">
      <alignment horizontal="center" wrapText="1"/>
    </xf>
    <xf numFmtId="0" fontId="22" fillId="2" borderId="56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9" fillId="2" borderId="43" xfId="0" applyFont="1" applyFill="1" applyBorder="1" applyAlignment="1">
      <alignment horizontal="center" vertical="center"/>
    </xf>
    <xf numFmtId="0" fontId="9" fillId="2" borderId="57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9" fillId="2" borderId="33" xfId="0" applyFont="1" applyFill="1" applyBorder="1" applyAlignment="1">
      <alignment horizontal="center" vertical="center"/>
    </xf>
    <xf numFmtId="0" fontId="16" fillId="2" borderId="54" xfId="0" applyFont="1" applyFill="1" applyBorder="1" applyAlignment="1">
      <alignment horizontal="center" vertical="center"/>
    </xf>
    <xf numFmtId="0" fontId="16" fillId="2" borderId="55" xfId="0" applyFont="1" applyFill="1" applyBorder="1" applyAlignment="1">
      <alignment horizontal="center" vertical="center"/>
    </xf>
    <xf numFmtId="0" fontId="16" fillId="2" borderId="56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/>
    </xf>
    <xf numFmtId="0" fontId="24" fillId="2" borderId="55" xfId="0" applyFont="1" applyFill="1" applyBorder="1" applyAlignment="1">
      <alignment horizontal="center"/>
    </xf>
    <xf numFmtId="0" fontId="24" fillId="2" borderId="56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2" fillId="2" borderId="0" xfId="1" applyFont="1" applyFill="1"/>
    <xf numFmtId="0" fontId="26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6" borderId="2" xfId="1" applyNumberFormat="1" applyFont="1" applyFill="1" applyBorder="1" applyAlignment="1">
      <alignment horizontal="center"/>
    </xf>
    <xf numFmtId="1" fontId="5" fillId="6" borderId="1" xfId="1" applyNumberFormat="1" applyFont="1" applyFill="1" applyBorder="1" applyAlignment="1">
      <alignment horizontal="center"/>
    </xf>
    <xf numFmtId="2" fontId="5" fillId="6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7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6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65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1" fillId="2" borderId="9" xfId="1" applyFont="1" applyFill="1" applyBorder="1" applyAlignment="1">
      <alignment horizontal="center"/>
    </xf>
    <xf numFmtId="0" fontId="1" fillId="2" borderId="9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/>
    <xf numFmtId="0" fontId="2" fillId="2" borderId="10" xfId="1" applyFont="1" applyFill="1" applyBorder="1"/>
  </cellXfs>
  <cellStyles count="2">
    <cellStyle name="Normal" xfId="0" builtinId="0"/>
    <cellStyle name="Normal 2" xfId="1"/>
  </cellStyles>
  <dxfs count="3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Moenga/Downloads/NDQB201601711(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Moenga/Downloads/NDQB201601711(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DQB2016017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atazanavir"/>
      <sheetName val="ritonavir"/>
      <sheetName val="atazanavir 1"/>
      <sheetName val="ritonavir 1"/>
      <sheetName val="atazanavir 2"/>
      <sheetName val="ritonavir 2"/>
      <sheetName val="atazanavir 3"/>
      <sheetName val="ritonavir 3"/>
      <sheetName val="atazanavir 4"/>
      <sheetName val="ritonavir 4"/>
      <sheetName val="atazanavir 5"/>
      <sheetName val="atazanavir 6"/>
      <sheetName val="ritonavir 5"/>
      <sheetName val="Uniformity"/>
      <sheetName val="atazanavir 7"/>
      <sheetName val="ritonavir 6"/>
      <sheetName val="atazanavir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6">
          <cell r="C46">
            <v>1970.5519999999997</v>
          </cell>
        </row>
      </sheetData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atazanavir"/>
      <sheetName val="ritonavir"/>
      <sheetName val="atazanavir 1"/>
      <sheetName val="ritonavir 1"/>
      <sheetName val="atazanavir 2"/>
      <sheetName val="ritonavir 2"/>
      <sheetName val="atazanavir 3"/>
      <sheetName val="ritonavir 3"/>
      <sheetName val="atazanavir 4"/>
      <sheetName val="ritonavir 4"/>
      <sheetName val="atazanavir 5"/>
      <sheetName val="atazanavir 6"/>
      <sheetName val="ritonavir 5"/>
      <sheetName val="Uniformity"/>
      <sheetName val="atazanavir 7"/>
      <sheetName val="ritonavir 6"/>
      <sheetName val="atazanavir 8"/>
      <sheetName val="ritonavir 7"/>
      <sheetName val="atazanavir 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6">
          <cell r="C46">
            <v>1970.5519999999997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ritonavir"/>
      <sheetName val="Atazanavir S2"/>
      <sheetName val=" RITONAVIR 2"/>
      <sheetName val="ATAZANAVIR 2"/>
      <sheetName val="SST 2"/>
    </sheetNames>
    <sheetDataSet>
      <sheetData sheetId="0"/>
      <sheetData sheetId="1"/>
      <sheetData sheetId="2">
        <row r="43">
          <cell r="D43">
            <v>20.36</v>
          </cell>
        </row>
      </sheetData>
      <sheetData sheetId="3">
        <row r="43">
          <cell r="D43">
            <v>24.43</v>
          </cell>
        </row>
        <row r="96">
          <cell r="D96">
            <v>15.15</v>
          </cell>
        </row>
        <row r="139">
          <cell r="D139">
            <v>14.28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view="pageBreakPreview" zoomScale="70" zoomScaleNormal="100" zoomScaleSheetLayoutView="70" workbookViewId="0">
      <selection activeCell="A65" sqref="A65"/>
    </sheetView>
  </sheetViews>
  <sheetFormatPr defaultRowHeight="13.5" x14ac:dyDescent="0.25"/>
  <cols>
    <col min="1" max="1" width="27.5703125" style="529" customWidth="1"/>
    <col min="2" max="2" width="20.42578125" style="529" customWidth="1"/>
    <col min="3" max="3" width="31.85546875" style="529" customWidth="1"/>
    <col min="4" max="4" width="25.85546875" style="529" customWidth="1"/>
    <col min="5" max="5" width="25.7109375" style="529" customWidth="1"/>
    <col min="6" max="6" width="23.140625" style="529" customWidth="1"/>
    <col min="7" max="7" width="28.42578125" style="529" customWidth="1"/>
    <col min="8" max="8" width="21.5703125" style="529" customWidth="1"/>
    <col min="9" max="9" width="9.140625" style="529" customWidth="1"/>
    <col min="10" max="16384" width="9.140625" style="530"/>
  </cols>
  <sheetData>
    <row r="1" spans="1:6" s="530" customFormat="1" ht="18.75" customHeight="1" x14ac:dyDescent="0.3">
      <c r="A1" s="528" t="s">
        <v>134</v>
      </c>
      <c r="B1" s="528"/>
      <c r="C1" s="528"/>
      <c r="D1" s="528"/>
      <c r="E1" s="528"/>
      <c r="F1" s="529"/>
    </row>
    <row r="2" spans="1:6" s="530" customFormat="1" ht="16.5" customHeight="1" x14ac:dyDescent="0.3">
      <c r="A2" s="531" t="s">
        <v>0</v>
      </c>
      <c r="B2" s="532" t="s">
        <v>135</v>
      </c>
      <c r="C2" s="529"/>
      <c r="D2" s="529"/>
      <c r="E2" s="529"/>
      <c r="F2" s="529"/>
    </row>
    <row r="3" spans="1:6" s="530" customFormat="1" ht="16.5" customHeight="1" x14ac:dyDescent="0.3">
      <c r="A3" s="533" t="s">
        <v>136</v>
      </c>
      <c r="B3" s="533"/>
      <c r="C3" s="529"/>
      <c r="D3" s="534"/>
      <c r="E3" s="535"/>
      <c r="F3" s="529"/>
    </row>
    <row r="4" spans="1:6" s="530" customFormat="1" ht="16.5" customHeight="1" x14ac:dyDescent="0.3">
      <c r="A4" s="536" t="s">
        <v>1</v>
      </c>
      <c r="B4" s="533" t="s">
        <v>120</v>
      </c>
      <c r="C4" s="535"/>
      <c r="D4" s="535"/>
      <c r="E4" s="535"/>
      <c r="F4" s="529"/>
    </row>
    <row r="5" spans="1:6" s="530" customFormat="1" ht="16.5" customHeight="1" x14ac:dyDescent="0.3">
      <c r="A5" s="536" t="s">
        <v>3</v>
      </c>
      <c r="B5" s="537">
        <v>99.3</v>
      </c>
      <c r="C5" s="535"/>
      <c r="D5" s="535"/>
      <c r="E5" s="535"/>
      <c r="F5" s="529"/>
    </row>
    <row r="6" spans="1:6" s="530" customFormat="1" ht="16.5" customHeight="1" x14ac:dyDescent="0.3">
      <c r="A6" s="533" t="s">
        <v>137</v>
      </c>
      <c r="B6" s="537">
        <f>'[3]Atazanavir S2'!D43</f>
        <v>24.43</v>
      </c>
      <c r="C6" s="535"/>
      <c r="D6" s="535"/>
      <c r="E6" s="535"/>
      <c r="F6" s="529"/>
    </row>
    <row r="7" spans="1:6" s="530" customFormat="1" ht="16.5" customHeight="1" x14ac:dyDescent="0.3">
      <c r="A7" s="533" t="s">
        <v>138</v>
      </c>
      <c r="B7" s="538">
        <f>B6/100</f>
        <v>0.24429999999999999</v>
      </c>
      <c r="C7" s="535"/>
      <c r="D7" s="535"/>
      <c r="E7" s="535"/>
      <c r="F7" s="529"/>
    </row>
    <row r="8" spans="1:6" s="530" customFormat="1" ht="16.5" customHeight="1" x14ac:dyDescent="0.3">
      <c r="A8" s="539" t="s">
        <v>139</v>
      </c>
      <c r="B8" s="540" t="s">
        <v>140</v>
      </c>
      <c r="C8" s="539" t="s">
        <v>141</v>
      </c>
      <c r="D8" s="539" t="s">
        <v>142</v>
      </c>
      <c r="E8" s="539" t="s">
        <v>143</v>
      </c>
      <c r="F8" s="529"/>
    </row>
    <row r="9" spans="1:6" s="530" customFormat="1" ht="16.5" customHeight="1" x14ac:dyDescent="0.3">
      <c r="A9" s="541">
        <v>1</v>
      </c>
      <c r="B9" s="542">
        <v>62515142</v>
      </c>
      <c r="C9" s="542">
        <v>6811</v>
      </c>
      <c r="D9" s="543">
        <v>1.05</v>
      </c>
      <c r="E9" s="544">
        <v>8.56</v>
      </c>
      <c r="F9" s="529"/>
    </row>
    <row r="10" spans="1:6" s="530" customFormat="1" ht="16.5" customHeight="1" x14ac:dyDescent="0.3">
      <c r="A10" s="541">
        <v>2</v>
      </c>
      <c r="B10" s="542">
        <v>62272556</v>
      </c>
      <c r="C10" s="542">
        <v>6816</v>
      </c>
      <c r="D10" s="543">
        <v>1.05</v>
      </c>
      <c r="E10" s="543">
        <v>8.57</v>
      </c>
      <c r="F10" s="529"/>
    </row>
    <row r="11" spans="1:6" s="530" customFormat="1" ht="16.5" customHeight="1" x14ac:dyDescent="0.3">
      <c r="A11" s="541">
        <v>3</v>
      </c>
      <c r="B11" s="542">
        <v>62131987</v>
      </c>
      <c r="C11" s="542">
        <v>6833</v>
      </c>
      <c r="D11" s="543">
        <v>1.04</v>
      </c>
      <c r="E11" s="543">
        <v>8.56</v>
      </c>
      <c r="F11" s="529"/>
    </row>
    <row r="12" spans="1:6" s="530" customFormat="1" ht="16.5" customHeight="1" x14ac:dyDescent="0.3">
      <c r="A12" s="541">
        <v>4</v>
      </c>
      <c r="B12" s="542">
        <v>62168388</v>
      </c>
      <c r="C12" s="542">
        <v>6817</v>
      </c>
      <c r="D12" s="543">
        <v>1.05</v>
      </c>
      <c r="E12" s="543">
        <v>8.5500000000000007</v>
      </c>
      <c r="F12" s="529"/>
    </row>
    <row r="13" spans="1:6" s="530" customFormat="1" ht="16.5" customHeight="1" x14ac:dyDescent="0.3">
      <c r="A13" s="541">
        <v>5</v>
      </c>
      <c r="B13" s="542">
        <v>62283695</v>
      </c>
      <c r="C13" s="542">
        <v>6829</v>
      </c>
      <c r="D13" s="543">
        <v>1.06</v>
      </c>
      <c r="E13" s="543">
        <v>8.56</v>
      </c>
      <c r="F13" s="529"/>
    </row>
    <row r="14" spans="1:6" s="530" customFormat="1" ht="16.5" customHeight="1" x14ac:dyDescent="0.3">
      <c r="A14" s="541">
        <v>6</v>
      </c>
      <c r="B14" s="545">
        <v>62579996</v>
      </c>
      <c r="C14" s="545">
        <v>6824</v>
      </c>
      <c r="D14" s="546">
        <v>1.06</v>
      </c>
      <c r="E14" s="546">
        <v>8.59</v>
      </c>
      <c r="F14" s="529"/>
    </row>
    <row r="15" spans="1:6" s="530" customFormat="1" ht="16.5" customHeight="1" x14ac:dyDescent="0.3">
      <c r="A15" s="547" t="s">
        <v>144</v>
      </c>
      <c r="B15" s="548">
        <f>AVERAGE(B9:B14)</f>
        <v>62325294</v>
      </c>
      <c r="C15" s="549">
        <f>AVERAGE(C9:C14)</f>
        <v>6821.666666666667</v>
      </c>
      <c r="D15" s="550">
        <f>AVERAGE(D9:D14)</f>
        <v>1.0516666666666667</v>
      </c>
      <c r="E15" s="550">
        <f>AVERAGE(E9:E14)</f>
        <v>8.5650000000000031</v>
      </c>
      <c r="F15" s="529"/>
    </row>
    <row r="16" spans="1:6" s="530" customFormat="1" ht="16.5" customHeight="1" x14ac:dyDescent="0.3">
      <c r="A16" s="551" t="s">
        <v>145</v>
      </c>
      <c r="B16" s="552">
        <f>(STDEV(B9:B14)/B15)</f>
        <v>2.9359378143516785E-3</v>
      </c>
      <c r="C16" s="553"/>
      <c r="D16" s="553"/>
      <c r="E16" s="554"/>
      <c r="F16" s="529"/>
    </row>
    <row r="17" spans="1:6" s="529" customFormat="1" ht="16.5" customHeight="1" x14ac:dyDescent="0.3">
      <c r="A17" s="555" t="s">
        <v>7</v>
      </c>
      <c r="B17" s="556">
        <f>COUNT(B9:B14)</f>
        <v>6</v>
      </c>
      <c r="C17" s="557"/>
      <c r="D17" s="558"/>
      <c r="E17" s="559"/>
    </row>
    <row r="18" spans="1:6" s="529" customFormat="1" ht="16.5" customHeight="1" x14ac:dyDescent="0.3">
      <c r="A18" s="536" t="s">
        <v>146</v>
      </c>
      <c r="B18" s="560" t="s">
        <v>147</v>
      </c>
      <c r="C18" s="561"/>
      <c r="D18" s="561"/>
      <c r="E18" s="561"/>
    </row>
    <row r="19" spans="1:6" s="530" customFormat="1" ht="16.5" customHeight="1" x14ac:dyDescent="0.3">
      <c r="A19" s="536"/>
      <c r="B19" s="560" t="s">
        <v>148</v>
      </c>
      <c r="C19" s="561"/>
      <c r="D19" s="561"/>
      <c r="E19" s="561"/>
      <c r="F19" s="529"/>
    </row>
    <row r="20" spans="1:6" s="530" customFormat="1" ht="16.5" customHeight="1" x14ac:dyDescent="0.3">
      <c r="A20" s="536"/>
      <c r="B20" s="560" t="s">
        <v>149</v>
      </c>
      <c r="C20" s="561"/>
      <c r="D20" s="561"/>
      <c r="E20" s="561"/>
      <c r="F20" s="529"/>
    </row>
    <row r="21" spans="1:6" s="530" customFormat="1" ht="15.75" customHeight="1" x14ac:dyDescent="0.25">
      <c r="A21" s="535" t="s">
        <v>150</v>
      </c>
      <c r="B21" s="535"/>
      <c r="C21" s="535"/>
      <c r="D21" s="535"/>
      <c r="E21" s="535"/>
      <c r="F21" s="529"/>
    </row>
    <row r="22" spans="1:6" s="530" customFormat="1" ht="16.5" customHeight="1" x14ac:dyDescent="0.3">
      <c r="A22" s="531" t="s">
        <v>0</v>
      </c>
      <c r="B22" s="532" t="s">
        <v>151</v>
      </c>
      <c r="C22" s="529"/>
      <c r="D22" s="529"/>
      <c r="E22" s="529"/>
      <c r="F22" s="529"/>
    </row>
    <row r="23" spans="1:6" s="530" customFormat="1" ht="16.5" customHeight="1" x14ac:dyDescent="0.3">
      <c r="A23" s="536" t="s">
        <v>1</v>
      </c>
      <c r="B23" s="533" t="s">
        <v>125</v>
      </c>
      <c r="C23" s="535"/>
      <c r="D23" s="535"/>
      <c r="E23" s="535"/>
      <c r="F23" s="529"/>
    </row>
    <row r="24" spans="1:6" s="530" customFormat="1" ht="16.5" customHeight="1" x14ac:dyDescent="0.3">
      <c r="A24" s="536" t="s">
        <v>3</v>
      </c>
      <c r="B24" s="537">
        <v>99.3</v>
      </c>
      <c r="C24" s="535"/>
      <c r="D24" s="535"/>
      <c r="E24" s="535"/>
      <c r="F24" s="529"/>
    </row>
    <row r="25" spans="1:6" s="530" customFormat="1" ht="16.5" customHeight="1" x14ac:dyDescent="0.3">
      <c r="A25" s="533" t="s">
        <v>137</v>
      </c>
      <c r="B25" s="537">
        <f>[3]ritonavir!D43</f>
        <v>20.36</v>
      </c>
      <c r="C25" s="535"/>
      <c r="D25" s="535"/>
      <c r="E25" s="535"/>
      <c r="F25" s="529"/>
    </row>
    <row r="26" spans="1:6" s="530" customFormat="1" ht="16.5" customHeight="1" x14ac:dyDescent="0.3">
      <c r="A26" s="533" t="s">
        <v>138</v>
      </c>
      <c r="B26" s="538">
        <f>B25/100</f>
        <v>0.2036</v>
      </c>
      <c r="C26" s="535"/>
      <c r="D26" s="535"/>
      <c r="E26" s="535"/>
      <c r="F26" s="529"/>
    </row>
    <row r="27" spans="1:6" s="530" customFormat="1" ht="16.5" customHeight="1" x14ac:dyDescent="0.3">
      <c r="A27" s="539" t="s">
        <v>139</v>
      </c>
      <c r="B27" s="540" t="s">
        <v>140</v>
      </c>
      <c r="C27" s="539" t="s">
        <v>141</v>
      </c>
      <c r="D27" s="539" t="s">
        <v>142</v>
      </c>
      <c r="E27" s="539" t="s">
        <v>143</v>
      </c>
      <c r="F27" s="529"/>
    </row>
    <row r="28" spans="1:6" s="530" customFormat="1" ht="16.5" customHeight="1" x14ac:dyDescent="0.3">
      <c r="A28" s="541">
        <v>1</v>
      </c>
      <c r="B28" s="542">
        <v>48617907</v>
      </c>
      <c r="C28" s="542">
        <v>9610</v>
      </c>
      <c r="D28" s="543">
        <v>1.07</v>
      </c>
      <c r="E28" s="544">
        <v>13.21</v>
      </c>
      <c r="F28" s="529"/>
    </row>
    <row r="29" spans="1:6" s="530" customFormat="1" ht="16.5" customHeight="1" x14ac:dyDescent="0.3">
      <c r="A29" s="541">
        <v>2</v>
      </c>
      <c r="B29" s="542">
        <v>48245930</v>
      </c>
      <c r="C29" s="542">
        <v>9577</v>
      </c>
      <c r="D29" s="543">
        <v>1.07</v>
      </c>
      <c r="E29" s="543">
        <v>13.23</v>
      </c>
      <c r="F29" s="529"/>
    </row>
    <row r="30" spans="1:6" s="530" customFormat="1" ht="16.5" customHeight="1" x14ac:dyDescent="0.3">
      <c r="A30" s="541">
        <v>3</v>
      </c>
      <c r="B30" s="542">
        <v>48257258</v>
      </c>
      <c r="C30" s="542">
        <v>9621</v>
      </c>
      <c r="D30" s="543">
        <v>1.06</v>
      </c>
      <c r="E30" s="543">
        <v>13.22</v>
      </c>
      <c r="F30" s="529"/>
    </row>
    <row r="31" spans="1:6" s="530" customFormat="1" ht="16.5" customHeight="1" x14ac:dyDescent="0.3">
      <c r="A31" s="541">
        <v>4</v>
      </c>
      <c r="B31" s="542">
        <v>48293508</v>
      </c>
      <c r="C31" s="542">
        <v>9569</v>
      </c>
      <c r="D31" s="543">
        <v>1.07</v>
      </c>
      <c r="E31" s="543">
        <v>13.2</v>
      </c>
      <c r="F31" s="529"/>
    </row>
    <row r="32" spans="1:6" s="530" customFormat="1" ht="16.5" customHeight="1" x14ac:dyDescent="0.3">
      <c r="A32" s="541">
        <v>5</v>
      </c>
      <c r="B32" s="542">
        <v>48346887</v>
      </c>
      <c r="C32" s="542">
        <v>9589</v>
      </c>
      <c r="D32" s="543">
        <v>1.06</v>
      </c>
      <c r="E32" s="543">
        <v>13.21</v>
      </c>
      <c r="F32" s="529"/>
    </row>
    <row r="33" spans="1:5" ht="16.5" customHeight="1" x14ac:dyDescent="0.3">
      <c r="A33" s="541">
        <v>6</v>
      </c>
      <c r="B33" s="545">
        <v>48473087</v>
      </c>
      <c r="C33" s="545">
        <v>9548</v>
      </c>
      <c r="D33" s="546">
        <v>1.07</v>
      </c>
      <c r="E33" s="546">
        <v>13.25</v>
      </c>
    </row>
    <row r="34" spans="1:5" ht="16.5" customHeight="1" x14ac:dyDescent="0.3">
      <c r="A34" s="547" t="s">
        <v>144</v>
      </c>
      <c r="B34" s="548">
        <f>AVERAGE(B28:B33)</f>
        <v>48372429.5</v>
      </c>
      <c r="C34" s="549">
        <f>AVERAGE(C28:C33)</f>
        <v>9585.6666666666661</v>
      </c>
      <c r="D34" s="550">
        <f>AVERAGE(D28:D33)</f>
        <v>1.0666666666666667</v>
      </c>
      <c r="E34" s="550">
        <f>AVERAGE(E28:E33)</f>
        <v>13.219999999999999</v>
      </c>
    </row>
    <row r="35" spans="1:5" ht="16.5" customHeight="1" x14ac:dyDescent="0.3">
      <c r="A35" s="551" t="s">
        <v>145</v>
      </c>
      <c r="B35" s="552">
        <f>(STDEV(B28:B33)/B34)</f>
        <v>3.0176641787543917E-3</v>
      </c>
      <c r="C35" s="553"/>
      <c r="D35" s="553"/>
      <c r="E35" s="554"/>
    </row>
    <row r="36" spans="1:5" s="529" customFormat="1" ht="16.5" customHeight="1" x14ac:dyDescent="0.3">
      <c r="A36" s="555" t="s">
        <v>7</v>
      </c>
      <c r="B36" s="556">
        <f>COUNT(B28:B33)</f>
        <v>6</v>
      </c>
      <c r="C36" s="557"/>
      <c r="D36" s="558"/>
      <c r="E36" s="559"/>
    </row>
    <row r="37" spans="1:5" s="529" customFormat="1" ht="16.5" customHeight="1" x14ac:dyDescent="0.3">
      <c r="A37" s="536" t="s">
        <v>146</v>
      </c>
      <c r="B37" s="560" t="s">
        <v>147</v>
      </c>
      <c r="C37" s="561"/>
      <c r="D37" s="561"/>
      <c r="E37" s="561"/>
    </row>
    <row r="38" spans="1:5" ht="16.5" customHeight="1" x14ac:dyDescent="0.3">
      <c r="A38" s="536"/>
      <c r="B38" s="560" t="s">
        <v>148</v>
      </c>
      <c r="C38" s="561"/>
      <c r="D38" s="561"/>
      <c r="E38" s="561"/>
    </row>
    <row r="39" spans="1:5" ht="16.5" customHeight="1" x14ac:dyDescent="0.3">
      <c r="A39" s="536"/>
      <c r="B39" s="560" t="s">
        <v>149</v>
      </c>
      <c r="C39" s="561"/>
      <c r="D39" s="561"/>
      <c r="E39" s="561"/>
    </row>
    <row r="40" spans="1:5" ht="16.5" customHeight="1" x14ac:dyDescent="0.3">
      <c r="A40" s="536" t="s">
        <v>150</v>
      </c>
      <c r="C40" s="561"/>
      <c r="D40" s="561"/>
      <c r="E40" s="561"/>
    </row>
    <row r="41" spans="1:5" ht="14.25" customHeight="1" x14ac:dyDescent="0.3">
      <c r="A41" s="531" t="s">
        <v>0</v>
      </c>
      <c r="B41" s="532" t="s">
        <v>152</v>
      </c>
    </row>
    <row r="42" spans="1:5" ht="15" customHeight="1" x14ac:dyDescent="0.3">
      <c r="A42" s="536" t="s">
        <v>1</v>
      </c>
      <c r="B42" s="533" t="s">
        <v>153</v>
      </c>
      <c r="C42" s="535"/>
      <c r="D42" s="535"/>
      <c r="E42" s="535"/>
    </row>
    <row r="43" spans="1:5" ht="15" customHeight="1" x14ac:dyDescent="0.3">
      <c r="A43" s="536" t="s">
        <v>3</v>
      </c>
      <c r="B43" s="537">
        <v>99.3</v>
      </c>
      <c r="C43" s="535"/>
      <c r="D43" s="535"/>
      <c r="E43" s="535"/>
    </row>
    <row r="44" spans="1:5" ht="15" customHeight="1" x14ac:dyDescent="0.3">
      <c r="A44" s="533" t="s">
        <v>137</v>
      </c>
      <c r="B44" s="537">
        <f>'[3]Atazanavir S2'!D96</f>
        <v>15.15</v>
      </c>
      <c r="C44" s="535"/>
      <c r="D44" s="535"/>
      <c r="E44" s="535"/>
    </row>
    <row r="45" spans="1:5" ht="16.5" x14ac:dyDescent="0.3">
      <c r="A45" s="533" t="s">
        <v>138</v>
      </c>
      <c r="B45" s="538">
        <f>B44/100</f>
        <v>0.1515</v>
      </c>
      <c r="C45" s="535"/>
      <c r="D45" s="535"/>
      <c r="E45" s="535"/>
    </row>
    <row r="46" spans="1:5" ht="16.5" x14ac:dyDescent="0.3">
      <c r="A46" s="539" t="s">
        <v>139</v>
      </c>
      <c r="B46" s="540" t="s">
        <v>140</v>
      </c>
      <c r="C46" s="539" t="s">
        <v>141</v>
      </c>
      <c r="D46" s="539" t="s">
        <v>142</v>
      </c>
      <c r="E46" s="539" t="s">
        <v>143</v>
      </c>
    </row>
    <row r="47" spans="1:5" ht="16.5" x14ac:dyDescent="0.3">
      <c r="A47" s="541">
        <v>1</v>
      </c>
      <c r="B47" s="542">
        <v>91670617</v>
      </c>
      <c r="C47" s="542">
        <v>7362</v>
      </c>
      <c r="D47" s="543">
        <v>1.1000000000000001</v>
      </c>
      <c r="E47" s="544">
        <v>5.2</v>
      </c>
    </row>
    <row r="48" spans="1:5" ht="16.5" x14ac:dyDescent="0.3">
      <c r="A48" s="541">
        <v>2</v>
      </c>
      <c r="B48" s="542">
        <v>91493550</v>
      </c>
      <c r="C48" s="542">
        <v>7364</v>
      </c>
      <c r="D48" s="543">
        <v>1.1000000000000001</v>
      </c>
      <c r="E48" s="543">
        <v>5.2</v>
      </c>
    </row>
    <row r="49" spans="1:5" ht="16.5" x14ac:dyDescent="0.3">
      <c r="A49" s="541">
        <v>3</v>
      </c>
      <c r="B49" s="542">
        <v>91642731</v>
      </c>
      <c r="C49" s="542">
        <v>7341</v>
      </c>
      <c r="D49" s="543">
        <v>1.1000000000000001</v>
      </c>
      <c r="E49" s="543">
        <v>5.2</v>
      </c>
    </row>
    <row r="50" spans="1:5" ht="16.5" x14ac:dyDescent="0.3">
      <c r="A50" s="541">
        <v>4</v>
      </c>
      <c r="B50" s="542">
        <v>91772523</v>
      </c>
      <c r="C50" s="542">
        <v>7405</v>
      </c>
      <c r="D50" s="543">
        <v>1.08</v>
      </c>
      <c r="E50" s="543">
        <v>5.21</v>
      </c>
    </row>
    <row r="51" spans="1:5" ht="16.5" x14ac:dyDescent="0.3">
      <c r="A51" s="541">
        <v>5</v>
      </c>
      <c r="B51" s="542">
        <v>91723986</v>
      </c>
      <c r="C51" s="542">
        <v>7346</v>
      </c>
      <c r="D51" s="543">
        <v>1.1000000000000001</v>
      </c>
      <c r="E51" s="543">
        <v>5.21</v>
      </c>
    </row>
    <row r="52" spans="1:5" ht="16.5" x14ac:dyDescent="0.3">
      <c r="A52" s="541">
        <v>6</v>
      </c>
      <c r="B52" s="545">
        <v>91842106</v>
      </c>
      <c r="C52" s="545">
        <v>7377</v>
      </c>
      <c r="D52" s="546">
        <v>1.1000000000000001</v>
      </c>
      <c r="E52" s="546">
        <v>5.21</v>
      </c>
    </row>
    <row r="53" spans="1:5" ht="16.5" x14ac:dyDescent="0.3">
      <c r="A53" s="547" t="s">
        <v>144</v>
      </c>
      <c r="B53" s="548">
        <f>AVERAGE(B47:B52)</f>
        <v>91690918.833333328</v>
      </c>
      <c r="C53" s="549">
        <f>AVERAGE(C47:C52)</f>
        <v>7365.833333333333</v>
      </c>
      <c r="D53" s="550">
        <f>AVERAGE(D47:D52)</f>
        <v>1.0966666666666667</v>
      </c>
      <c r="E53" s="550">
        <f>AVERAGE(E47:E52)</f>
        <v>5.205000000000001</v>
      </c>
    </row>
    <row r="54" spans="1:5" ht="16.5" x14ac:dyDescent="0.3">
      <c r="A54" s="551" t="s">
        <v>145</v>
      </c>
      <c r="B54" s="552">
        <f>(STDEV(B47:B52)/B53)</f>
        <v>1.3114586227738736E-3</v>
      </c>
      <c r="C54" s="553"/>
      <c r="D54" s="553"/>
      <c r="E54" s="554"/>
    </row>
    <row r="55" spans="1:5" ht="16.5" x14ac:dyDescent="0.3">
      <c r="A55" s="555" t="s">
        <v>7</v>
      </c>
      <c r="B55" s="556">
        <f>COUNT(B47:B52)</f>
        <v>6</v>
      </c>
      <c r="C55" s="557"/>
      <c r="D55" s="558"/>
      <c r="E55" s="559"/>
    </row>
    <row r="56" spans="1:5" ht="15.75" x14ac:dyDescent="0.25">
      <c r="A56" s="535"/>
      <c r="B56" s="535"/>
      <c r="C56" s="535"/>
      <c r="D56" s="535"/>
      <c r="E56" s="535"/>
    </row>
    <row r="57" spans="1:5" ht="16.5" x14ac:dyDescent="0.3">
      <c r="A57" s="536" t="s">
        <v>146</v>
      </c>
      <c r="B57" s="560" t="s">
        <v>147</v>
      </c>
      <c r="C57" s="561"/>
      <c r="D57" s="561"/>
      <c r="E57" s="561"/>
    </row>
    <row r="58" spans="1:5" ht="16.5" x14ac:dyDescent="0.3">
      <c r="A58" s="536"/>
      <c r="B58" s="560"/>
      <c r="C58" s="561"/>
      <c r="D58" s="561"/>
      <c r="E58" s="561"/>
    </row>
    <row r="59" spans="1:5" ht="16.5" x14ac:dyDescent="0.3">
      <c r="A59" s="536" t="s">
        <v>154</v>
      </c>
      <c r="B59" s="560"/>
      <c r="C59" s="561"/>
      <c r="D59" s="561"/>
      <c r="E59" s="561"/>
    </row>
    <row r="60" spans="1:5" ht="16.5" x14ac:dyDescent="0.3">
      <c r="A60" s="531" t="s">
        <v>0</v>
      </c>
      <c r="B60" s="532" t="s">
        <v>155</v>
      </c>
    </row>
    <row r="61" spans="1:5" ht="16.5" x14ac:dyDescent="0.3">
      <c r="A61" s="536" t="s">
        <v>1</v>
      </c>
      <c r="B61" s="533" t="s">
        <v>153</v>
      </c>
      <c r="C61" s="535"/>
      <c r="D61" s="535"/>
      <c r="E61" s="535"/>
    </row>
    <row r="62" spans="1:5" ht="16.5" x14ac:dyDescent="0.3">
      <c r="A62" s="536" t="s">
        <v>3</v>
      </c>
      <c r="B62" s="537">
        <v>99.3</v>
      </c>
      <c r="C62" s="535"/>
      <c r="D62" s="535"/>
      <c r="E62" s="535"/>
    </row>
    <row r="63" spans="1:5" ht="16.5" x14ac:dyDescent="0.3">
      <c r="A63" s="533" t="s">
        <v>137</v>
      </c>
      <c r="B63" s="537">
        <f>'[3]Atazanavir S2'!D139</f>
        <v>14.28</v>
      </c>
      <c r="C63" s="535"/>
      <c r="D63" s="535"/>
      <c r="E63" s="535"/>
    </row>
    <row r="64" spans="1:5" ht="16.5" x14ac:dyDescent="0.3">
      <c r="A64" s="533" t="s">
        <v>138</v>
      </c>
      <c r="B64" s="538">
        <f>B63/100</f>
        <v>0.14279999999999998</v>
      </c>
      <c r="C64" s="535"/>
      <c r="D64" s="535"/>
      <c r="E64" s="535"/>
    </row>
    <row r="65" spans="1:7" ht="16.5" x14ac:dyDescent="0.3">
      <c r="A65" s="539" t="s">
        <v>139</v>
      </c>
      <c r="B65" s="540" t="s">
        <v>140</v>
      </c>
      <c r="C65" s="539" t="s">
        <v>141</v>
      </c>
      <c r="D65" s="539" t="s">
        <v>142</v>
      </c>
      <c r="E65" s="539" t="s">
        <v>143</v>
      </c>
    </row>
    <row r="66" spans="1:7" ht="16.5" x14ac:dyDescent="0.3">
      <c r="A66" s="541">
        <v>1</v>
      </c>
      <c r="B66" s="542">
        <v>90314045</v>
      </c>
      <c r="C66" s="542">
        <v>9603</v>
      </c>
      <c r="D66" s="543">
        <v>1.06</v>
      </c>
      <c r="E66" s="544">
        <v>9.0299999999999994</v>
      </c>
    </row>
    <row r="67" spans="1:7" ht="16.5" x14ac:dyDescent="0.3">
      <c r="A67" s="541">
        <v>2</v>
      </c>
      <c r="B67" s="542">
        <v>90217690</v>
      </c>
      <c r="C67" s="542">
        <v>9643</v>
      </c>
      <c r="D67" s="543">
        <v>1.05</v>
      </c>
      <c r="E67" s="543">
        <v>9.0299999999999994</v>
      </c>
    </row>
    <row r="68" spans="1:7" ht="16.5" x14ac:dyDescent="0.3">
      <c r="A68" s="541">
        <v>3</v>
      </c>
      <c r="B68" s="542">
        <v>89963665</v>
      </c>
      <c r="C68" s="542">
        <v>9614</v>
      </c>
      <c r="D68" s="543">
        <v>1.06</v>
      </c>
      <c r="E68" s="543">
        <v>9.0299999999999994</v>
      </c>
    </row>
    <row r="69" spans="1:7" ht="16.5" x14ac:dyDescent="0.3">
      <c r="A69" s="541">
        <v>4</v>
      </c>
      <c r="B69" s="542">
        <v>90046512</v>
      </c>
      <c r="C69" s="542">
        <v>9647</v>
      </c>
      <c r="D69" s="543">
        <v>1.05</v>
      </c>
      <c r="E69" s="543">
        <v>9.0299999999999994</v>
      </c>
    </row>
    <row r="70" spans="1:7" ht="16.5" x14ac:dyDescent="0.3">
      <c r="A70" s="541">
        <v>5</v>
      </c>
      <c r="B70" s="542">
        <v>90166017</v>
      </c>
      <c r="C70" s="542">
        <v>9632</v>
      </c>
      <c r="D70" s="543">
        <v>1.06</v>
      </c>
      <c r="E70" s="543">
        <v>9.0299999999999994</v>
      </c>
    </row>
    <row r="71" spans="1:7" ht="16.5" x14ac:dyDescent="0.3">
      <c r="A71" s="541">
        <v>6</v>
      </c>
      <c r="B71" s="545">
        <v>90070599</v>
      </c>
      <c r="C71" s="545">
        <v>9626</v>
      </c>
      <c r="D71" s="546">
        <v>1.06</v>
      </c>
      <c r="E71" s="546">
        <v>9.0299999999999994</v>
      </c>
    </row>
    <row r="72" spans="1:7" ht="16.5" x14ac:dyDescent="0.3">
      <c r="A72" s="547" t="s">
        <v>144</v>
      </c>
      <c r="B72" s="548">
        <f>AVERAGE(B66:B71)</f>
        <v>90129754.666666672</v>
      </c>
      <c r="C72" s="549">
        <f>AVERAGE(C66:C71)</f>
        <v>9627.5</v>
      </c>
      <c r="D72" s="550">
        <f>AVERAGE(D66:D71)</f>
        <v>1.0566666666666669</v>
      </c>
      <c r="E72" s="550">
        <f>AVERAGE(E66:E71)</f>
        <v>9.0299999999999994</v>
      </c>
    </row>
    <row r="73" spans="1:7" ht="16.5" x14ac:dyDescent="0.3">
      <c r="A73" s="551" t="s">
        <v>145</v>
      </c>
      <c r="B73" s="552">
        <f>(STDEV(B66:B71)/B72)</f>
        <v>1.4123956724406818E-3</v>
      </c>
      <c r="C73" s="553"/>
      <c r="D73" s="553"/>
      <c r="E73" s="554"/>
    </row>
    <row r="74" spans="1:7" ht="16.5" x14ac:dyDescent="0.3">
      <c r="A74" s="555" t="s">
        <v>7</v>
      </c>
      <c r="B74" s="556">
        <f>COUNT(B66:B71)</f>
        <v>6</v>
      </c>
      <c r="C74" s="557"/>
      <c r="D74" s="558"/>
      <c r="E74" s="559"/>
    </row>
    <row r="75" spans="1:7" ht="15.75" x14ac:dyDescent="0.25">
      <c r="A75" s="535"/>
      <c r="B75" s="535"/>
      <c r="C75" s="535"/>
      <c r="D75" s="535"/>
      <c r="E75" s="535"/>
    </row>
    <row r="76" spans="1:7" ht="16.5" x14ac:dyDescent="0.3">
      <c r="A76" s="536" t="s">
        <v>146</v>
      </c>
      <c r="B76" s="560" t="s">
        <v>147</v>
      </c>
      <c r="C76" s="561"/>
      <c r="D76" s="561"/>
      <c r="E76" s="561"/>
    </row>
    <row r="77" spans="1:7" ht="17.25" thickBot="1" x14ac:dyDescent="0.35">
      <c r="A77" s="536"/>
      <c r="B77" s="560"/>
      <c r="C77" s="561"/>
      <c r="D77" s="561"/>
      <c r="E77" s="561"/>
    </row>
    <row r="78" spans="1:7" ht="15" x14ac:dyDescent="0.3">
      <c r="B78" s="562" t="s">
        <v>8</v>
      </c>
      <c r="C78" s="562"/>
      <c r="E78" s="563" t="s">
        <v>9</v>
      </c>
      <c r="F78" s="564"/>
      <c r="G78" s="563" t="s">
        <v>10</v>
      </c>
    </row>
    <row r="79" spans="1:7" ht="15" x14ac:dyDescent="0.3">
      <c r="A79" s="565" t="s">
        <v>11</v>
      </c>
      <c r="B79" s="566"/>
      <c r="C79" s="566"/>
      <c r="E79" s="566"/>
      <c r="G79" s="566"/>
    </row>
    <row r="80" spans="1:7" ht="15" x14ac:dyDescent="0.3">
      <c r="A80" s="565" t="s">
        <v>12</v>
      </c>
      <c r="B80" s="567"/>
      <c r="C80" s="567"/>
      <c r="E80" s="567"/>
      <c r="G80" s="568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78:C78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37" zoomScale="60" zoomScaleNormal="60" zoomScalePageLayoutView="55" workbookViewId="0">
      <selection activeCell="F60" sqref="F60: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9" t="s">
        <v>13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14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x14ac:dyDescent="0.3">
      <c r="A15" s="6"/>
    </row>
    <row r="16" spans="1:9" ht="19.5" customHeight="1" x14ac:dyDescent="0.3">
      <c r="A16" s="503" t="s">
        <v>15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16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8" t="s">
        <v>17</v>
      </c>
      <c r="B18" s="502" t="s">
        <v>2</v>
      </c>
      <c r="C18" s="502"/>
      <c r="D18" s="170"/>
      <c r="E18" s="9"/>
      <c r="F18" s="10"/>
      <c r="G18" s="10"/>
      <c r="H18" s="10"/>
    </row>
    <row r="19" spans="1:14" ht="26.25" customHeight="1" x14ac:dyDescent="0.4">
      <c r="A19" s="8" t="s">
        <v>18</v>
      </c>
      <c r="B19" s="11" t="s">
        <v>4</v>
      </c>
      <c r="C19" s="183">
        <v>29</v>
      </c>
      <c r="D19" s="10"/>
      <c r="E19" s="10"/>
      <c r="F19" s="10"/>
      <c r="G19" s="10"/>
      <c r="H19" s="10"/>
    </row>
    <row r="20" spans="1:14" ht="26.25" customHeight="1" x14ac:dyDescent="0.4">
      <c r="A20" s="8" t="s">
        <v>19</v>
      </c>
      <c r="B20" s="507" t="s">
        <v>123</v>
      </c>
      <c r="C20" s="507"/>
      <c r="D20" s="10"/>
      <c r="E20" s="10"/>
      <c r="F20" s="10"/>
      <c r="G20" s="10"/>
      <c r="H20" s="10"/>
    </row>
    <row r="21" spans="1:14" ht="26.25" customHeight="1" x14ac:dyDescent="0.4">
      <c r="A21" s="8" t="s">
        <v>20</v>
      </c>
      <c r="B21" s="507" t="s">
        <v>129</v>
      </c>
      <c r="C21" s="507"/>
      <c r="D21" s="507"/>
      <c r="E21" s="507"/>
      <c r="F21" s="507"/>
      <c r="G21" s="507"/>
      <c r="H21" s="507"/>
      <c r="I21" s="12"/>
    </row>
    <row r="22" spans="1:14" ht="26.25" customHeight="1" x14ac:dyDescent="0.4">
      <c r="A22" s="8" t="s">
        <v>21</v>
      </c>
      <c r="B22" s="13"/>
      <c r="C22" s="10"/>
      <c r="D22" s="10"/>
      <c r="E22" s="10"/>
      <c r="F22" s="10"/>
      <c r="G22" s="10"/>
      <c r="H22" s="10"/>
    </row>
    <row r="23" spans="1:14" ht="26.25" customHeight="1" x14ac:dyDescent="0.4">
      <c r="A23" s="8" t="s">
        <v>22</v>
      </c>
      <c r="B23" s="13"/>
      <c r="C23" s="10"/>
      <c r="D23" s="10"/>
      <c r="E23" s="10"/>
      <c r="F23" s="10"/>
      <c r="G23" s="10"/>
      <c r="H23" s="10"/>
    </row>
    <row r="24" spans="1:14" ht="18.75" x14ac:dyDescent="0.3">
      <c r="A24" s="8"/>
      <c r="B24" s="14"/>
    </row>
    <row r="25" spans="1:14" ht="18.75" x14ac:dyDescent="0.3">
      <c r="A25" s="15" t="s">
        <v>0</v>
      </c>
      <c r="B25" s="14"/>
    </row>
    <row r="26" spans="1:14" ht="26.25" customHeight="1" x14ac:dyDescent="0.4">
      <c r="A26" s="16" t="s">
        <v>1</v>
      </c>
      <c r="B26" s="502" t="s">
        <v>125</v>
      </c>
      <c r="C26" s="502"/>
    </row>
    <row r="27" spans="1:14" ht="26.25" customHeight="1" x14ac:dyDescent="0.4">
      <c r="A27" s="17" t="s">
        <v>23</v>
      </c>
      <c r="B27" s="500" t="s">
        <v>124</v>
      </c>
      <c r="C27" s="500"/>
    </row>
    <row r="28" spans="1:14" ht="27" customHeight="1" x14ac:dyDescent="0.4">
      <c r="A28" s="17" t="s">
        <v>3</v>
      </c>
      <c r="B28" s="250">
        <v>99.3</v>
      </c>
    </row>
    <row r="29" spans="1:14" s="3" customFormat="1" ht="27" customHeight="1" x14ac:dyDescent="0.4">
      <c r="A29" s="17" t="s">
        <v>24</v>
      </c>
      <c r="B29" s="230">
        <v>0</v>
      </c>
      <c r="C29" s="477" t="s">
        <v>25</v>
      </c>
      <c r="D29" s="478"/>
      <c r="E29" s="478"/>
      <c r="F29" s="478"/>
      <c r="G29" s="479"/>
      <c r="I29" s="20"/>
      <c r="J29" s="20"/>
      <c r="K29" s="20"/>
      <c r="L29" s="20"/>
    </row>
    <row r="30" spans="1:14" s="3" customFormat="1" ht="19.5" customHeight="1" x14ac:dyDescent="0.3">
      <c r="A30" s="17" t="s">
        <v>26</v>
      </c>
      <c r="B30" s="254">
        <f>B28-B29</f>
        <v>99.3</v>
      </c>
      <c r="C30" s="22"/>
      <c r="D30" s="22"/>
      <c r="E30" s="22"/>
      <c r="F30" s="22"/>
      <c r="G30" s="23"/>
      <c r="I30" s="20"/>
      <c r="J30" s="20"/>
      <c r="K30" s="20"/>
      <c r="L30" s="20"/>
    </row>
    <row r="31" spans="1:14" s="3" customFormat="1" ht="27" customHeight="1" x14ac:dyDescent="0.4">
      <c r="A31" s="17" t="s">
        <v>27</v>
      </c>
      <c r="B31" s="233">
        <v>1</v>
      </c>
      <c r="C31" s="480" t="s">
        <v>28</v>
      </c>
      <c r="D31" s="481"/>
      <c r="E31" s="481"/>
      <c r="F31" s="481"/>
      <c r="G31" s="481"/>
      <c r="H31" s="482"/>
      <c r="I31" s="20"/>
      <c r="J31" s="20"/>
      <c r="K31" s="20"/>
      <c r="L31" s="20"/>
    </row>
    <row r="32" spans="1:14" s="3" customFormat="1" ht="27" customHeight="1" x14ac:dyDescent="0.4">
      <c r="A32" s="17" t="s">
        <v>29</v>
      </c>
      <c r="B32" s="233">
        <v>1</v>
      </c>
      <c r="C32" s="480" t="s">
        <v>30</v>
      </c>
      <c r="D32" s="481"/>
      <c r="E32" s="481"/>
      <c r="F32" s="481"/>
      <c r="G32" s="481"/>
      <c r="H32" s="482"/>
      <c r="I32" s="20"/>
      <c r="J32" s="20"/>
      <c r="K32" s="20"/>
      <c r="L32" s="25"/>
      <c r="M32" s="25"/>
      <c r="N32" s="26"/>
    </row>
    <row r="33" spans="1:14" s="3" customFormat="1" ht="17.25" customHeight="1" x14ac:dyDescent="0.3">
      <c r="A33" s="17"/>
      <c r="B33" s="234"/>
      <c r="C33" s="28"/>
      <c r="D33" s="28"/>
      <c r="E33" s="28"/>
      <c r="F33" s="28"/>
      <c r="G33" s="28"/>
      <c r="H33" s="28"/>
      <c r="I33" s="20"/>
      <c r="J33" s="20"/>
      <c r="K33" s="20"/>
      <c r="L33" s="25"/>
      <c r="M33" s="25"/>
      <c r="N33" s="26"/>
    </row>
    <row r="34" spans="1:14" s="3" customFormat="1" ht="18.75" x14ac:dyDescent="0.3">
      <c r="A34" s="17" t="s">
        <v>31</v>
      </c>
      <c r="B34" s="235">
        <v>1</v>
      </c>
      <c r="C34" s="7" t="s">
        <v>32</v>
      </c>
      <c r="D34" s="7"/>
      <c r="E34" s="7"/>
      <c r="F34" s="7"/>
      <c r="G34" s="7"/>
      <c r="I34" s="20"/>
      <c r="J34" s="20"/>
      <c r="K34" s="20"/>
      <c r="L34" s="25"/>
      <c r="M34" s="25"/>
      <c r="N34" s="26"/>
    </row>
    <row r="35" spans="1:14" s="3" customFormat="1" ht="19.5" customHeight="1" x14ac:dyDescent="0.3">
      <c r="A35" s="17"/>
      <c r="B35" s="254"/>
      <c r="G35" s="7"/>
      <c r="I35" s="20"/>
      <c r="J35" s="20"/>
      <c r="K35" s="20"/>
      <c r="L35" s="25"/>
      <c r="M35" s="25"/>
      <c r="N35" s="26"/>
    </row>
    <row r="36" spans="1:14" s="3" customFormat="1" ht="27" customHeight="1" x14ac:dyDescent="0.4">
      <c r="A36" s="30" t="s">
        <v>33</v>
      </c>
      <c r="B36" s="236">
        <v>100</v>
      </c>
      <c r="C36" s="7"/>
      <c r="D36" s="483" t="s">
        <v>34</v>
      </c>
      <c r="E36" s="501"/>
      <c r="F36" s="483" t="s">
        <v>35</v>
      </c>
      <c r="G36" s="484"/>
      <c r="J36" s="20"/>
      <c r="K36" s="20"/>
      <c r="L36" s="25"/>
      <c r="M36" s="25"/>
      <c r="N36" s="26"/>
    </row>
    <row r="37" spans="1:14" s="3" customFormat="1" ht="27" customHeight="1" x14ac:dyDescent="0.4">
      <c r="A37" s="32" t="s">
        <v>36</v>
      </c>
      <c r="B37" s="237">
        <v>1</v>
      </c>
      <c r="C37" s="34" t="s">
        <v>37</v>
      </c>
      <c r="D37" s="35" t="s">
        <v>38</v>
      </c>
      <c r="E37" s="36" t="s">
        <v>39</v>
      </c>
      <c r="F37" s="35" t="s">
        <v>38</v>
      </c>
      <c r="G37" s="37" t="s">
        <v>39</v>
      </c>
      <c r="I37" s="38" t="s">
        <v>40</v>
      </c>
      <c r="J37" s="20"/>
      <c r="K37" s="20"/>
      <c r="L37" s="25"/>
      <c r="M37" s="25"/>
      <c r="N37" s="26"/>
    </row>
    <row r="38" spans="1:14" s="3" customFormat="1" ht="26.25" customHeight="1" x14ac:dyDescent="0.4">
      <c r="A38" s="32" t="s">
        <v>41</v>
      </c>
      <c r="B38" s="237">
        <v>1</v>
      </c>
      <c r="C38" s="39">
        <v>1</v>
      </c>
      <c r="D38" s="238">
        <v>48253019</v>
      </c>
      <c r="E38" s="41">
        <f>IF(ISBLANK(D38),"-",$D$48/$D$45*D38)</f>
        <v>47733959.919831753</v>
      </c>
      <c r="F38" s="238">
        <v>50223843</v>
      </c>
      <c r="G38" s="42">
        <f>IF(ISBLANK(F38),"-",$D$48/$F$45*F38)</f>
        <v>47269054.40889968</v>
      </c>
      <c r="I38" s="43"/>
      <c r="J38" s="20"/>
      <c r="K38" s="20"/>
      <c r="L38" s="25"/>
      <c r="M38" s="25"/>
      <c r="N38" s="26"/>
    </row>
    <row r="39" spans="1:14" s="3" customFormat="1" ht="26.25" customHeight="1" x14ac:dyDescent="0.4">
      <c r="A39" s="32" t="s">
        <v>42</v>
      </c>
      <c r="B39" s="237">
        <v>1</v>
      </c>
      <c r="C39" s="44">
        <v>2</v>
      </c>
      <c r="D39" s="239">
        <v>48255490</v>
      </c>
      <c r="E39" s="46">
        <f>IF(ISBLANK(D39),"-",$D$48/$D$45*D39)</f>
        <v>47736404.339215375</v>
      </c>
      <c r="F39" s="239">
        <v>50378828</v>
      </c>
      <c r="G39" s="47">
        <f>IF(ISBLANK(F39),"-",$D$48/$F$45*F39)</f>
        <v>47414921.271329209</v>
      </c>
      <c r="I39" s="485">
        <f>ABS((F43/D43*D42)-F42)/D42</f>
        <v>7.8448818037165809E-3</v>
      </c>
      <c r="J39" s="20"/>
      <c r="K39" s="20"/>
      <c r="L39" s="25"/>
      <c r="M39" s="25"/>
      <c r="N39" s="26"/>
    </row>
    <row r="40" spans="1:14" ht="26.25" customHeight="1" x14ac:dyDescent="0.4">
      <c r="A40" s="32" t="s">
        <v>43</v>
      </c>
      <c r="B40" s="237">
        <v>1</v>
      </c>
      <c r="C40" s="44">
        <v>3</v>
      </c>
      <c r="D40" s="239">
        <v>48191070</v>
      </c>
      <c r="E40" s="46">
        <f>IF(ISBLANK(D40),"-",$D$48/$D$45*D40)</f>
        <v>47672677.306964077</v>
      </c>
      <c r="F40" s="239">
        <v>50353091</v>
      </c>
      <c r="G40" s="47">
        <f>IF(ISBLANK(F40),"-",$D$48/$F$45*F40)</f>
        <v>47390698.440485269</v>
      </c>
      <c r="I40" s="485"/>
      <c r="L40" s="25"/>
      <c r="M40" s="25"/>
      <c r="N40" s="48"/>
    </row>
    <row r="41" spans="1:14" ht="27" customHeight="1" x14ac:dyDescent="0.4">
      <c r="A41" s="32" t="s">
        <v>44</v>
      </c>
      <c r="B41" s="237">
        <v>1</v>
      </c>
      <c r="C41" s="49">
        <v>4</v>
      </c>
      <c r="D41" s="240"/>
      <c r="E41" s="51" t="str">
        <f>IF(ISBLANK(D41),"-",$D$48/$D$45*D41)</f>
        <v>-</v>
      </c>
      <c r="F41" s="240"/>
      <c r="G41" s="52" t="str">
        <f>IF(ISBLANK(F41),"-",$D$48/$F$45*F41)</f>
        <v>-</v>
      </c>
      <c r="I41" s="53"/>
      <c r="L41" s="25"/>
      <c r="M41" s="25"/>
      <c r="N41" s="48"/>
    </row>
    <row r="42" spans="1:14" ht="27" customHeight="1" x14ac:dyDescent="0.4">
      <c r="A42" s="32" t="s">
        <v>45</v>
      </c>
      <c r="B42" s="237">
        <v>1</v>
      </c>
      <c r="C42" s="54" t="s">
        <v>46</v>
      </c>
      <c r="D42" s="241">
        <v>48233193</v>
      </c>
      <c r="E42" s="55">
        <f>AVERAGE(E38:E41)</f>
        <v>47714347.188670397</v>
      </c>
      <c r="F42" s="241">
        <v>50318587.333333336</v>
      </c>
      <c r="G42" s="56">
        <f>AVERAGE(G38:G41)</f>
        <v>47358224.706904717</v>
      </c>
      <c r="H42" s="57"/>
    </row>
    <row r="43" spans="1:14" ht="26.25" customHeight="1" x14ac:dyDescent="0.4">
      <c r="A43" s="32" t="s">
        <v>47</v>
      </c>
      <c r="B43" s="237">
        <v>1</v>
      </c>
      <c r="C43" s="58" t="s">
        <v>48</v>
      </c>
      <c r="D43" s="242">
        <v>20.36</v>
      </c>
      <c r="E43" s="48"/>
      <c r="F43" s="242">
        <v>21.4</v>
      </c>
      <c r="H43" s="57"/>
    </row>
    <row r="44" spans="1:14" ht="26.25" customHeight="1" x14ac:dyDescent="0.4">
      <c r="A44" s="32" t="s">
        <v>49</v>
      </c>
      <c r="B44" s="237">
        <v>1</v>
      </c>
      <c r="C44" s="60" t="s">
        <v>50</v>
      </c>
      <c r="D44" s="243">
        <f>D43*$B$34</f>
        <v>20.36</v>
      </c>
      <c r="E44" s="62"/>
      <c r="F44" s="61">
        <f>F43*$B$34</f>
        <v>21.4</v>
      </c>
      <c r="H44" s="57"/>
    </row>
    <row r="45" spans="1:14" ht="19.5" customHeight="1" x14ac:dyDescent="0.3">
      <c r="A45" s="32" t="s">
        <v>51</v>
      </c>
      <c r="B45" s="244">
        <f>(B44/B43)*(B42/B41)*(B40/B39)*(B38/B37)*B36</f>
        <v>100</v>
      </c>
      <c r="C45" s="60" t="s">
        <v>52</v>
      </c>
      <c r="D45" s="245">
        <f>D44*$B$30/100</f>
        <v>20.217479999999998</v>
      </c>
      <c r="E45" s="65"/>
      <c r="F45" s="64">
        <f>F44*$B$30/100</f>
        <v>21.2502</v>
      </c>
      <c r="H45" s="57"/>
    </row>
    <row r="46" spans="1:14" ht="19.5" customHeight="1" x14ac:dyDescent="0.3">
      <c r="A46" s="471" t="s">
        <v>53</v>
      </c>
      <c r="B46" s="472"/>
      <c r="C46" s="60" t="s">
        <v>54</v>
      </c>
      <c r="D46" s="246">
        <f>D45/$B$45</f>
        <v>0.20217479999999999</v>
      </c>
      <c r="E46" s="66"/>
      <c r="F46" s="67">
        <f>F45/$B$45</f>
        <v>0.212502</v>
      </c>
      <c r="H46" s="57"/>
    </row>
    <row r="47" spans="1:14" ht="27" customHeight="1" x14ac:dyDescent="0.4">
      <c r="A47" s="473"/>
      <c r="B47" s="474"/>
      <c r="C47" s="68" t="s">
        <v>55</v>
      </c>
      <c r="D47" s="247">
        <v>0.2</v>
      </c>
      <c r="E47" s="69"/>
      <c r="F47" s="66"/>
      <c r="H47" s="57"/>
    </row>
    <row r="48" spans="1:14" ht="18.75" x14ac:dyDescent="0.3">
      <c r="C48" s="70" t="s">
        <v>56</v>
      </c>
      <c r="D48" s="64">
        <f>D47*$B$45</f>
        <v>20</v>
      </c>
      <c r="F48" s="71"/>
      <c r="H48" s="57"/>
    </row>
    <row r="49" spans="1:12" ht="19.5" customHeight="1" x14ac:dyDescent="0.3">
      <c r="C49" s="72" t="s">
        <v>57</v>
      </c>
      <c r="D49" s="73">
        <f>D48/B34</f>
        <v>20</v>
      </c>
      <c r="F49" s="71"/>
      <c r="H49" s="57"/>
    </row>
    <row r="50" spans="1:12" ht="18.75" x14ac:dyDescent="0.3">
      <c r="C50" s="30" t="s">
        <v>58</v>
      </c>
      <c r="D50" s="74">
        <f>AVERAGE(E38:E41,G38:G41)</f>
        <v>47536285.947787561</v>
      </c>
      <c r="F50" s="75"/>
      <c r="H50" s="57"/>
    </row>
    <row r="51" spans="1:12" ht="18.75" x14ac:dyDescent="0.3">
      <c r="C51" s="32" t="s">
        <v>59</v>
      </c>
      <c r="D51" s="76">
        <f>STDEV(E38:E41,G38:G41)/D50</f>
        <v>4.260231174459758E-3</v>
      </c>
      <c r="F51" s="75"/>
      <c r="H51" s="57"/>
    </row>
    <row r="52" spans="1:12" ht="19.5" customHeight="1" x14ac:dyDescent="0.3">
      <c r="C52" s="77" t="s">
        <v>7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60</v>
      </c>
    </row>
    <row r="55" spans="1:12" ht="18.75" x14ac:dyDescent="0.3">
      <c r="A55" s="7" t="s">
        <v>61</v>
      </c>
      <c r="B55" s="81" t="str">
        <f>B21</f>
        <v>Each film coated tablet contains: Ritonavir 100mg</v>
      </c>
    </row>
    <row r="56" spans="1:12" ht="26.25" customHeight="1" x14ac:dyDescent="0.4">
      <c r="A56" s="82" t="s">
        <v>62</v>
      </c>
      <c r="B56" s="83">
        <v>100</v>
      </c>
      <c r="C56" s="7" t="str">
        <f>B20</f>
        <v xml:space="preserve"> RITONAVIR </v>
      </c>
      <c r="H56" s="84"/>
    </row>
    <row r="57" spans="1:12" ht="18.75" x14ac:dyDescent="0.3">
      <c r="A57" s="81" t="s">
        <v>63</v>
      </c>
      <c r="B57" s="171">
        <f>Uniformity!C46</f>
        <v>1970.5519999999997</v>
      </c>
      <c r="H57" s="84"/>
    </row>
    <row r="58" spans="1:12" ht="19.5" customHeight="1" x14ac:dyDescent="0.3">
      <c r="H58" s="84"/>
    </row>
    <row r="59" spans="1:12" s="3" customFormat="1" ht="27" customHeight="1" x14ac:dyDescent="0.4">
      <c r="A59" s="30" t="s">
        <v>64</v>
      </c>
      <c r="B59" s="236">
        <v>100</v>
      </c>
      <c r="C59" s="7"/>
      <c r="D59" s="85" t="s">
        <v>65</v>
      </c>
      <c r="E59" s="86" t="s">
        <v>37</v>
      </c>
      <c r="F59" s="86" t="s">
        <v>38</v>
      </c>
      <c r="G59" s="86" t="s">
        <v>66</v>
      </c>
      <c r="H59" s="34" t="s">
        <v>67</v>
      </c>
      <c r="L59" s="20"/>
    </row>
    <row r="60" spans="1:12" s="3" customFormat="1" ht="26.25" customHeight="1" x14ac:dyDescent="0.4">
      <c r="A60" s="32" t="s">
        <v>68</v>
      </c>
      <c r="B60" s="237">
        <v>4</v>
      </c>
      <c r="C60" s="488" t="s">
        <v>69</v>
      </c>
      <c r="D60" s="491">
        <v>1976.37</v>
      </c>
      <c r="E60" s="87">
        <v>1</v>
      </c>
      <c r="F60" s="88">
        <v>47085572</v>
      </c>
      <c r="G60" s="172">
        <f>IF(ISBLANK(F60),"-",(F60/$D$50*$D$47*$B$68)*($B$57/$D$60))</f>
        <v>98.760265894934946</v>
      </c>
      <c r="H60" s="89">
        <f t="shared" ref="H60:H71" si="0">IF(ISBLANK(F60),"-",G60/$B$56)</f>
        <v>0.98760265894934951</v>
      </c>
      <c r="L60" s="20"/>
    </row>
    <row r="61" spans="1:12" s="3" customFormat="1" ht="26.25" customHeight="1" x14ac:dyDescent="0.4">
      <c r="A61" s="32" t="s">
        <v>70</v>
      </c>
      <c r="B61" s="237">
        <v>20</v>
      </c>
      <c r="C61" s="489"/>
      <c r="D61" s="492"/>
      <c r="E61" s="90">
        <v>2</v>
      </c>
      <c r="F61" s="45">
        <v>46989477</v>
      </c>
      <c r="G61" s="173">
        <f>IF(ISBLANK(F61),"-",(F61/$D$50*$D$47*$B$68)*($B$57/$D$60))</f>
        <v>98.558710145518248</v>
      </c>
      <c r="H61" s="91">
        <f t="shared" si="0"/>
        <v>0.98558710145518247</v>
      </c>
      <c r="L61" s="20"/>
    </row>
    <row r="62" spans="1:12" s="3" customFormat="1" ht="26.25" customHeight="1" x14ac:dyDescent="0.4">
      <c r="A62" s="32" t="s">
        <v>71</v>
      </c>
      <c r="B62" s="237">
        <v>1</v>
      </c>
      <c r="C62" s="489"/>
      <c r="D62" s="492"/>
      <c r="E62" s="90">
        <v>3</v>
      </c>
      <c r="F62" s="92">
        <v>47105524</v>
      </c>
      <c r="G62" s="173">
        <f>IF(ISBLANK(F62),"-",(F62/$D$50*$D$47*$B$68)*($B$57/$D$60))</f>
        <v>98.802114485520946</v>
      </c>
      <c r="H62" s="91">
        <f t="shared" si="0"/>
        <v>0.98802114485520942</v>
      </c>
      <c r="L62" s="20"/>
    </row>
    <row r="63" spans="1:12" ht="27" customHeight="1" x14ac:dyDescent="0.4">
      <c r="A63" s="32" t="s">
        <v>72</v>
      </c>
      <c r="B63" s="237">
        <v>1</v>
      </c>
      <c r="C63" s="499"/>
      <c r="D63" s="493"/>
      <c r="E63" s="93">
        <v>4</v>
      </c>
      <c r="F63" s="94"/>
      <c r="G63" s="173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32" t="s">
        <v>73</v>
      </c>
      <c r="B64" s="237">
        <v>1</v>
      </c>
      <c r="C64" s="488" t="s">
        <v>74</v>
      </c>
      <c r="D64" s="491">
        <v>1972.47</v>
      </c>
      <c r="E64" s="87">
        <v>1</v>
      </c>
      <c r="F64" s="88">
        <v>48330846</v>
      </c>
      <c r="G64" s="174">
        <f>IF(ISBLANK(F64),"-",(F64/$D$50*$D$47*$B$68)*($B$57/$D$64))</f>
        <v>101.57261732489945</v>
      </c>
      <c r="H64" s="95">
        <f t="shared" si="0"/>
        <v>1.0157261732489946</v>
      </c>
    </row>
    <row r="65" spans="1:8" ht="26.25" customHeight="1" x14ac:dyDescent="0.4">
      <c r="A65" s="32" t="s">
        <v>75</v>
      </c>
      <c r="B65" s="237">
        <v>1</v>
      </c>
      <c r="C65" s="489"/>
      <c r="D65" s="492"/>
      <c r="E65" s="90">
        <v>2</v>
      </c>
      <c r="F65" s="45">
        <v>48717401</v>
      </c>
      <c r="G65" s="175">
        <f>IF(ISBLANK(F65),"-",(F65/$D$50*$D$47*$B$68)*($B$57/$D$64))</f>
        <v>102.38500540289888</v>
      </c>
      <c r="H65" s="96">
        <f>IF(ISBLANK(F65),"-",G65/$B$56)</f>
        <v>1.0238500540289888</v>
      </c>
    </row>
    <row r="66" spans="1:8" ht="26.25" customHeight="1" x14ac:dyDescent="0.4">
      <c r="A66" s="32" t="s">
        <v>76</v>
      </c>
      <c r="B66" s="237">
        <v>1</v>
      </c>
      <c r="C66" s="489"/>
      <c r="D66" s="492"/>
      <c r="E66" s="90">
        <v>3</v>
      </c>
      <c r="F66" s="45">
        <v>48775024</v>
      </c>
      <c r="G66" s="175">
        <f>IF(ISBLANK(F66),"-",(F66/$D$50*$D$47*$B$68)*($B$57/$D$64))</f>
        <v>102.50610650938712</v>
      </c>
      <c r="H66" s="96">
        <f>IF(ISBLANK(F66),"-",G66/$B$56)</f>
        <v>1.0250610650938712</v>
      </c>
    </row>
    <row r="67" spans="1:8" ht="27" customHeight="1" thickBot="1" x14ac:dyDescent="0.45">
      <c r="A67" s="32" t="s">
        <v>77</v>
      </c>
      <c r="B67" s="237">
        <v>1</v>
      </c>
      <c r="C67" s="499"/>
      <c r="D67" s="493"/>
      <c r="E67" s="93">
        <v>4</v>
      </c>
      <c r="F67" s="94"/>
      <c r="G67" s="176" t="str">
        <f>IF(ISBLANK(F67),"-",(F67/$D$50*$D$47*$B$68)*($B$57/$D$64))</f>
        <v>-</v>
      </c>
      <c r="H67" s="97" t="str">
        <f>IF(ISBLANK(F67),"-",G67/$B$56)</f>
        <v>-</v>
      </c>
    </row>
    <row r="68" spans="1:8" ht="26.25" customHeight="1" x14ac:dyDescent="0.4">
      <c r="A68" s="32" t="s">
        <v>78</v>
      </c>
      <c r="B68" s="248">
        <f>(B67/B66)*(B65/B64)*(B63/B62)*(B61/B60)*B59</f>
        <v>500</v>
      </c>
      <c r="C68" s="488" t="s">
        <v>79</v>
      </c>
      <c r="D68" s="491">
        <v>1964.45</v>
      </c>
      <c r="E68" s="87">
        <v>1</v>
      </c>
      <c r="F68" s="88">
        <v>48281654</v>
      </c>
      <c r="G68" s="174">
        <f>IF(ISBLANK(F68),"-",(F68/$D$50*$D$47*$B$68)*($B$57/$D$68))</f>
        <v>101.88348991204296</v>
      </c>
      <c r="H68" s="91">
        <f t="shared" si="0"/>
        <v>1.0188348991204297</v>
      </c>
    </row>
    <row r="69" spans="1:8" ht="27" customHeight="1" x14ac:dyDescent="0.4">
      <c r="A69" s="77" t="s">
        <v>80</v>
      </c>
      <c r="B69" s="249">
        <f>(D47*B68)/B56*B57</f>
        <v>1970.5519999999997</v>
      </c>
      <c r="C69" s="489"/>
      <c r="D69" s="492"/>
      <c r="E69" s="90">
        <v>2</v>
      </c>
      <c r="F69" s="45">
        <v>48280546</v>
      </c>
      <c r="G69" s="175">
        <f>IF(ISBLANK(F69),"-",(F69/$D$50*$D$47*$B$68)*($B$57/$D$68))</f>
        <v>101.8811518209158</v>
      </c>
      <c r="H69" s="91">
        <f t="shared" si="0"/>
        <v>1.0188115182091579</v>
      </c>
    </row>
    <row r="70" spans="1:8" ht="26.25" customHeight="1" x14ac:dyDescent="0.4">
      <c r="A70" s="494" t="s">
        <v>53</v>
      </c>
      <c r="B70" s="495"/>
      <c r="C70" s="489"/>
      <c r="D70" s="492"/>
      <c r="E70" s="90">
        <v>3</v>
      </c>
      <c r="F70" s="45">
        <v>47883367</v>
      </c>
      <c r="G70" s="175">
        <f>IF(ISBLANK(F70),"-",(F70/$D$50*$D$47*$B$68)*($B$57/$D$68))</f>
        <v>101.04302844925633</v>
      </c>
      <c r="H70" s="91">
        <f t="shared" si="0"/>
        <v>1.0104302844925632</v>
      </c>
    </row>
    <row r="71" spans="1:8" ht="27" customHeight="1" x14ac:dyDescent="0.4">
      <c r="A71" s="496"/>
      <c r="B71" s="497"/>
      <c r="C71" s="490"/>
      <c r="D71" s="493"/>
      <c r="E71" s="93">
        <v>4</v>
      </c>
      <c r="F71" s="94"/>
      <c r="G71" s="176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">
      <c r="A72" s="99"/>
      <c r="B72" s="99"/>
      <c r="C72" s="99"/>
      <c r="D72" s="99"/>
      <c r="E72" s="99"/>
      <c r="F72" s="101" t="s">
        <v>46</v>
      </c>
      <c r="G72" s="181">
        <f>AVERAGE(G60:G71)</f>
        <v>100.8213877717083</v>
      </c>
      <c r="H72" s="102">
        <f>AVERAGE(H60:H71)</f>
        <v>1.008213877717083</v>
      </c>
    </row>
    <row r="73" spans="1:8" ht="26.25" customHeight="1" x14ac:dyDescent="0.4">
      <c r="C73" s="99"/>
      <c r="D73" s="99"/>
      <c r="E73" s="99"/>
      <c r="F73" s="103" t="s">
        <v>59</v>
      </c>
      <c r="G73" s="177">
        <f>STDEV(G60:G71)/G72</f>
        <v>1.6295245405863929E-2</v>
      </c>
      <c r="H73" s="177">
        <f>STDEV(H60:H71)/H72</f>
        <v>1.6295245405863912E-2</v>
      </c>
    </row>
    <row r="74" spans="1:8" ht="27" customHeight="1" x14ac:dyDescent="0.4">
      <c r="A74" s="99"/>
      <c r="B74" s="99"/>
      <c r="C74" s="100"/>
      <c r="D74" s="100"/>
      <c r="E74" s="104"/>
      <c r="F74" s="105" t="s">
        <v>7</v>
      </c>
      <c r="G74" s="106">
        <f>COUNT(G60:G71)</f>
        <v>9</v>
      </c>
      <c r="H74" s="106">
        <f>COUNT(H60:H71)</f>
        <v>9</v>
      </c>
    </row>
    <row r="76" spans="1:8" ht="26.25" customHeight="1" x14ac:dyDescent="0.4">
      <c r="A76" s="16" t="s">
        <v>81</v>
      </c>
      <c r="B76" s="107" t="s">
        <v>82</v>
      </c>
      <c r="C76" s="475" t="str">
        <f>B20</f>
        <v xml:space="preserve"> RITONAVIR </v>
      </c>
      <c r="D76" s="475"/>
      <c r="E76" s="108" t="s">
        <v>83</v>
      </c>
      <c r="F76" s="108"/>
      <c r="G76" s="109">
        <f>H72</f>
        <v>1.008213877717083</v>
      </c>
      <c r="H76" s="110"/>
    </row>
    <row r="77" spans="1:8" ht="18.75" x14ac:dyDescent="0.3">
      <c r="A77" s="15" t="s">
        <v>84</v>
      </c>
      <c r="B77" s="15" t="s">
        <v>85</v>
      </c>
    </row>
    <row r="78" spans="1:8" ht="18.75" x14ac:dyDescent="0.3">
      <c r="A78" s="15"/>
      <c r="B78" s="15"/>
    </row>
    <row r="79" spans="1:8" ht="26.25" customHeight="1" x14ac:dyDescent="0.4">
      <c r="A79" s="16" t="s">
        <v>1</v>
      </c>
      <c r="B79" s="498" t="str">
        <f>B26</f>
        <v>Ritonavir</v>
      </c>
      <c r="C79" s="498"/>
    </row>
    <row r="80" spans="1:8" ht="26.25" customHeight="1" x14ac:dyDescent="0.4">
      <c r="A80" s="17" t="s">
        <v>23</v>
      </c>
      <c r="B80" s="498" t="str">
        <f>B27</f>
        <v>R9-1</v>
      </c>
      <c r="C80" s="498"/>
    </row>
    <row r="81" spans="1:12" ht="27" customHeight="1" x14ac:dyDescent="0.4">
      <c r="A81" s="17" t="s">
        <v>3</v>
      </c>
      <c r="B81" s="111"/>
    </row>
    <row r="82" spans="1:12" s="3" customFormat="1" ht="27" customHeight="1" x14ac:dyDescent="0.4">
      <c r="A82" s="17" t="s">
        <v>24</v>
      </c>
      <c r="B82" s="19"/>
      <c r="C82" s="477" t="s">
        <v>25</v>
      </c>
      <c r="D82" s="478"/>
      <c r="E82" s="478"/>
      <c r="F82" s="478"/>
      <c r="G82" s="479"/>
      <c r="I82" s="20"/>
      <c r="J82" s="20"/>
      <c r="K82" s="20"/>
      <c r="L82" s="20"/>
    </row>
    <row r="83" spans="1:12" s="3" customFormat="1" ht="19.5" customHeight="1" x14ac:dyDescent="0.3">
      <c r="A83" s="17" t="s">
        <v>26</v>
      </c>
      <c r="B83" s="21"/>
      <c r="C83" s="22"/>
      <c r="D83" s="22"/>
      <c r="E83" s="22"/>
      <c r="F83" s="22"/>
      <c r="G83" s="23"/>
      <c r="I83" s="20"/>
      <c r="J83" s="20"/>
      <c r="K83" s="20"/>
      <c r="L83" s="20"/>
    </row>
    <row r="84" spans="1:12" s="3" customFormat="1" ht="27" customHeight="1" x14ac:dyDescent="0.4">
      <c r="A84" s="17" t="s">
        <v>27</v>
      </c>
      <c r="B84" s="24"/>
      <c r="C84" s="480" t="s">
        <v>86</v>
      </c>
      <c r="D84" s="481"/>
      <c r="E84" s="481"/>
      <c r="F84" s="481"/>
      <c r="G84" s="481"/>
      <c r="H84" s="482"/>
      <c r="I84" s="20"/>
      <c r="J84" s="20"/>
      <c r="K84" s="20"/>
      <c r="L84" s="20"/>
    </row>
    <row r="85" spans="1:12" s="3" customFormat="1" ht="27" customHeight="1" x14ac:dyDescent="0.4">
      <c r="A85" s="17" t="s">
        <v>29</v>
      </c>
      <c r="B85" s="24"/>
      <c r="C85" s="480" t="s">
        <v>87</v>
      </c>
      <c r="D85" s="481"/>
      <c r="E85" s="481"/>
      <c r="F85" s="481"/>
      <c r="G85" s="481"/>
      <c r="H85" s="482"/>
      <c r="I85" s="20"/>
      <c r="J85" s="20"/>
      <c r="K85" s="20"/>
      <c r="L85" s="20"/>
    </row>
    <row r="86" spans="1:12" s="3" customFormat="1" ht="18.75" x14ac:dyDescent="0.3">
      <c r="A86" s="17"/>
      <c r="B86" s="27"/>
      <c r="C86" s="28"/>
      <c r="D86" s="28"/>
      <c r="E86" s="28"/>
      <c r="F86" s="28"/>
      <c r="G86" s="28"/>
      <c r="H86" s="28"/>
      <c r="I86" s="20"/>
      <c r="J86" s="20"/>
      <c r="K86" s="20"/>
      <c r="L86" s="20"/>
    </row>
    <row r="87" spans="1:12" s="3" customFormat="1" ht="18.75" x14ac:dyDescent="0.3">
      <c r="A87" s="17" t="s">
        <v>31</v>
      </c>
      <c r="B87" s="29" t="e">
        <f>B84/B85</f>
        <v>#DIV/0!</v>
      </c>
      <c r="C87" s="7" t="s">
        <v>32</v>
      </c>
      <c r="D87" s="7"/>
      <c r="E87" s="7"/>
      <c r="F87" s="7"/>
      <c r="G87" s="7"/>
      <c r="I87" s="20"/>
      <c r="J87" s="20"/>
      <c r="K87" s="20"/>
      <c r="L87" s="20"/>
    </row>
    <row r="88" spans="1:12" ht="19.5" customHeight="1" x14ac:dyDescent="0.3">
      <c r="A88" s="15"/>
      <c r="B88" s="15"/>
    </row>
    <row r="89" spans="1:12" ht="27" customHeight="1" x14ac:dyDescent="0.4">
      <c r="A89" s="30" t="s">
        <v>33</v>
      </c>
      <c r="B89" s="31"/>
      <c r="D89" s="112" t="s">
        <v>34</v>
      </c>
      <c r="E89" s="113"/>
      <c r="F89" s="483" t="s">
        <v>35</v>
      </c>
      <c r="G89" s="484"/>
    </row>
    <row r="90" spans="1:12" ht="27" customHeight="1" x14ac:dyDescent="0.4">
      <c r="A90" s="32" t="s">
        <v>36</v>
      </c>
      <c r="B90" s="33"/>
      <c r="C90" s="114" t="s">
        <v>37</v>
      </c>
      <c r="D90" s="35" t="s">
        <v>38</v>
      </c>
      <c r="E90" s="36" t="s">
        <v>39</v>
      </c>
      <c r="F90" s="35" t="s">
        <v>38</v>
      </c>
      <c r="G90" s="115" t="s">
        <v>39</v>
      </c>
      <c r="I90" s="38" t="s">
        <v>40</v>
      </c>
    </row>
    <row r="91" spans="1:12" ht="26.25" customHeight="1" x14ac:dyDescent="0.4">
      <c r="A91" s="32" t="s">
        <v>41</v>
      </c>
      <c r="B91" s="33"/>
      <c r="C91" s="116">
        <v>1</v>
      </c>
      <c r="D91" s="40"/>
      <c r="E91" s="41" t="str">
        <f>IF(ISBLANK(D91),"-",$D$101/$D$98*D91)</f>
        <v>-</v>
      </c>
      <c r="F91" s="40"/>
      <c r="G91" s="42" t="str">
        <f>IF(ISBLANK(F91),"-",$D$101/$F$98*F91)</f>
        <v>-</v>
      </c>
      <c r="I91" s="43"/>
    </row>
    <row r="92" spans="1:12" ht="26.25" customHeight="1" x14ac:dyDescent="0.4">
      <c r="A92" s="32" t="s">
        <v>42</v>
      </c>
      <c r="B92" s="33"/>
      <c r="C92" s="100">
        <v>2</v>
      </c>
      <c r="D92" s="45"/>
      <c r="E92" s="46" t="str">
        <f>IF(ISBLANK(D92),"-",$D$101/$D$98*D92)</f>
        <v>-</v>
      </c>
      <c r="F92" s="45"/>
      <c r="G92" s="47" t="str">
        <f>IF(ISBLANK(F92),"-",$D$101/$F$98*F92)</f>
        <v>-</v>
      </c>
      <c r="I92" s="485" t="e">
        <f>ABS((F96/D96*D95)-F95)/D95</f>
        <v>#DIV/0!</v>
      </c>
    </row>
    <row r="93" spans="1:12" ht="26.25" customHeight="1" x14ac:dyDescent="0.4">
      <c r="A93" s="32" t="s">
        <v>43</v>
      </c>
      <c r="B93" s="33"/>
      <c r="C93" s="100">
        <v>3</v>
      </c>
      <c r="D93" s="45"/>
      <c r="E93" s="46" t="str">
        <f>IF(ISBLANK(D93),"-",$D$101/$D$98*D93)</f>
        <v>-</v>
      </c>
      <c r="F93" s="45"/>
      <c r="G93" s="47" t="str">
        <f>IF(ISBLANK(F93),"-",$D$101/$F$98*F93)</f>
        <v>-</v>
      </c>
      <c r="I93" s="485"/>
    </row>
    <row r="94" spans="1:12" ht="27" customHeight="1" x14ac:dyDescent="0.4">
      <c r="A94" s="32" t="s">
        <v>44</v>
      </c>
      <c r="B94" s="33"/>
      <c r="C94" s="117">
        <v>4</v>
      </c>
      <c r="D94" s="50"/>
      <c r="E94" s="51" t="str">
        <f>IF(ISBLANK(D94),"-",$D$101/$D$98*D94)</f>
        <v>-</v>
      </c>
      <c r="F94" s="118"/>
      <c r="G94" s="52" t="str">
        <f>IF(ISBLANK(F94),"-",$D$101/$F$98*F94)</f>
        <v>-</v>
      </c>
      <c r="I94" s="53"/>
    </row>
    <row r="95" spans="1:12" ht="27" customHeight="1" x14ac:dyDescent="0.4">
      <c r="A95" s="32" t="s">
        <v>45</v>
      </c>
      <c r="B95" s="33"/>
      <c r="C95" s="119" t="s">
        <v>46</v>
      </c>
      <c r="D95" s="120"/>
      <c r="E95" s="55" t="e">
        <f>AVERAGE(E91:E94)</f>
        <v>#DIV/0!</v>
      </c>
      <c r="F95" s="121"/>
      <c r="G95" s="122" t="e">
        <f>AVERAGE(G91:G94)</f>
        <v>#DIV/0!</v>
      </c>
    </row>
    <row r="96" spans="1:12" ht="26.25" customHeight="1" x14ac:dyDescent="0.4">
      <c r="A96" s="32" t="s">
        <v>47</v>
      </c>
      <c r="B96" s="18"/>
      <c r="C96" s="123" t="s">
        <v>88</v>
      </c>
      <c r="D96" s="124"/>
      <c r="E96" s="48"/>
      <c r="F96" s="59"/>
    </row>
    <row r="97" spans="1:10" ht="26.25" customHeight="1" x14ac:dyDescent="0.4">
      <c r="A97" s="32" t="s">
        <v>49</v>
      </c>
      <c r="B97" s="18"/>
      <c r="C97" s="125" t="s">
        <v>89</v>
      </c>
      <c r="D97" s="126" t="e">
        <f>D96*$B$87</f>
        <v>#DIV/0!</v>
      </c>
      <c r="E97" s="62"/>
      <c r="F97" s="61" t="e">
        <f>F96*$B$87</f>
        <v>#DIV/0!</v>
      </c>
    </row>
    <row r="98" spans="1:10" ht="19.5" customHeight="1" x14ac:dyDescent="0.3">
      <c r="A98" s="32" t="s">
        <v>51</v>
      </c>
      <c r="B98" s="127"/>
      <c r="C98" s="125" t="s">
        <v>90</v>
      </c>
      <c r="D98" s="128" t="e">
        <f>D97*$B$83/100</f>
        <v>#DIV/0!</v>
      </c>
      <c r="E98" s="65"/>
      <c r="F98" s="64" t="e">
        <f>F97*$B$83/100</f>
        <v>#DIV/0!</v>
      </c>
    </row>
    <row r="99" spans="1:10" ht="19.5" customHeight="1" x14ac:dyDescent="0.3">
      <c r="A99" s="471" t="s">
        <v>53</v>
      </c>
      <c r="B99" s="486"/>
      <c r="C99" s="125" t="s">
        <v>91</v>
      </c>
      <c r="D99" s="129" t="e">
        <f>D98/$B$98</f>
        <v>#DIV/0!</v>
      </c>
      <c r="E99" s="65"/>
      <c r="F99" s="67" t="e">
        <f>F98/$B$98</f>
        <v>#DIV/0!</v>
      </c>
      <c r="G99" s="130"/>
      <c r="H99" s="57"/>
    </row>
    <row r="100" spans="1:10" ht="19.5" customHeight="1" x14ac:dyDescent="0.3">
      <c r="A100" s="473"/>
      <c r="B100" s="487"/>
      <c r="C100" s="125" t="s">
        <v>55</v>
      </c>
      <c r="D100" s="131" t="e">
        <f>$B$56/$B$116</f>
        <v>#DIV/0!</v>
      </c>
      <c r="F100" s="71"/>
      <c r="G100" s="132"/>
      <c r="H100" s="57"/>
    </row>
    <row r="101" spans="1:10" ht="18.75" x14ac:dyDescent="0.3">
      <c r="C101" s="125" t="s">
        <v>56</v>
      </c>
      <c r="D101" s="126" t="e">
        <f>D100*$B$98</f>
        <v>#DIV/0!</v>
      </c>
      <c r="F101" s="71"/>
      <c r="G101" s="130"/>
      <c r="H101" s="57"/>
    </row>
    <row r="102" spans="1:10" ht="19.5" customHeight="1" x14ac:dyDescent="0.3">
      <c r="C102" s="133" t="s">
        <v>57</v>
      </c>
      <c r="D102" s="134" t="e">
        <f>D101/B34</f>
        <v>#DIV/0!</v>
      </c>
      <c r="F102" s="75"/>
      <c r="G102" s="130"/>
      <c r="H102" s="57"/>
      <c r="J102" s="135"/>
    </row>
    <row r="103" spans="1:10" ht="18.75" x14ac:dyDescent="0.3">
      <c r="C103" s="136" t="s">
        <v>92</v>
      </c>
      <c r="D103" s="137" t="e">
        <f>AVERAGE(E91:E94,G91:G94)</f>
        <v>#DIV/0!</v>
      </c>
      <c r="F103" s="75"/>
      <c r="G103" s="138"/>
      <c r="H103" s="57"/>
      <c r="J103" s="139"/>
    </row>
    <row r="104" spans="1:10" ht="18.75" x14ac:dyDescent="0.3">
      <c r="C104" s="103" t="s">
        <v>59</v>
      </c>
      <c r="D104" s="140" t="e">
        <f>STDEV(E91:E94,G91:G94)/D103</f>
        <v>#DIV/0!</v>
      </c>
      <c r="F104" s="75"/>
      <c r="G104" s="130"/>
      <c r="H104" s="57"/>
      <c r="J104" s="139"/>
    </row>
    <row r="105" spans="1:10" ht="19.5" customHeight="1" x14ac:dyDescent="0.3">
      <c r="C105" s="105" t="s">
        <v>7</v>
      </c>
      <c r="D105" s="141">
        <f>COUNT(E91:E94,G91:G94)</f>
        <v>0</v>
      </c>
      <c r="F105" s="75"/>
      <c r="G105" s="130"/>
      <c r="H105" s="57"/>
      <c r="J105" s="139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30" t="s">
        <v>93</v>
      </c>
      <c r="B107" s="31"/>
      <c r="C107" s="142" t="s">
        <v>94</v>
      </c>
      <c r="D107" s="143" t="s">
        <v>38</v>
      </c>
      <c r="E107" s="144" t="s">
        <v>95</v>
      </c>
      <c r="F107" s="145" t="s">
        <v>96</v>
      </c>
    </row>
    <row r="108" spans="1:10" ht="26.25" customHeight="1" x14ac:dyDescent="0.4">
      <c r="A108" s="32" t="s">
        <v>97</v>
      </c>
      <c r="B108" s="33"/>
      <c r="C108" s="146">
        <v>1</v>
      </c>
      <c r="D108" s="147"/>
      <c r="E108" s="178" t="str">
        <f t="shared" ref="E108:E113" si="1">IF(ISBLANK(D108),"-",D108/$D$103*$D$100*$B$116)</f>
        <v>-</v>
      </c>
      <c r="F108" s="148" t="str">
        <f t="shared" ref="F108:F113" si="2">IF(ISBLANK(D108), "-", E108/$B$56)</f>
        <v>-</v>
      </c>
    </row>
    <row r="109" spans="1:10" ht="26.25" customHeight="1" x14ac:dyDescent="0.4">
      <c r="A109" s="32" t="s">
        <v>70</v>
      </c>
      <c r="B109" s="33"/>
      <c r="C109" s="146">
        <v>2</v>
      </c>
      <c r="D109" s="147"/>
      <c r="E109" s="179" t="str">
        <f t="shared" si="1"/>
        <v>-</v>
      </c>
      <c r="F109" s="149" t="str">
        <f t="shared" si="2"/>
        <v>-</v>
      </c>
    </row>
    <row r="110" spans="1:10" ht="26.25" customHeight="1" x14ac:dyDescent="0.4">
      <c r="A110" s="32" t="s">
        <v>71</v>
      </c>
      <c r="B110" s="33"/>
      <c r="C110" s="146">
        <v>3</v>
      </c>
      <c r="D110" s="147"/>
      <c r="E110" s="179" t="str">
        <f t="shared" si="1"/>
        <v>-</v>
      </c>
      <c r="F110" s="149" t="str">
        <f t="shared" si="2"/>
        <v>-</v>
      </c>
    </row>
    <row r="111" spans="1:10" ht="26.25" customHeight="1" x14ac:dyDescent="0.4">
      <c r="A111" s="32" t="s">
        <v>72</v>
      </c>
      <c r="B111" s="33"/>
      <c r="C111" s="146">
        <v>4</v>
      </c>
      <c r="D111" s="147"/>
      <c r="E111" s="179" t="str">
        <f t="shared" si="1"/>
        <v>-</v>
      </c>
      <c r="F111" s="149" t="str">
        <f t="shared" si="2"/>
        <v>-</v>
      </c>
    </row>
    <row r="112" spans="1:10" ht="26.25" customHeight="1" x14ac:dyDescent="0.4">
      <c r="A112" s="32" t="s">
        <v>73</v>
      </c>
      <c r="B112" s="33"/>
      <c r="C112" s="146">
        <v>5</v>
      </c>
      <c r="D112" s="147"/>
      <c r="E112" s="179" t="str">
        <f t="shared" si="1"/>
        <v>-</v>
      </c>
      <c r="F112" s="149" t="str">
        <f t="shared" si="2"/>
        <v>-</v>
      </c>
    </row>
    <row r="113" spans="1:10" ht="26.25" customHeight="1" x14ac:dyDescent="0.4">
      <c r="A113" s="32" t="s">
        <v>75</v>
      </c>
      <c r="B113" s="33"/>
      <c r="C113" s="150">
        <v>6</v>
      </c>
      <c r="D113" s="151"/>
      <c r="E113" s="180" t="str">
        <f t="shared" si="1"/>
        <v>-</v>
      </c>
      <c r="F113" s="152" t="str">
        <f t="shared" si="2"/>
        <v>-</v>
      </c>
    </row>
    <row r="114" spans="1:10" ht="26.25" customHeight="1" x14ac:dyDescent="0.4">
      <c r="A114" s="32" t="s">
        <v>76</v>
      </c>
      <c r="B114" s="33"/>
      <c r="C114" s="146"/>
      <c r="D114" s="100"/>
      <c r="E114" s="6"/>
      <c r="F114" s="153"/>
    </row>
    <row r="115" spans="1:10" ht="26.25" customHeight="1" x14ac:dyDescent="0.4">
      <c r="A115" s="32" t="s">
        <v>77</v>
      </c>
      <c r="B115" s="33"/>
      <c r="C115" s="146"/>
      <c r="D115" s="154" t="s">
        <v>46</v>
      </c>
      <c r="E115" s="182" t="e">
        <f>AVERAGE(E108:E113)</f>
        <v>#DIV/0!</v>
      </c>
      <c r="F115" s="155" t="e">
        <f>AVERAGE(F108:F113)</f>
        <v>#DIV/0!</v>
      </c>
    </row>
    <row r="116" spans="1:10" ht="27" customHeight="1" x14ac:dyDescent="0.4">
      <c r="A116" s="32" t="s">
        <v>78</v>
      </c>
      <c r="B116" s="63"/>
      <c r="C116" s="156"/>
      <c r="D116" s="119" t="s">
        <v>59</v>
      </c>
      <c r="E116" s="157" t="e">
        <f>STDEV(E108:E113)/E115</f>
        <v>#DIV/0!</v>
      </c>
      <c r="F116" s="157" t="e">
        <f>STDEV(F108:F113)/F115</f>
        <v>#DIV/0!</v>
      </c>
      <c r="I116" s="6"/>
    </row>
    <row r="117" spans="1:10" ht="27" customHeight="1" x14ac:dyDescent="0.4">
      <c r="A117" s="471" t="s">
        <v>53</v>
      </c>
      <c r="B117" s="472"/>
      <c r="C117" s="158"/>
      <c r="D117" s="159" t="s">
        <v>7</v>
      </c>
      <c r="E117" s="160">
        <f>COUNT(E108:E113)</f>
        <v>0</v>
      </c>
      <c r="F117" s="160">
        <f>COUNT(F108:F113)</f>
        <v>0</v>
      </c>
      <c r="I117" s="6"/>
      <c r="J117" s="139"/>
    </row>
    <row r="118" spans="1:10" ht="19.5" customHeight="1" x14ac:dyDescent="0.3">
      <c r="A118" s="473"/>
      <c r="B118" s="474"/>
      <c r="C118" s="6"/>
      <c r="D118" s="6"/>
      <c r="E118" s="6"/>
      <c r="F118" s="100"/>
      <c r="G118" s="6"/>
      <c r="H118" s="6"/>
      <c r="I118" s="6"/>
    </row>
    <row r="119" spans="1:10" ht="18.75" x14ac:dyDescent="0.3">
      <c r="A119" s="169"/>
      <c r="B119" s="28"/>
      <c r="C119" s="6"/>
      <c r="D119" s="6"/>
      <c r="E119" s="6"/>
      <c r="F119" s="100"/>
      <c r="G119" s="6"/>
      <c r="H119" s="6"/>
      <c r="I119" s="6"/>
    </row>
    <row r="120" spans="1:10" ht="26.25" customHeight="1" x14ac:dyDescent="0.4">
      <c r="A120" s="16" t="s">
        <v>81</v>
      </c>
      <c r="B120" s="107" t="s">
        <v>98</v>
      </c>
      <c r="C120" s="475" t="str">
        <f>B20</f>
        <v xml:space="preserve"> RITONAVIR </v>
      </c>
      <c r="D120" s="475"/>
      <c r="E120" s="108" t="s">
        <v>99</v>
      </c>
      <c r="F120" s="108"/>
      <c r="G120" s="109" t="e">
        <f>F115</f>
        <v>#DIV/0!</v>
      </c>
      <c r="H120" s="6"/>
      <c r="I120" s="6"/>
    </row>
    <row r="121" spans="1:10" ht="19.5" customHeight="1" x14ac:dyDescent="0.3">
      <c r="A121" s="161"/>
      <c r="B121" s="161"/>
      <c r="C121" s="162"/>
      <c r="D121" s="162"/>
      <c r="E121" s="162"/>
      <c r="F121" s="162"/>
      <c r="G121" s="162"/>
      <c r="H121" s="162"/>
    </row>
    <row r="122" spans="1:10" ht="18.75" x14ac:dyDescent="0.3">
      <c r="B122" s="476" t="s">
        <v>8</v>
      </c>
      <c r="C122" s="476"/>
      <c r="E122" s="114" t="s">
        <v>9</v>
      </c>
      <c r="F122" s="163"/>
      <c r="G122" s="476" t="s">
        <v>10</v>
      </c>
      <c r="H122" s="476"/>
    </row>
    <row r="123" spans="1:10" ht="69.95" customHeight="1" x14ac:dyDescent="0.3">
      <c r="A123" s="164" t="s">
        <v>11</v>
      </c>
      <c r="B123" s="165"/>
      <c r="C123" s="165"/>
      <c r="E123" s="165"/>
      <c r="F123" s="6"/>
      <c r="G123" s="166"/>
      <c r="H123" s="166"/>
    </row>
    <row r="124" spans="1:10" ht="69.95" customHeight="1" x14ac:dyDescent="0.3">
      <c r="A124" s="164" t="s">
        <v>12</v>
      </c>
      <c r="B124" s="167"/>
      <c r="C124" s="167"/>
      <c r="E124" s="167"/>
      <c r="F124" s="6"/>
      <c r="G124" s="168"/>
      <c r="H124" s="168"/>
    </row>
    <row r="125" spans="1:10" ht="18.75" x14ac:dyDescent="0.3">
      <c r="A125" s="99"/>
      <c r="B125" s="99"/>
      <c r="C125" s="100"/>
      <c r="D125" s="100"/>
      <c r="E125" s="100"/>
      <c r="F125" s="104"/>
      <c r="G125" s="100"/>
      <c r="H125" s="100"/>
      <c r="I125" s="6"/>
    </row>
    <row r="126" spans="1:10" ht="18.75" x14ac:dyDescent="0.3">
      <c r="A126" s="99"/>
      <c r="B126" s="99"/>
      <c r="C126" s="100"/>
      <c r="D126" s="100"/>
      <c r="E126" s="100"/>
      <c r="F126" s="104"/>
      <c r="G126" s="100"/>
      <c r="H126" s="100"/>
      <c r="I126" s="6"/>
    </row>
    <row r="127" spans="1:10" ht="18.75" x14ac:dyDescent="0.3">
      <c r="A127" s="99"/>
      <c r="B127" s="99"/>
      <c r="C127" s="100"/>
      <c r="D127" s="100"/>
      <c r="E127" s="100"/>
      <c r="F127" s="104"/>
      <c r="G127" s="100"/>
      <c r="H127" s="100"/>
      <c r="I127" s="6"/>
    </row>
    <row r="128" spans="1:10" ht="18.75" x14ac:dyDescent="0.3">
      <c r="A128" s="99"/>
      <c r="B128" s="99"/>
      <c r="C128" s="100"/>
      <c r="D128" s="100"/>
      <c r="E128" s="100"/>
      <c r="F128" s="104"/>
      <c r="G128" s="100"/>
      <c r="H128" s="100"/>
      <c r="I128" s="6"/>
    </row>
    <row r="129" spans="1:9" ht="18.75" x14ac:dyDescent="0.3">
      <c r="A129" s="99"/>
      <c r="B129" s="99"/>
      <c r="C129" s="100"/>
      <c r="D129" s="100"/>
      <c r="E129" s="100"/>
      <c r="F129" s="104"/>
      <c r="G129" s="100"/>
      <c r="H129" s="100"/>
      <c r="I129" s="6"/>
    </row>
    <row r="130" spans="1:9" ht="18.75" x14ac:dyDescent="0.3">
      <c r="A130" s="99"/>
      <c r="B130" s="99"/>
      <c r="C130" s="100"/>
      <c r="D130" s="100"/>
      <c r="E130" s="100"/>
      <c r="F130" s="104"/>
      <c r="G130" s="100"/>
      <c r="H130" s="100"/>
      <c r="I130" s="6"/>
    </row>
    <row r="131" spans="1:9" ht="18.75" x14ac:dyDescent="0.3">
      <c r="A131" s="99"/>
      <c r="B131" s="99"/>
      <c r="C131" s="100"/>
      <c r="D131" s="100"/>
      <c r="E131" s="100"/>
      <c r="F131" s="104"/>
      <c r="G131" s="100"/>
      <c r="H131" s="100"/>
      <c r="I131" s="6"/>
    </row>
    <row r="132" spans="1:9" ht="18.75" x14ac:dyDescent="0.3">
      <c r="A132" s="99"/>
      <c r="B132" s="99"/>
      <c r="C132" s="100"/>
      <c r="D132" s="100"/>
      <c r="E132" s="100"/>
      <c r="F132" s="104"/>
      <c r="G132" s="100"/>
      <c r="H132" s="100"/>
      <c r="I132" s="6"/>
    </row>
    <row r="133" spans="1:9" ht="18.75" x14ac:dyDescent="0.3">
      <c r="A133" s="99"/>
      <c r="B133" s="99"/>
      <c r="C133" s="100"/>
      <c r="D133" s="100"/>
      <c r="E133" s="100"/>
      <c r="F133" s="104"/>
      <c r="G133" s="100"/>
      <c r="H133" s="100"/>
      <c r="I133" s="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2" priority="1" operator="greaterThan">
      <formula>0.02</formula>
    </cfRule>
  </conditionalFormatting>
  <conditionalFormatting sqref="D51">
    <cfRule type="cellIs" dxfId="31" priority="2" operator="greaterThan">
      <formula>0.02</formula>
    </cfRule>
  </conditionalFormatting>
  <conditionalFormatting sqref="G73">
    <cfRule type="cellIs" dxfId="30" priority="3" operator="greaterThan">
      <formula>0.02</formula>
    </cfRule>
  </conditionalFormatting>
  <conditionalFormatting sqref="H73">
    <cfRule type="cellIs" dxfId="29" priority="4" operator="greaterThan">
      <formula>0.02</formula>
    </cfRule>
  </conditionalFormatting>
  <conditionalFormatting sqref="D104">
    <cfRule type="cellIs" dxfId="28" priority="5" operator="greaterThan">
      <formula>0.02</formula>
    </cfRule>
  </conditionalFormatting>
  <conditionalFormatting sqref="I39">
    <cfRule type="cellIs" dxfId="27" priority="6" operator="lessThanOrEqual">
      <formula>0.02</formula>
    </cfRule>
  </conditionalFormatting>
  <conditionalFormatting sqref="I39">
    <cfRule type="cellIs" dxfId="26" priority="7" operator="greaterThan">
      <formula>0.02</formula>
    </cfRule>
  </conditionalFormatting>
  <conditionalFormatting sqref="I92">
    <cfRule type="cellIs" dxfId="25" priority="8" operator="lessThanOrEqual">
      <formula>0.02</formula>
    </cfRule>
  </conditionalFormatting>
  <conditionalFormatting sqref="I92">
    <cfRule type="cellIs" dxfId="24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1" t="s">
        <v>15</v>
      </c>
      <c r="B11" s="512"/>
      <c r="C11" s="512"/>
      <c r="D11" s="512"/>
      <c r="E11" s="512"/>
      <c r="F11" s="513"/>
      <c r="G11" s="223"/>
    </row>
    <row r="12" spans="1:7" ht="16.5" customHeight="1" x14ac:dyDescent="0.3">
      <c r="A12" s="510" t="s">
        <v>100</v>
      </c>
      <c r="B12" s="510"/>
      <c r="C12" s="510"/>
      <c r="D12" s="510"/>
      <c r="E12" s="510"/>
      <c r="F12" s="510"/>
      <c r="G12" s="222"/>
    </row>
    <row r="14" spans="1:7" ht="16.5" customHeight="1" x14ac:dyDescent="0.3">
      <c r="A14" s="515" t="s">
        <v>17</v>
      </c>
      <c r="B14" s="515"/>
      <c r="C14" s="192" t="s">
        <v>2</v>
      </c>
    </row>
    <row r="15" spans="1:7" ht="16.5" customHeight="1" x14ac:dyDescent="0.3">
      <c r="A15" s="515" t="s">
        <v>18</v>
      </c>
      <c r="B15" s="515"/>
      <c r="C15" s="192" t="s">
        <v>4</v>
      </c>
    </row>
    <row r="16" spans="1:7" ht="16.5" customHeight="1" x14ac:dyDescent="0.3">
      <c r="A16" s="515" t="s">
        <v>19</v>
      </c>
      <c r="B16" s="515"/>
      <c r="C16" s="192" t="s">
        <v>5</v>
      </c>
    </row>
    <row r="17" spans="1:5" ht="16.5" customHeight="1" x14ac:dyDescent="0.3">
      <c r="A17" s="515" t="s">
        <v>20</v>
      </c>
      <c r="B17" s="515"/>
      <c r="C17" s="192" t="s">
        <v>6</v>
      </c>
    </row>
    <row r="18" spans="1:5" ht="16.5" customHeight="1" x14ac:dyDescent="0.3">
      <c r="A18" s="515" t="s">
        <v>21</v>
      </c>
      <c r="B18" s="515"/>
      <c r="C18" s="229"/>
    </row>
    <row r="19" spans="1:5" ht="16.5" customHeight="1" x14ac:dyDescent="0.3">
      <c r="A19" s="515" t="s">
        <v>22</v>
      </c>
      <c r="B19" s="515"/>
      <c r="C19" s="229"/>
    </row>
    <row r="20" spans="1:5" ht="16.5" customHeight="1" x14ac:dyDescent="0.3">
      <c r="A20" s="194"/>
      <c r="B20" s="194"/>
      <c r="C20" s="209"/>
    </row>
    <row r="21" spans="1:5" ht="16.5" customHeight="1" x14ac:dyDescent="0.3">
      <c r="A21" s="510" t="s">
        <v>0</v>
      </c>
      <c r="B21" s="510"/>
      <c r="C21" s="191" t="s">
        <v>101</v>
      </c>
      <c r="D21" s="198"/>
    </row>
    <row r="22" spans="1:5" ht="15.75" customHeight="1" x14ac:dyDescent="0.3">
      <c r="A22" s="514"/>
      <c r="B22" s="514"/>
      <c r="C22" s="189"/>
      <c r="D22" s="514"/>
      <c r="E22" s="514"/>
    </row>
    <row r="23" spans="1:5" ht="33.75" customHeight="1" x14ac:dyDescent="0.3">
      <c r="C23" s="218" t="s">
        <v>102</v>
      </c>
      <c r="D23" s="217" t="s">
        <v>103</v>
      </c>
      <c r="E23" s="184"/>
    </row>
    <row r="24" spans="1:5" ht="15.75" customHeight="1" x14ac:dyDescent="0.3">
      <c r="C24" s="227">
        <v>1971.36</v>
      </c>
      <c r="D24" s="219">
        <f t="shared" ref="D24:D43" si="0">(C24-$C$46)/$C$46</f>
        <v>4.100373905383975E-4</v>
      </c>
      <c r="E24" s="185"/>
    </row>
    <row r="25" spans="1:5" ht="15.75" customHeight="1" x14ac:dyDescent="0.3">
      <c r="C25" s="227">
        <v>1982.9</v>
      </c>
      <c r="D25" s="220">
        <f t="shared" si="0"/>
        <v>6.2662644781768832E-3</v>
      </c>
      <c r="E25" s="185"/>
    </row>
    <row r="26" spans="1:5" ht="15.75" customHeight="1" x14ac:dyDescent="0.3">
      <c r="C26" s="227">
        <v>1974.97</v>
      </c>
      <c r="D26" s="220">
        <f t="shared" si="0"/>
        <v>2.2420113754929318E-3</v>
      </c>
      <c r="E26" s="185"/>
    </row>
    <row r="27" spans="1:5" ht="15.75" customHeight="1" x14ac:dyDescent="0.3">
      <c r="C27" s="227">
        <v>1975.01</v>
      </c>
      <c r="D27" s="220">
        <f t="shared" si="0"/>
        <v>2.2623102562126306E-3</v>
      </c>
      <c r="E27" s="185"/>
    </row>
    <row r="28" spans="1:5" ht="15.75" customHeight="1" x14ac:dyDescent="0.3">
      <c r="C28" s="227">
        <v>1975.92</v>
      </c>
      <c r="D28" s="220">
        <f t="shared" si="0"/>
        <v>2.7241097925862368E-3</v>
      </c>
      <c r="E28" s="185"/>
    </row>
    <row r="29" spans="1:5" ht="15.75" customHeight="1" x14ac:dyDescent="0.3">
      <c r="C29" s="227">
        <v>1981.94</v>
      </c>
      <c r="D29" s="220">
        <f t="shared" si="0"/>
        <v>5.7790913409036535E-3</v>
      </c>
      <c r="E29" s="185"/>
    </row>
    <row r="30" spans="1:5" ht="15.75" customHeight="1" x14ac:dyDescent="0.3">
      <c r="C30" s="227">
        <v>1978.93</v>
      </c>
      <c r="D30" s="220">
        <f t="shared" si="0"/>
        <v>4.2516005667449456E-3</v>
      </c>
      <c r="E30" s="185"/>
    </row>
    <row r="31" spans="1:5" ht="15.75" customHeight="1" x14ac:dyDescent="0.3">
      <c r="C31" s="227">
        <v>1963.58</v>
      </c>
      <c r="D31" s="220">
        <f t="shared" si="0"/>
        <v>-3.5380949094465683E-3</v>
      </c>
      <c r="E31" s="185"/>
    </row>
    <row r="32" spans="1:5" ht="15.75" customHeight="1" x14ac:dyDescent="0.3">
      <c r="C32" s="227">
        <v>1971.76</v>
      </c>
      <c r="D32" s="220">
        <f t="shared" si="0"/>
        <v>6.130261977356148E-4</v>
      </c>
      <c r="E32" s="185"/>
    </row>
    <row r="33" spans="1:7" ht="15.75" customHeight="1" x14ac:dyDescent="0.3">
      <c r="C33" s="227">
        <v>1951.21</v>
      </c>
      <c r="D33" s="220">
        <f t="shared" si="0"/>
        <v>-9.8155237720190316E-3</v>
      </c>
      <c r="E33" s="185"/>
    </row>
    <row r="34" spans="1:7" ht="15.75" customHeight="1" x14ac:dyDescent="0.3">
      <c r="C34" s="227">
        <v>1982.36</v>
      </c>
      <c r="D34" s="220">
        <f t="shared" si="0"/>
        <v>5.9922295884606049E-3</v>
      </c>
      <c r="E34" s="185"/>
    </row>
    <row r="35" spans="1:7" ht="15.75" customHeight="1" x14ac:dyDescent="0.3">
      <c r="C35" s="227">
        <v>1977.41</v>
      </c>
      <c r="D35" s="220">
        <f t="shared" si="0"/>
        <v>3.480243099395704E-3</v>
      </c>
      <c r="E35" s="185"/>
    </row>
    <row r="36" spans="1:7" ht="15.75" customHeight="1" x14ac:dyDescent="0.3">
      <c r="C36" s="227">
        <v>1966.64</v>
      </c>
      <c r="D36" s="220">
        <f t="shared" si="0"/>
        <v>-1.9852305343881207E-3</v>
      </c>
      <c r="E36" s="185"/>
    </row>
    <row r="37" spans="1:7" ht="15.75" customHeight="1" x14ac:dyDescent="0.3">
      <c r="C37" s="227">
        <v>1976.52</v>
      </c>
      <c r="D37" s="220">
        <f t="shared" si="0"/>
        <v>3.0285930033819471E-3</v>
      </c>
      <c r="E37" s="185"/>
    </row>
    <row r="38" spans="1:7" ht="15.75" customHeight="1" x14ac:dyDescent="0.3">
      <c r="C38" s="227">
        <v>1974.85</v>
      </c>
      <c r="D38" s="220">
        <f t="shared" si="0"/>
        <v>2.1811147333337206E-3</v>
      </c>
      <c r="E38" s="185"/>
    </row>
    <row r="39" spans="1:7" ht="15.75" customHeight="1" x14ac:dyDescent="0.3">
      <c r="C39" s="227">
        <v>1977.3</v>
      </c>
      <c r="D39" s="220">
        <f t="shared" si="0"/>
        <v>3.424421177416417E-3</v>
      </c>
      <c r="E39" s="185"/>
    </row>
    <row r="40" spans="1:7" ht="15.75" customHeight="1" x14ac:dyDescent="0.3">
      <c r="C40" s="227">
        <v>1964.62</v>
      </c>
      <c r="D40" s="220">
        <f t="shared" si="0"/>
        <v>-3.0103240107339415E-3</v>
      </c>
      <c r="E40" s="185"/>
    </row>
    <row r="41" spans="1:7" ht="15.75" customHeight="1" x14ac:dyDescent="0.3">
      <c r="C41" s="227">
        <v>1948.95</v>
      </c>
      <c r="D41" s="220">
        <f t="shared" si="0"/>
        <v>-1.0962410532683044E-2</v>
      </c>
      <c r="E41" s="185"/>
    </row>
    <row r="42" spans="1:7" ht="15.75" customHeight="1" x14ac:dyDescent="0.3">
      <c r="C42" s="227">
        <v>1974.13</v>
      </c>
      <c r="D42" s="220">
        <f t="shared" si="0"/>
        <v>1.8157348803789141E-3</v>
      </c>
      <c r="E42" s="185"/>
    </row>
    <row r="43" spans="1:7" ht="16.5" customHeight="1" x14ac:dyDescent="0.3">
      <c r="C43" s="228">
        <v>1940.68</v>
      </c>
      <c r="D43" s="221">
        <f t="shared" si="0"/>
        <v>-1.5159204121484549E-2</v>
      </c>
      <c r="E43" s="185"/>
    </row>
    <row r="44" spans="1:7" ht="16.5" customHeight="1" x14ac:dyDescent="0.3">
      <c r="C44" s="186"/>
      <c r="D44" s="185"/>
      <c r="E44" s="187"/>
    </row>
    <row r="45" spans="1:7" ht="16.5" customHeight="1" x14ac:dyDescent="0.3">
      <c r="B45" s="214" t="s">
        <v>104</v>
      </c>
      <c r="C45" s="215">
        <f>SUM(C24:C44)</f>
        <v>39411.039999999994</v>
      </c>
      <c r="D45" s="210"/>
      <c r="E45" s="186"/>
    </row>
    <row r="46" spans="1:7" ht="17.25" customHeight="1" x14ac:dyDescent="0.3">
      <c r="B46" s="214" t="s">
        <v>105</v>
      </c>
      <c r="C46" s="216">
        <f>AVERAGE(C24:C44)</f>
        <v>1970.5519999999997</v>
      </c>
      <c r="E46" s="188"/>
    </row>
    <row r="47" spans="1:7" ht="17.25" customHeight="1" x14ac:dyDescent="0.3">
      <c r="A47" s="192"/>
      <c r="B47" s="211"/>
      <c r="D47" s="190"/>
      <c r="E47" s="188"/>
    </row>
    <row r="48" spans="1:7" ht="33.75" customHeight="1" x14ac:dyDescent="0.3">
      <c r="B48" s="224" t="s">
        <v>105</v>
      </c>
      <c r="C48" s="217" t="s">
        <v>106</v>
      </c>
      <c r="D48" s="212"/>
      <c r="G48" s="190"/>
    </row>
    <row r="49" spans="1:6" ht="17.25" customHeight="1" x14ac:dyDescent="0.3">
      <c r="B49" s="508">
        <f>C46</f>
        <v>1970.5519999999997</v>
      </c>
      <c r="C49" s="225">
        <f>-IF(C46&lt;=80,10%,IF(C46&lt;250,7.5%,5%))</f>
        <v>-0.05</v>
      </c>
      <c r="D49" s="213">
        <f>IF(C46&lt;=80,C46*0.9,IF(C46&lt;250,C46*0.925,C46*0.95))</f>
        <v>1872.0243999999996</v>
      </c>
    </row>
    <row r="50" spans="1:6" ht="17.25" customHeight="1" x14ac:dyDescent="0.3">
      <c r="B50" s="509"/>
      <c r="C50" s="226">
        <f>IF(C46&lt;=80, 10%, IF(C46&lt;250, 7.5%, 5%))</f>
        <v>0.05</v>
      </c>
      <c r="D50" s="213">
        <f>IF(C46&lt;=80, C46*1.1, IF(C46&lt;250, C46*1.075, C46*1.05))</f>
        <v>2069.0795999999996</v>
      </c>
    </row>
    <row r="51" spans="1:6" ht="16.5" customHeight="1" x14ac:dyDescent="0.3">
      <c r="A51" s="195"/>
      <c r="B51" s="196"/>
      <c r="C51" s="192"/>
      <c r="D51" s="197"/>
      <c r="E51" s="192"/>
      <c r="F51" s="198"/>
    </row>
    <row r="52" spans="1:6" ht="16.5" customHeight="1" x14ac:dyDescent="0.3">
      <c r="A52" s="192"/>
      <c r="B52" s="199" t="s">
        <v>8</v>
      </c>
      <c r="C52" s="199"/>
      <c r="D52" s="200" t="s">
        <v>9</v>
      </c>
      <c r="E52" s="201"/>
      <c r="F52" s="200" t="s">
        <v>10</v>
      </c>
    </row>
    <row r="53" spans="1:6" ht="34.5" customHeight="1" x14ac:dyDescent="0.3">
      <c r="A53" s="202" t="s">
        <v>11</v>
      </c>
      <c r="B53" s="203"/>
      <c r="C53" s="204"/>
      <c r="D53" s="203"/>
      <c r="E53" s="193"/>
      <c r="F53" s="205"/>
    </row>
    <row r="54" spans="1:6" ht="34.5" customHeight="1" x14ac:dyDescent="0.3">
      <c r="A54" s="202" t="s">
        <v>12</v>
      </c>
      <c r="B54" s="206"/>
      <c r="C54" s="207"/>
      <c r="D54" s="206"/>
      <c r="E54" s="193"/>
      <c r="F54" s="20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opLeftCell="A79" zoomScale="50" zoomScaleNormal="50" workbookViewId="0">
      <selection activeCell="J34" sqref="J34"/>
    </sheetView>
  </sheetViews>
  <sheetFormatPr defaultRowHeight="16.5" x14ac:dyDescent="0.3"/>
  <cols>
    <col min="1" max="1" width="55.42578125" style="4" customWidth="1"/>
    <col min="2" max="2" width="33.7109375" style="4" customWidth="1"/>
    <col min="3" max="3" width="42.28515625" style="4" customWidth="1"/>
    <col min="4" max="4" width="30.5703125" style="4" customWidth="1"/>
    <col min="5" max="5" width="39.85546875" style="4" customWidth="1"/>
    <col min="6" max="6" width="30.7109375" style="4" customWidth="1"/>
    <col min="7" max="7" width="36.42578125" style="4" customWidth="1"/>
    <col min="8" max="8" width="41.140625" style="4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5"/>
  </cols>
  <sheetData>
    <row r="1" spans="1:8" ht="15" x14ac:dyDescent="0.3">
      <c r="A1" s="469" t="s">
        <v>13</v>
      </c>
      <c r="B1" s="469"/>
      <c r="C1" s="469"/>
      <c r="D1" s="469"/>
      <c r="E1" s="469"/>
      <c r="F1" s="469"/>
      <c r="G1" s="469"/>
      <c r="H1" s="469"/>
    </row>
    <row r="2" spans="1:8" ht="15" x14ac:dyDescent="0.3">
      <c r="A2" s="469"/>
      <c r="B2" s="469"/>
      <c r="C2" s="469"/>
      <c r="D2" s="469"/>
      <c r="E2" s="469"/>
      <c r="F2" s="469"/>
      <c r="G2" s="469"/>
      <c r="H2" s="469"/>
    </row>
    <row r="3" spans="1:8" ht="15" x14ac:dyDescent="0.3">
      <c r="A3" s="469"/>
      <c r="B3" s="469"/>
      <c r="C3" s="469"/>
      <c r="D3" s="469"/>
      <c r="E3" s="469"/>
      <c r="F3" s="469"/>
      <c r="G3" s="469"/>
      <c r="H3" s="469"/>
    </row>
    <row r="4" spans="1:8" ht="15" x14ac:dyDescent="0.3">
      <c r="A4" s="469"/>
      <c r="B4" s="469"/>
      <c r="C4" s="469"/>
      <c r="D4" s="469"/>
      <c r="E4" s="469"/>
      <c r="F4" s="469"/>
      <c r="G4" s="469"/>
      <c r="H4" s="469"/>
    </row>
    <row r="5" spans="1:8" ht="15" x14ac:dyDescent="0.3">
      <c r="A5" s="469"/>
      <c r="B5" s="469"/>
      <c r="C5" s="469"/>
      <c r="D5" s="469"/>
      <c r="E5" s="469"/>
      <c r="F5" s="469"/>
      <c r="G5" s="469"/>
      <c r="H5" s="469"/>
    </row>
    <row r="6" spans="1:8" ht="15" x14ac:dyDescent="0.3">
      <c r="A6" s="469"/>
      <c r="B6" s="469"/>
      <c r="C6" s="469"/>
      <c r="D6" s="469"/>
      <c r="E6" s="469"/>
      <c r="F6" s="469"/>
      <c r="G6" s="469"/>
      <c r="H6" s="469"/>
    </row>
    <row r="7" spans="1:8" ht="15" x14ac:dyDescent="0.3">
      <c r="A7" s="469"/>
      <c r="B7" s="469"/>
      <c r="C7" s="469"/>
      <c r="D7" s="469"/>
      <c r="E7" s="469"/>
      <c r="F7" s="469"/>
      <c r="G7" s="469"/>
      <c r="H7" s="469"/>
    </row>
    <row r="8" spans="1:8" ht="15" x14ac:dyDescent="0.3">
      <c r="A8" s="470" t="s">
        <v>14</v>
      </c>
      <c r="B8" s="470"/>
      <c r="C8" s="470"/>
      <c r="D8" s="470"/>
      <c r="E8" s="470"/>
      <c r="F8" s="470"/>
      <c r="G8" s="470"/>
      <c r="H8" s="470"/>
    </row>
    <row r="9" spans="1:8" ht="15" x14ac:dyDescent="0.3">
      <c r="A9" s="470"/>
      <c r="B9" s="470"/>
      <c r="C9" s="470"/>
      <c r="D9" s="470"/>
      <c r="E9" s="470"/>
      <c r="F9" s="470"/>
      <c r="G9" s="470"/>
      <c r="H9" s="470"/>
    </row>
    <row r="10" spans="1:8" ht="15" x14ac:dyDescent="0.3">
      <c r="A10" s="470"/>
      <c r="B10" s="470"/>
      <c r="C10" s="470"/>
      <c r="D10" s="470"/>
      <c r="E10" s="470"/>
      <c r="F10" s="470"/>
      <c r="G10" s="470"/>
      <c r="H10" s="470"/>
    </row>
    <row r="11" spans="1:8" ht="15" x14ac:dyDescent="0.3">
      <c r="A11" s="470"/>
      <c r="B11" s="470"/>
      <c r="C11" s="470"/>
      <c r="D11" s="470"/>
      <c r="E11" s="470"/>
      <c r="F11" s="470"/>
      <c r="G11" s="470"/>
      <c r="H11" s="470"/>
    </row>
    <row r="12" spans="1:8" ht="15" x14ac:dyDescent="0.3">
      <c r="A12" s="470"/>
      <c r="B12" s="470"/>
      <c r="C12" s="470"/>
      <c r="D12" s="470"/>
      <c r="E12" s="470"/>
      <c r="F12" s="470"/>
      <c r="G12" s="470"/>
      <c r="H12" s="470"/>
    </row>
    <row r="13" spans="1:8" ht="15" x14ac:dyDescent="0.3">
      <c r="A13" s="470"/>
      <c r="B13" s="470"/>
      <c r="C13" s="470"/>
      <c r="D13" s="470"/>
      <c r="E13" s="470"/>
      <c r="F13" s="470"/>
      <c r="G13" s="470"/>
      <c r="H13" s="470"/>
    </row>
    <row r="14" spans="1:8" ht="15" x14ac:dyDescent="0.3">
      <c r="A14" s="470"/>
      <c r="B14" s="470"/>
      <c r="C14" s="470"/>
      <c r="D14" s="470"/>
      <c r="E14" s="470"/>
      <c r="F14" s="470"/>
      <c r="G14" s="470"/>
      <c r="H14" s="470"/>
    </row>
    <row r="15" spans="1:8" ht="19.5" customHeight="1" thickBot="1" x14ac:dyDescent="0.35"/>
    <row r="16" spans="1:8" ht="19.5" customHeight="1" thickBot="1" x14ac:dyDescent="0.35">
      <c r="A16" s="521" t="s">
        <v>15</v>
      </c>
      <c r="B16" s="522"/>
      <c r="C16" s="522"/>
      <c r="D16" s="522"/>
      <c r="E16" s="522"/>
      <c r="F16" s="522"/>
      <c r="G16" s="522"/>
      <c r="H16" s="523"/>
    </row>
    <row r="17" spans="1:13" ht="20.25" customHeight="1" x14ac:dyDescent="0.3">
      <c r="A17" s="506" t="s">
        <v>16</v>
      </c>
      <c r="B17" s="506"/>
      <c r="C17" s="506"/>
      <c r="D17" s="506"/>
      <c r="E17" s="506"/>
      <c r="F17" s="506"/>
      <c r="G17" s="506"/>
      <c r="H17" s="506"/>
    </row>
    <row r="18" spans="1:13" ht="26.25" customHeight="1" x14ac:dyDescent="0.4">
      <c r="A18" s="262" t="s">
        <v>17</v>
      </c>
      <c r="B18" s="502" t="s">
        <v>2</v>
      </c>
      <c r="C18" s="502"/>
      <c r="D18" s="170"/>
      <c r="E18" s="9"/>
      <c r="F18" s="183"/>
      <c r="G18" s="183"/>
      <c r="H18" s="183"/>
    </row>
    <row r="19" spans="1:13" ht="26.25" customHeight="1" x14ac:dyDescent="0.4">
      <c r="A19" s="262" t="s">
        <v>18</v>
      </c>
      <c r="B19" s="261" t="s">
        <v>4</v>
      </c>
      <c r="C19" s="183">
        <v>29</v>
      </c>
      <c r="D19" s="183"/>
      <c r="E19" s="183"/>
      <c r="F19" s="183"/>
      <c r="G19" s="183"/>
      <c r="H19" s="183"/>
    </row>
    <row r="20" spans="1:13" ht="26.25" customHeight="1" x14ac:dyDescent="0.4">
      <c r="A20" s="262" t="s">
        <v>19</v>
      </c>
      <c r="B20" s="507" t="s">
        <v>122</v>
      </c>
      <c r="C20" s="507"/>
      <c r="D20" s="183"/>
      <c r="E20" s="183"/>
      <c r="F20" s="183"/>
      <c r="G20" s="183"/>
      <c r="H20" s="183"/>
    </row>
    <row r="21" spans="1:13" ht="26.25" customHeight="1" x14ac:dyDescent="0.4">
      <c r="A21" s="262" t="s">
        <v>20</v>
      </c>
      <c r="B21" s="507" t="s">
        <v>132</v>
      </c>
      <c r="C21" s="507"/>
      <c r="D21" s="507"/>
      <c r="E21" s="507"/>
      <c r="F21" s="507"/>
      <c r="G21" s="507"/>
      <c r="H21" s="507"/>
    </row>
    <row r="22" spans="1:13" ht="26.25" customHeight="1" x14ac:dyDescent="0.3">
      <c r="A22" s="262" t="s">
        <v>21</v>
      </c>
      <c r="B22" s="264"/>
    </row>
    <row r="23" spans="1:13" ht="26.25" customHeight="1" x14ac:dyDescent="0.3">
      <c r="A23" s="262" t="s">
        <v>22</v>
      </c>
      <c r="B23" s="264" t="s">
        <v>133</v>
      </c>
    </row>
    <row r="24" spans="1:13" ht="18.75" x14ac:dyDescent="0.3">
      <c r="A24" s="262"/>
      <c r="B24" s="265"/>
    </row>
    <row r="25" spans="1:13" ht="18.75" x14ac:dyDescent="0.3">
      <c r="A25" s="266" t="s">
        <v>0</v>
      </c>
      <c r="B25" s="265"/>
    </row>
    <row r="26" spans="1:13" ht="26.25" customHeight="1" x14ac:dyDescent="0.3">
      <c r="A26" s="267" t="s">
        <v>1</v>
      </c>
      <c r="B26" s="518" t="s">
        <v>120</v>
      </c>
      <c r="C26" s="518"/>
    </row>
    <row r="27" spans="1:13" ht="26.25" customHeight="1" x14ac:dyDescent="0.3">
      <c r="A27" s="268" t="s">
        <v>23</v>
      </c>
      <c r="B27" s="519" t="s">
        <v>121</v>
      </c>
      <c r="C27" s="519"/>
    </row>
    <row r="28" spans="1:13" ht="27" customHeight="1" thickBot="1" x14ac:dyDescent="0.35">
      <c r="A28" s="268" t="s">
        <v>3</v>
      </c>
      <c r="B28" s="269">
        <v>99.3</v>
      </c>
    </row>
    <row r="29" spans="1:13" s="253" customFormat="1" ht="15.75" customHeight="1" thickBot="1" x14ac:dyDescent="0.3">
      <c r="A29" s="268" t="s">
        <v>24</v>
      </c>
      <c r="B29" s="270">
        <v>0</v>
      </c>
      <c r="C29" s="477" t="s">
        <v>107</v>
      </c>
      <c r="D29" s="478"/>
      <c r="E29" s="478"/>
      <c r="F29" s="478"/>
      <c r="G29" s="479"/>
      <c r="H29" s="271"/>
      <c r="I29" s="20"/>
      <c r="J29" s="20"/>
      <c r="K29" s="20"/>
    </row>
    <row r="30" spans="1:13" s="253" customFormat="1" ht="19.5" customHeight="1" thickBot="1" x14ac:dyDescent="0.3">
      <c r="A30" s="268" t="s">
        <v>26</v>
      </c>
      <c r="B30" s="260">
        <v>99.3</v>
      </c>
      <c r="C30" s="272"/>
      <c r="D30" s="272"/>
      <c r="E30" s="272"/>
      <c r="F30" s="272"/>
      <c r="G30" s="273"/>
      <c r="H30" s="271"/>
      <c r="I30" s="20"/>
      <c r="J30" s="20"/>
      <c r="K30" s="20"/>
    </row>
    <row r="31" spans="1:13" s="253" customFormat="1" ht="27" customHeight="1" thickBot="1" x14ac:dyDescent="0.3">
      <c r="A31" s="268" t="s">
        <v>27</v>
      </c>
      <c r="B31" s="274">
        <v>704.9</v>
      </c>
      <c r="C31" s="480" t="s">
        <v>28</v>
      </c>
      <c r="D31" s="481"/>
      <c r="E31" s="481"/>
      <c r="F31" s="481"/>
      <c r="G31" s="481"/>
      <c r="H31" s="482"/>
      <c r="I31" s="20"/>
      <c r="J31" s="20"/>
      <c r="K31" s="20"/>
    </row>
    <row r="32" spans="1:13" s="253" customFormat="1" ht="27" customHeight="1" thickBot="1" x14ac:dyDescent="0.3">
      <c r="A32" s="268" t="s">
        <v>29</v>
      </c>
      <c r="B32" s="274">
        <v>802.9</v>
      </c>
      <c r="C32" s="480" t="s">
        <v>30</v>
      </c>
      <c r="D32" s="481"/>
      <c r="E32" s="481"/>
      <c r="F32" s="481"/>
      <c r="G32" s="481"/>
      <c r="H32" s="482"/>
      <c r="I32" s="20"/>
      <c r="J32" s="20"/>
      <c r="K32" s="25"/>
      <c r="L32" s="25"/>
      <c r="M32" s="26"/>
    </row>
    <row r="33" spans="1:13" s="253" customFormat="1" ht="17.25" customHeight="1" x14ac:dyDescent="0.25">
      <c r="A33" s="268"/>
      <c r="B33" s="275"/>
      <c r="C33" s="28"/>
      <c r="D33" s="28"/>
      <c r="E33" s="28"/>
      <c r="F33" s="28"/>
      <c r="G33" s="28"/>
      <c r="H33" s="28"/>
      <c r="I33" s="20"/>
      <c r="J33" s="20"/>
      <c r="K33" s="25"/>
      <c r="L33" s="25"/>
      <c r="M33" s="26"/>
    </row>
    <row r="34" spans="1:13" s="253" customFormat="1" ht="18.75" x14ac:dyDescent="0.25">
      <c r="A34" s="268" t="s">
        <v>31</v>
      </c>
      <c r="B34" s="276">
        <f>B31/B32</f>
        <v>0.87794245858761988</v>
      </c>
      <c r="C34" s="263" t="s">
        <v>32</v>
      </c>
      <c r="D34" s="263"/>
      <c r="E34" s="263"/>
      <c r="F34" s="263"/>
      <c r="G34" s="263"/>
      <c r="H34" s="271"/>
      <c r="I34" s="20"/>
      <c r="J34" s="20"/>
      <c r="K34" s="25"/>
      <c r="L34" s="25"/>
      <c r="M34" s="26"/>
    </row>
    <row r="35" spans="1:13" s="253" customFormat="1" ht="19.5" customHeight="1" thickBot="1" x14ac:dyDescent="0.3">
      <c r="A35" s="268"/>
      <c r="B35" s="260"/>
      <c r="C35" s="271"/>
      <c r="D35" s="271"/>
      <c r="E35" s="271"/>
      <c r="F35" s="271"/>
      <c r="G35" s="263"/>
      <c r="H35" s="271"/>
      <c r="I35" s="20"/>
      <c r="J35" s="20"/>
      <c r="K35" s="25"/>
      <c r="L35" s="25"/>
      <c r="M35" s="26"/>
    </row>
    <row r="36" spans="1:13" s="253" customFormat="1" ht="27" customHeight="1" thickBot="1" x14ac:dyDescent="0.3">
      <c r="A36" s="277" t="s">
        <v>108</v>
      </c>
      <c r="B36" s="278">
        <v>100</v>
      </c>
      <c r="C36" s="263"/>
      <c r="D36" s="516" t="s">
        <v>34</v>
      </c>
      <c r="E36" s="520"/>
      <c r="F36" s="516" t="s">
        <v>35</v>
      </c>
      <c r="G36" s="517"/>
      <c r="H36" s="271"/>
      <c r="I36" s="20"/>
      <c r="J36" s="20"/>
      <c r="K36" s="25"/>
      <c r="L36" s="25"/>
      <c r="M36" s="26"/>
    </row>
    <row r="37" spans="1:13" s="253" customFormat="1" ht="26.25" customHeight="1" x14ac:dyDescent="0.25">
      <c r="A37" s="279" t="s">
        <v>36</v>
      </c>
      <c r="B37" s="280">
        <v>1</v>
      </c>
      <c r="C37" s="259" t="s">
        <v>37</v>
      </c>
      <c r="D37" s="281" t="s">
        <v>38</v>
      </c>
      <c r="E37" s="282" t="s">
        <v>39</v>
      </c>
      <c r="F37" s="281" t="s">
        <v>38</v>
      </c>
      <c r="G37" s="283" t="s">
        <v>39</v>
      </c>
      <c r="H37" s="271"/>
      <c r="I37" s="20"/>
      <c r="J37" s="20"/>
      <c r="K37" s="25"/>
      <c r="L37" s="25"/>
      <c r="M37" s="26"/>
    </row>
    <row r="38" spans="1:13" s="253" customFormat="1" ht="26.25" customHeight="1" x14ac:dyDescent="0.25">
      <c r="A38" s="279" t="s">
        <v>41</v>
      </c>
      <c r="B38" s="280">
        <v>1</v>
      </c>
      <c r="C38" s="284">
        <v>1</v>
      </c>
      <c r="D38" s="285">
        <v>62216550</v>
      </c>
      <c r="E38" s="286">
        <f>IF(ISBLANK(D38),"-",$D$48/$D$45*D38)</f>
        <v>163589409.23348802</v>
      </c>
      <c r="F38" s="285">
        <v>50749945</v>
      </c>
      <c r="G38" s="287">
        <f>IF(ISBLANK(F38),"-",$D$48/$F$45*F38)</f>
        <v>166153425.27115127</v>
      </c>
      <c r="H38" s="271"/>
      <c r="I38" s="20"/>
      <c r="J38" s="20"/>
      <c r="K38" s="25"/>
      <c r="L38" s="25"/>
      <c r="M38" s="26"/>
    </row>
    <row r="39" spans="1:13" s="253" customFormat="1" ht="26.25" customHeight="1" x14ac:dyDescent="0.25">
      <c r="A39" s="279" t="s">
        <v>42</v>
      </c>
      <c r="B39" s="280">
        <v>1</v>
      </c>
      <c r="C39" s="288">
        <v>2</v>
      </c>
      <c r="D39" s="289">
        <v>62164205</v>
      </c>
      <c r="E39" s="290">
        <f>IF(ISBLANK(D39),"-",$D$48/$D$45*D39)</f>
        <v>163451775.63557354</v>
      </c>
      <c r="F39" s="289">
        <v>50929377</v>
      </c>
      <c r="G39" s="291">
        <f>IF(ISBLANK(F39),"-",$D$48/$F$45*F39)</f>
        <v>166740878.940377</v>
      </c>
      <c r="H39" s="271"/>
      <c r="I39" s="20"/>
      <c r="J39" s="20"/>
      <c r="K39" s="25"/>
      <c r="L39" s="25"/>
      <c r="M39" s="26"/>
    </row>
    <row r="40" spans="1:13" ht="26.25" customHeight="1" x14ac:dyDescent="0.3">
      <c r="A40" s="279" t="s">
        <v>43</v>
      </c>
      <c r="B40" s="280">
        <v>1</v>
      </c>
      <c r="C40" s="288">
        <v>3</v>
      </c>
      <c r="D40" s="289">
        <v>62114549</v>
      </c>
      <c r="E40" s="290">
        <f>IF(ISBLANK(D40),"-",$D$48/$D$45*D40)</f>
        <v>163321212.37379032</v>
      </c>
      <c r="F40" s="289">
        <v>50916527</v>
      </c>
      <c r="G40" s="291">
        <f>IF(ISBLANK(F40),"-",$D$48/$F$45*F40)</f>
        <v>166698808.52010885</v>
      </c>
      <c r="K40" s="25"/>
      <c r="L40" s="25"/>
      <c r="M40" s="108"/>
    </row>
    <row r="41" spans="1:13" ht="26.25" customHeight="1" x14ac:dyDescent="0.3">
      <c r="A41" s="279" t="s">
        <v>44</v>
      </c>
      <c r="B41" s="280">
        <v>1</v>
      </c>
      <c r="C41" s="292">
        <v>4</v>
      </c>
      <c r="D41" s="293"/>
      <c r="E41" s="294" t="str">
        <f>IF(ISBLANK(D41),"-",$D$48/$D$45*D41)</f>
        <v>-</v>
      </c>
      <c r="F41" s="293"/>
      <c r="G41" s="295" t="str">
        <f>IF(ISBLANK(F41),"-",$D$48/$F$45*F41)</f>
        <v>-</v>
      </c>
      <c r="K41" s="25"/>
      <c r="L41" s="25"/>
      <c r="M41" s="108"/>
    </row>
    <row r="42" spans="1:13" ht="27" customHeight="1" thickBot="1" x14ac:dyDescent="0.35">
      <c r="A42" s="279" t="s">
        <v>45</v>
      </c>
      <c r="B42" s="280">
        <v>1</v>
      </c>
      <c r="C42" s="268" t="s">
        <v>46</v>
      </c>
      <c r="D42" s="296">
        <v>62165101.333333336</v>
      </c>
      <c r="E42" s="297">
        <f>AVERAGE(E38:E41)</f>
        <v>163454132.41428396</v>
      </c>
      <c r="F42" s="298">
        <v>50865283</v>
      </c>
      <c r="G42" s="299">
        <f>AVERAGE(G38:G41)</f>
        <v>166531037.57721236</v>
      </c>
      <c r="H42" s="300"/>
    </row>
    <row r="43" spans="1:13" ht="26.25" customHeight="1" x14ac:dyDescent="0.3">
      <c r="A43" s="279" t="s">
        <v>47</v>
      </c>
      <c r="B43" s="280">
        <v>1</v>
      </c>
      <c r="C43" s="58" t="s">
        <v>48</v>
      </c>
      <c r="D43" s="301">
        <v>24.43</v>
      </c>
      <c r="E43" s="263"/>
      <c r="F43" s="302">
        <v>19.62</v>
      </c>
      <c r="H43" s="300"/>
    </row>
    <row r="44" spans="1:13" ht="26.25" customHeight="1" x14ac:dyDescent="0.3">
      <c r="A44" s="279" t="s">
        <v>49</v>
      </c>
      <c r="B44" s="280">
        <v>1</v>
      </c>
      <c r="C44" s="60" t="s">
        <v>50</v>
      </c>
      <c r="D44" s="303">
        <v>21.448134263295554</v>
      </c>
      <c r="E44" s="288"/>
      <c r="F44" s="304">
        <f>F43*$B$34</f>
        <v>17.225231037489102</v>
      </c>
      <c r="H44" s="300"/>
    </row>
    <row r="45" spans="1:13" ht="19.5" customHeight="1" thickBot="1" x14ac:dyDescent="0.35">
      <c r="A45" s="279" t="s">
        <v>51</v>
      </c>
      <c r="B45" s="305">
        <v>100</v>
      </c>
      <c r="C45" s="60" t="s">
        <v>52</v>
      </c>
      <c r="D45" s="306">
        <v>21.297997323452481</v>
      </c>
      <c r="E45" s="307"/>
      <c r="F45" s="308">
        <f>F44*$B$30/100</f>
        <v>17.104654420226677</v>
      </c>
      <c r="H45" s="300"/>
    </row>
    <row r="46" spans="1:13" ht="19.5" customHeight="1" thickBot="1" x14ac:dyDescent="0.35">
      <c r="A46" s="471" t="s">
        <v>53</v>
      </c>
      <c r="B46" s="472"/>
      <c r="C46" s="60" t="s">
        <v>54</v>
      </c>
      <c r="D46" s="303">
        <v>0.21297997323452481</v>
      </c>
      <c r="E46" s="307"/>
      <c r="F46" s="309">
        <f>F45/$B$45</f>
        <v>0.17104654420226675</v>
      </c>
      <c r="H46" s="300"/>
    </row>
    <row r="47" spans="1:13" ht="27" customHeight="1" thickBot="1" x14ac:dyDescent="0.35">
      <c r="A47" s="473"/>
      <c r="B47" s="474"/>
      <c r="C47" s="310" t="s">
        <v>109</v>
      </c>
      <c r="D47" s="311">
        <v>0.56000000000000005</v>
      </c>
      <c r="F47" s="312"/>
      <c r="H47" s="300"/>
    </row>
    <row r="48" spans="1:13" ht="18.75" x14ac:dyDescent="0.3">
      <c r="C48" s="313" t="s">
        <v>56</v>
      </c>
      <c r="D48" s="306">
        <f>D47*$B$45</f>
        <v>56.000000000000007</v>
      </c>
      <c r="F48" s="312"/>
      <c r="H48" s="300"/>
    </row>
    <row r="49" spans="1:11" ht="19.5" customHeight="1" thickBot="1" x14ac:dyDescent="0.35">
      <c r="C49" s="314" t="s">
        <v>57</v>
      </c>
      <c r="D49" s="315">
        <f>D48/B34</f>
        <v>63.785501489572994</v>
      </c>
      <c r="F49" s="290"/>
      <c r="H49" s="300"/>
    </row>
    <row r="50" spans="1:11" ht="18.75" x14ac:dyDescent="0.3">
      <c r="C50" s="316" t="s">
        <v>58</v>
      </c>
      <c r="D50" s="317">
        <f>AVERAGE(E38:E41,G38:G41)</f>
        <v>164992584.99574816</v>
      </c>
      <c r="F50" s="290"/>
      <c r="H50" s="300"/>
    </row>
    <row r="51" spans="1:11" ht="18.75" x14ac:dyDescent="0.3">
      <c r="C51" s="318" t="s">
        <v>59</v>
      </c>
      <c r="D51" s="319">
        <f>STDEV(E38:E41,G38:G41)/D50</f>
        <v>1.0304121766699342E-2</v>
      </c>
      <c r="F51" s="290"/>
    </row>
    <row r="52" spans="1:11" ht="19.5" customHeight="1" thickBot="1" x14ac:dyDescent="0.35">
      <c r="C52" s="320" t="s">
        <v>7</v>
      </c>
      <c r="D52" s="321">
        <f>COUNT(E38:E41,G38:G41)</f>
        <v>6</v>
      </c>
      <c r="F52" s="290"/>
    </row>
    <row r="54" spans="1:11" ht="18.75" x14ac:dyDescent="0.3">
      <c r="A54" s="322" t="s">
        <v>0</v>
      </c>
      <c r="B54" s="323" t="s">
        <v>60</v>
      </c>
    </row>
    <row r="55" spans="1:11" ht="18.75" x14ac:dyDescent="0.3">
      <c r="A55" s="263" t="s">
        <v>61</v>
      </c>
      <c r="B55" s="324" t="str">
        <f>B21</f>
        <v>Each film coated tablet contains: Atazanavir 300mg</v>
      </c>
    </row>
    <row r="56" spans="1:11" ht="26.25" customHeight="1" x14ac:dyDescent="0.3">
      <c r="A56" s="324" t="s">
        <v>110</v>
      </c>
      <c r="B56" s="269">
        <v>300</v>
      </c>
      <c r="C56" s="263" t="str">
        <f>B20</f>
        <v xml:space="preserve">ATAZANAVIR </v>
      </c>
      <c r="H56" s="288"/>
    </row>
    <row r="57" spans="1:11" ht="18.75" x14ac:dyDescent="0.3">
      <c r="A57" s="324" t="s">
        <v>111</v>
      </c>
      <c r="B57" s="325">
        <f>[1]Uniformity!C46</f>
        <v>1970.5519999999997</v>
      </c>
      <c r="H57" s="288"/>
    </row>
    <row r="58" spans="1:11" ht="19.5" customHeight="1" thickBot="1" x14ac:dyDescent="0.35">
      <c r="H58" s="288"/>
    </row>
    <row r="59" spans="1:11" s="253" customFormat="1" ht="27" customHeight="1" thickBot="1" x14ac:dyDescent="0.3">
      <c r="A59" s="277" t="s">
        <v>112</v>
      </c>
      <c r="B59" s="278">
        <v>100</v>
      </c>
      <c r="C59" s="263"/>
      <c r="D59" s="326" t="s">
        <v>65</v>
      </c>
      <c r="E59" s="327" t="s">
        <v>37</v>
      </c>
      <c r="F59" s="327" t="s">
        <v>38</v>
      </c>
      <c r="G59" s="327" t="s">
        <v>66</v>
      </c>
      <c r="H59" s="328" t="s">
        <v>67</v>
      </c>
      <c r="K59" s="20"/>
    </row>
    <row r="60" spans="1:11" s="253" customFormat="1" ht="26.25" customHeight="1" x14ac:dyDescent="0.25">
      <c r="A60" s="279" t="s">
        <v>97</v>
      </c>
      <c r="B60" s="280">
        <v>4</v>
      </c>
      <c r="C60" s="488" t="s">
        <v>69</v>
      </c>
      <c r="D60" s="491">
        <v>1976.37</v>
      </c>
      <c r="E60" s="329">
        <v>1</v>
      </c>
      <c r="F60" s="330">
        <v>167912343</v>
      </c>
      <c r="G60" s="331">
        <f>IF(ISBLANK(F60),"-",(F60/$D$50*$D$47*$B$68)*($B$57/$D$60))</f>
        <v>284.11611858699177</v>
      </c>
      <c r="H60" s="89">
        <f t="shared" ref="H60:H71" si="0">IF(ISBLANK(F60),"-",G60/$B$56)</f>
        <v>0.94705372862330595</v>
      </c>
      <c r="K60" s="20"/>
    </row>
    <row r="61" spans="1:11" s="253" customFormat="1" ht="26.25" customHeight="1" x14ac:dyDescent="0.25">
      <c r="A61" s="279" t="s">
        <v>70</v>
      </c>
      <c r="B61" s="280">
        <v>20</v>
      </c>
      <c r="C61" s="489"/>
      <c r="D61" s="492"/>
      <c r="E61" s="332">
        <v>2</v>
      </c>
      <c r="F61" s="333">
        <v>167317865</v>
      </c>
      <c r="G61" s="334">
        <f>IF(ISBLANK(F61),"-",(F61/$D$50*$D$47*$B$68)*($B$57/$D$60))</f>
        <v>283.11023195038308</v>
      </c>
      <c r="H61" s="91">
        <f t="shared" si="0"/>
        <v>0.94370077316794365</v>
      </c>
      <c r="K61" s="20"/>
    </row>
    <row r="62" spans="1:11" s="253" customFormat="1" ht="26.25" customHeight="1" x14ac:dyDescent="0.25">
      <c r="A62" s="279" t="s">
        <v>71</v>
      </c>
      <c r="B62" s="280">
        <v>1</v>
      </c>
      <c r="C62" s="489"/>
      <c r="D62" s="492"/>
      <c r="E62" s="332">
        <v>3</v>
      </c>
      <c r="F62" s="333">
        <v>167855830</v>
      </c>
      <c r="G62" s="334">
        <f>IF(ISBLANK(F62),"-",(F62/$D$50*$D$47*$B$68)*($B$57/$D$60))</f>
        <v>284.02049575234577</v>
      </c>
      <c r="H62" s="91">
        <f t="shared" si="0"/>
        <v>0.94673498584115257</v>
      </c>
      <c r="K62" s="20"/>
    </row>
    <row r="63" spans="1:11" ht="27" customHeight="1" thickBot="1" x14ac:dyDescent="0.35">
      <c r="A63" s="279" t="s">
        <v>72</v>
      </c>
      <c r="B63" s="280">
        <v>1</v>
      </c>
      <c r="C63" s="499"/>
      <c r="D63" s="493"/>
      <c r="E63" s="335">
        <v>4</v>
      </c>
      <c r="F63" s="336"/>
      <c r="G63" s="334" t="str">
        <f>IF(ISBLANK(F63),"-",(F63/$D$50*$D$47*$B$68)*($B$57/$D$60))</f>
        <v>-</v>
      </c>
      <c r="H63" s="91" t="str">
        <f t="shared" si="0"/>
        <v>-</v>
      </c>
    </row>
    <row r="64" spans="1:11" ht="26.25" customHeight="1" x14ac:dyDescent="0.3">
      <c r="A64" s="279" t="s">
        <v>73</v>
      </c>
      <c r="B64" s="280">
        <v>1</v>
      </c>
      <c r="C64" s="488" t="s">
        <v>74</v>
      </c>
      <c r="D64" s="491">
        <v>1972.47</v>
      </c>
      <c r="E64" s="329">
        <v>1</v>
      </c>
      <c r="F64" s="330">
        <v>169036886</v>
      </c>
      <c r="G64" s="337">
        <f>IF(ISBLANK(F64),"-",(F64/$D$50*$D$47*$B$68)*($B$57/$D$64))</f>
        <v>286.58442308743838</v>
      </c>
      <c r="H64" s="95">
        <f t="shared" si="0"/>
        <v>0.9552814102914613</v>
      </c>
    </row>
    <row r="65" spans="1:8" ht="26.25" customHeight="1" x14ac:dyDescent="0.3">
      <c r="A65" s="279" t="s">
        <v>75</v>
      </c>
      <c r="B65" s="280">
        <v>1</v>
      </c>
      <c r="C65" s="489"/>
      <c r="D65" s="492"/>
      <c r="E65" s="332">
        <v>2</v>
      </c>
      <c r="F65" s="333">
        <v>170749239</v>
      </c>
      <c r="G65" s="338">
        <f>IF(ISBLANK(F65),"-",(F65/$D$50*$D$47*$B$68)*($B$57/$D$64))</f>
        <v>289.4875391364825</v>
      </c>
      <c r="H65" s="96">
        <f t="shared" si="0"/>
        <v>0.96495846378827499</v>
      </c>
    </row>
    <row r="66" spans="1:8" ht="26.25" customHeight="1" x14ac:dyDescent="0.3">
      <c r="A66" s="279" t="s">
        <v>76</v>
      </c>
      <c r="B66" s="280">
        <v>1</v>
      </c>
      <c r="C66" s="489"/>
      <c r="D66" s="492"/>
      <c r="E66" s="332">
        <v>3</v>
      </c>
      <c r="F66" s="333">
        <v>170872664</v>
      </c>
      <c r="G66" s="338">
        <f>IF(ISBLANK(F66),"-",(F66/$D$50*$D$47*$B$68)*($B$57/$D$64))</f>
        <v>289.69679336055503</v>
      </c>
      <c r="H66" s="96">
        <f t="shared" si="0"/>
        <v>0.96565597786851676</v>
      </c>
    </row>
    <row r="67" spans="1:8" ht="27" customHeight="1" thickBot="1" x14ac:dyDescent="0.35">
      <c r="A67" s="279" t="s">
        <v>77</v>
      </c>
      <c r="B67" s="280">
        <v>1</v>
      </c>
      <c r="C67" s="499"/>
      <c r="D67" s="493"/>
      <c r="E67" s="335">
        <v>4</v>
      </c>
      <c r="F67" s="336"/>
      <c r="G67" s="339" t="str">
        <f>IF(ISBLANK(F67),"-",(F67/$D$50*$D$47*$B$68)*($B$57/$D$64))</f>
        <v>-</v>
      </c>
      <c r="H67" s="97" t="str">
        <f t="shared" si="0"/>
        <v>-</v>
      </c>
    </row>
    <row r="68" spans="1:8" ht="21.75" customHeight="1" x14ac:dyDescent="0.3">
      <c r="A68" s="279" t="s">
        <v>78</v>
      </c>
      <c r="B68" s="305">
        <f>(B67/B66)*(B65/B64)*(B63/B62)*(B61/B60)*B59</f>
        <v>500</v>
      </c>
      <c r="C68" s="488" t="s">
        <v>79</v>
      </c>
      <c r="D68" s="491">
        <v>1964.45</v>
      </c>
      <c r="E68" s="329">
        <v>1</v>
      </c>
      <c r="F68" s="330">
        <v>174009066</v>
      </c>
      <c r="G68" s="337">
        <f>IF(ISBLANK(F68),"-",(F68/$D$50*$D$47*$B$68)*($B$57/$D$68))</f>
        <v>296.21865164733367</v>
      </c>
      <c r="H68" s="91">
        <f t="shared" si="0"/>
        <v>0.98739550549111221</v>
      </c>
    </row>
    <row r="69" spans="1:8" ht="21.75" customHeight="1" thickBot="1" x14ac:dyDescent="0.35">
      <c r="A69" s="340" t="s">
        <v>113</v>
      </c>
      <c r="B69" s="341">
        <f>D47*B68/B56*B57</f>
        <v>1839.1818666666663</v>
      </c>
      <c r="C69" s="489"/>
      <c r="D69" s="492"/>
      <c r="E69" s="332">
        <v>2</v>
      </c>
      <c r="F69" s="333">
        <v>173891743</v>
      </c>
      <c r="G69" s="338">
        <f>IF(ISBLANK(F69),"-",(F69/$D$50*$D$47*$B$68)*($B$57/$D$68))</f>
        <v>296.01893066919098</v>
      </c>
      <c r="H69" s="91">
        <f t="shared" si="0"/>
        <v>0.98672976889730324</v>
      </c>
    </row>
    <row r="70" spans="1:8" ht="22.5" customHeight="1" x14ac:dyDescent="0.3">
      <c r="A70" s="471" t="s">
        <v>53</v>
      </c>
      <c r="B70" s="472"/>
      <c r="C70" s="489"/>
      <c r="D70" s="492"/>
      <c r="E70" s="332">
        <v>3</v>
      </c>
      <c r="F70" s="333">
        <v>172674979</v>
      </c>
      <c r="G70" s="338">
        <f>IF(ISBLANK(F70),"-",(F70/$D$50*$D$47*$B$68)*($B$57/$D$68))</f>
        <v>293.94761220436448</v>
      </c>
      <c r="H70" s="91">
        <f t="shared" si="0"/>
        <v>0.97982537401454828</v>
      </c>
    </row>
    <row r="71" spans="1:8" ht="21.75" customHeight="1" thickBot="1" x14ac:dyDescent="0.35">
      <c r="A71" s="473"/>
      <c r="B71" s="474"/>
      <c r="C71" s="490"/>
      <c r="D71" s="493"/>
      <c r="E71" s="335">
        <v>4</v>
      </c>
      <c r="F71" s="336"/>
      <c r="G71" s="339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3">
      <c r="A72" s="288"/>
      <c r="B72" s="288"/>
      <c r="C72" s="288"/>
      <c r="D72" s="288"/>
      <c r="E72" s="288"/>
      <c r="F72" s="288"/>
      <c r="G72" s="342" t="s">
        <v>46</v>
      </c>
      <c r="H72" s="343">
        <f>AVERAGE(H60:H71)</f>
        <v>0.96414844310929104</v>
      </c>
    </row>
    <row r="73" spans="1:8" ht="26.25" customHeight="1" x14ac:dyDescent="0.3">
      <c r="C73" s="288"/>
      <c r="D73" s="288"/>
      <c r="E73" s="288"/>
      <c r="F73" s="288"/>
      <c r="G73" s="318" t="s">
        <v>59</v>
      </c>
      <c r="H73" s="344">
        <f>STDEV(H60:H71)/H72</f>
        <v>1.7931699336590851E-2</v>
      </c>
    </row>
    <row r="74" spans="1:8" ht="27" customHeight="1" thickBot="1" x14ac:dyDescent="0.35">
      <c r="A74" s="288"/>
      <c r="B74" s="288"/>
      <c r="C74" s="288"/>
      <c r="D74" s="288"/>
      <c r="E74" s="307"/>
      <c r="F74" s="288"/>
      <c r="G74" s="320" t="s">
        <v>7</v>
      </c>
      <c r="H74" s="345">
        <f>COUNT(H60:H71)</f>
        <v>9</v>
      </c>
    </row>
    <row r="75" spans="1:8" ht="18.75" x14ac:dyDescent="0.3">
      <c r="A75" s="288"/>
      <c r="B75" s="288"/>
      <c r="C75" s="288"/>
      <c r="D75" s="288"/>
      <c r="E75" s="307"/>
      <c r="F75" s="288"/>
      <c r="G75" s="268"/>
      <c r="H75" s="260"/>
    </row>
    <row r="76" spans="1:8" ht="26.25" customHeight="1" x14ac:dyDescent="0.3">
      <c r="A76" s="267" t="s">
        <v>114</v>
      </c>
      <c r="B76" s="268" t="s">
        <v>82</v>
      </c>
      <c r="C76" s="489" t="str">
        <f>B20</f>
        <v xml:space="preserve">ATAZANAVIR </v>
      </c>
      <c r="D76" s="489"/>
      <c r="E76" s="263" t="s">
        <v>83</v>
      </c>
      <c r="F76" s="263"/>
      <c r="G76" s="346">
        <f>H72</f>
        <v>0.96414844310929104</v>
      </c>
      <c r="H76" s="260"/>
    </row>
    <row r="77" spans="1:8" ht="18.75" x14ac:dyDescent="0.3">
      <c r="A77" s="266" t="s">
        <v>84</v>
      </c>
      <c r="B77" s="266" t="s">
        <v>85</v>
      </c>
    </row>
    <row r="78" spans="1:8" ht="18.75" x14ac:dyDescent="0.3">
      <c r="A78" s="266"/>
      <c r="B78" s="266"/>
    </row>
    <row r="79" spans="1:8" ht="26.25" customHeight="1" x14ac:dyDescent="0.3">
      <c r="A79" s="267" t="s">
        <v>1</v>
      </c>
      <c r="B79" s="518" t="str">
        <f>B26</f>
        <v>Atazanavir sulfate</v>
      </c>
      <c r="C79" s="518"/>
    </row>
    <row r="80" spans="1:8" ht="26.25" customHeight="1" x14ac:dyDescent="0.3">
      <c r="A80" s="268" t="s">
        <v>23</v>
      </c>
      <c r="B80" s="519" t="str">
        <f>B27</f>
        <v>A48-1</v>
      </c>
      <c r="C80" s="519"/>
    </row>
    <row r="81" spans="1:11" ht="27" customHeight="1" thickBot="1" x14ac:dyDescent="0.35">
      <c r="A81" s="268" t="s">
        <v>3</v>
      </c>
      <c r="B81" s="269">
        <v>99.3</v>
      </c>
    </row>
    <row r="82" spans="1:11" s="253" customFormat="1" ht="27" customHeight="1" thickBot="1" x14ac:dyDescent="0.3">
      <c r="A82" s="268" t="s">
        <v>24</v>
      </c>
      <c r="B82" s="269">
        <v>0</v>
      </c>
      <c r="C82" s="477" t="s">
        <v>107</v>
      </c>
      <c r="D82" s="478"/>
      <c r="E82" s="478"/>
      <c r="F82" s="478"/>
      <c r="G82" s="479"/>
      <c r="H82" s="271"/>
      <c r="I82" s="20"/>
      <c r="J82" s="20"/>
      <c r="K82" s="20"/>
    </row>
    <row r="83" spans="1:11" s="253" customFormat="1" ht="19.5" customHeight="1" thickBot="1" x14ac:dyDescent="0.3">
      <c r="A83" s="268" t="s">
        <v>26</v>
      </c>
      <c r="B83" s="260">
        <v>99.3</v>
      </c>
      <c r="C83" s="272"/>
      <c r="D83" s="272"/>
      <c r="E83" s="272"/>
      <c r="F83" s="272"/>
      <c r="G83" s="273"/>
      <c r="H83" s="271"/>
      <c r="I83" s="20"/>
      <c r="J83" s="20"/>
      <c r="K83" s="20"/>
    </row>
    <row r="84" spans="1:11" s="253" customFormat="1" ht="27" customHeight="1" thickBot="1" x14ac:dyDescent="0.3">
      <c r="A84" s="268" t="s">
        <v>27</v>
      </c>
      <c r="B84" s="274">
        <v>704.9</v>
      </c>
      <c r="C84" s="480" t="s">
        <v>28</v>
      </c>
      <c r="D84" s="481"/>
      <c r="E84" s="481"/>
      <c r="F84" s="481"/>
      <c r="G84" s="481"/>
      <c r="H84" s="482"/>
      <c r="I84" s="20"/>
      <c r="J84" s="20"/>
      <c r="K84" s="20"/>
    </row>
    <row r="85" spans="1:11" s="253" customFormat="1" ht="27" customHeight="1" thickBot="1" x14ac:dyDescent="0.3">
      <c r="A85" s="268" t="s">
        <v>29</v>
      </c>
      <c r="B85" s="274">
        <v>802.9</v>
      </c>
      <c r="C85" s="480" t="s">
        <v>30</v>
      </c>
      <c r="D85" s="481"/>
      <c r="E85" s="481"/>
      <c r="F85" s="481"/>
      <c r="G85" s="481"/>
      <c r="H85" s="482"/>
      <c r="I85" s="20"/>
      <c r="J85" s="20"/>
      <c r="K85" s="20"/>
    </row>
    <row r="86" spans="1:11" s="253" customFormat="1" ht="18.75" x14ac:dyDescent="0.25">
      <c r="A86" s="268"/>
      <c r="B86" s="275"/>
      <c r="C86" s="28"/>
      <c r="D86" s="28"/>
      <c r="E86" s="28"/>
      <c r="F86" s="28"/>
      <c r="G86" s="28"/>
      <c r="H86" s="28"/>
      <c r="I86" s="20"/>
      <c r="J86" s="20"/>
      <c r="K86" s="20"/>
    </row>
    <row r="87" spans="1:11" ht="18.75" x14ac:dyDescent="0.3">
      <c r="A87" s="268" t="s">
        <v>31</v>
      </c>
      <c r="B87" s="276">
        <f>B84/B85</f>
        <v>0.87794245858761988</v>
      </c>
      <c r="C87" s="263" t="s">
        <v>32</v>
      </c>
      <c r="H87" s="271"/>
    </row>
    <row r="88" spans="1:11" ht="19.5" customHeight="1" thickBot="1" x14ac:dyDescent="0.35">
      <c r="A88" s="268"/>
      <c r="B88" s="276"/>
      <c r="H88" s="271"/>
    </row>
    <row r="89" spans="1:11" ht="27" customHeight="1" thickBot="1" x14ac:dyDescent="0.35">
      <c r="A89" s="277" t="s">
        <v>108</v>
      </c>
      <c r="B89" s="278">
        <v>50</v>
      </c>
      <c r="D89" s="347" t="s">
        <v>34</v>
      </c>
      <c r="E89" s="348"/>
      <c r="F89" s="516" t="s">
        <v>35</v>
      </c>
      <c r="G89" s="517"/>
    </row>
    <row r="90" spans="1:11" ht="26.25" customHeight="1" x14ac:dyDescent="0.3">
      <c r="A90" s="279" t="s">
        <v>36</v>
      </c>
      <c r="B90" s="280">
        <v>1</v>
      </c>
      <c r="C90" s="259" t="s">
        <v>37</v>
      </c>
      <c r="D90" s="349" t="s">
        <v>38</v>
      </c>
      <c r="E90" s="282" t="s">
        <v>39</v>
      </c>
      <c r="F90" s="349" t="s">
        <v>38</v>
      </c>
      <c r="G90" s="283" t="s">
        <v>39</v>
      </c>
    </row>
    <row r="91" spans="1:11" ht="26.25" customHeight="1" x14ac:dyDescent="0.3">
      <c r="A91" s="279" t="s">
        <v>41</v>
      </c>
      <c r="B91" s="280">
        <v>1</v>
      </c>
      <c r="C91" s="284">
        <v>1</v>
      </c>
      <c r="D91" s="350">
        <v>93367420</v>
      </c>
      <c r="E91" s="351">
        <f>IF(ISBLANK(D91),"-",$D$101/$D$98*D91)</f>
        <v>106037305.47153246</v>
      </c>
      <c r="F91" s="352">
        <v>87516882</v>
      </c>
      <c r="G91" s="353">
        <f>IF(ISBLANK(F91),"-",$D$101/$F$98*F91)</f>
        <v>106718762.51560707</v>
      </c>
    </row>
    <row r="92" spans="1:11" ht="26.25" customHeight="1" x14ac:dyDescent="0.3">
      <c r="A92" s="279" t="s">
        <v>42</v>
      </c>
      <c r="B92" s="280">
        <v>1</v>
      </c>
      <c r="C92" s="288">
        <v>2</v>
      </c>
      <c r="D92" s="333">
        <v>93304567</v>
      </c>
      <c r="E92" s="354">
        <f>IF(ISBLANK(D92),"-",$D$101/$D$98*D92)</f>
        <v>105965923.36885893</v>
      </c>
      <c r="F92" s="355">
        <v>87597375</v>
      </c>
      <c r="G92" s="356">
        <f>IF(ISBLANK(F92),"-",$D$101/$F$98*F92)</f>
        <v>106816916.3021093</v>
      </c>
    </row>
    <row r="93" spans="1:11" ht="26.25" customHeight="1" x14ac:dyDescent="0.3">
      <c r="A93" s="279" t="s">
        <v>43</v>
      </c>
      <c r="B93" s="280">
        <v>1</v>
      </c>
      <c r="C93" s="288">
        <v>3</v>
      </c>
      <c r="D93" s="333">
        <v>93278045</v>
      </c>
      <c r="E93" s="354">
        <f>IF(ISBLANK(D93),"-",$D$101/$D$98*D93)</f>
        <v>105935802.35431537</v>
      </c>
      <c r="F93" s="355">
        <v>87353335</v>
      </c>
      <c r="G93" s="356">
        <f>IF(ISBLANK(F93),"-",$D$101/$F$98*F93)</f>
        <v>106519332.03940319</v>
      </c>
    </row>
    <row r="94" spans="1:11" ht="26.25" customHeight="1" x14ac:dyDescent="0.3">
      <c r="A94" s="279" t="s">
        <v>44</v>
      </c>
      <c r="B94" s="280">
        <v>1</v>
      </c>
      <c r="C94" s="292">
        <v>4</v>
      </c>
      <c r="D94" s="357"/>
      <c r="E94" s="358" t="str">
        <f>IF(ISBLANK(D94),"-",$D$101/$D$98*D94)</f>
        <v>-</v>
      </c>
      <c r="F94" s="359"/>
      <c r="G94" s="360" t="str">
        <f>IF(ISBLANK(F94),"-",$D$101/$F$98*F94)</f>
        <v>-</v>
      </c>
    </row>
    <row r="95" spans="1:11" ht="27" customHeight="1" thickBot="1" x14ac:dyDescent="0.35">
      <c r="A95" s="279" t="s">
        <v>45</v>
      </c>
      <c r="B95" s="280">
        <v>1</v>
      </c>
      <c r="C95" s="268" t="s">
        <v>46</v>
      </c>
      <c r="D95" s="296">
        <v>93316677.333333328</v>
      </c>
      <c r="E95" s="297">
        <f>AVERAGE(E91:E94)</f>
        <v>105979677.06490226</v>
      </c>
      <c r="F95" s="361">
        <v>87489197.333333328</v>
      </c>
      <c r="G95" s="362">
        <f>AVERAGE(G91:G94)</f>
        <v>106685003.61903985</v>
      </c>
    </row>
    <row r="96" spans="1:11" ht="26.25" customHeight="1" x14ac:dyDescent="0.3">
      <c r="A96" s="279" t="s">
        <v>47</v>
      </c>
      <c r="B96" s="280">
        <v>1</v>
      </c>
      <c r="C96" s="58" t="s">
        <v>48</v>
      </c>
      <c r="D96" s="301">
        <v>15.15</v>
      </c>
      <c r="E96" s="263"/>
      <c r="F96" s="302">
        <v>14.11</v>
      </c>
    </row>
    <row r="97" spans="1:9" ht="26.25" customHeight="1" x14ac:dyDescent="0.3">
      <c r="A97" s="279" t="s">
        <v>49</v>
      </c>
      <c r="B97" s="280">
        <v>1</v>
      </c>
      <c r="C97" s="60" t="s">
        <v>50</v>
      </c>
      <c r="D97" s="303">
        <f>D96*$B$87</f>
        <v>13.300828247602441</v>
      </c>
      <c r="E97" s="288"/>
      <c r="F97" s="304">
        <f>F96*$B$87</f>
        <v>12.387768090671315</v>
      </c>
    </row>
    <row r="98" spans="1:9" ht="19.5" customHeight="1" thickBot="1" x14ac:dyDescent="0.35">
      <c r="A98" s="340" t="s">
        <v>51</v>
      </c>
      <c r="B98" s="363">
        <f>(B97/B96)*(B95/B94)*(B93/B92)*(B91/B90)*B89</f>
        <v>50</v>
      </c>
      <c r="C98" s="60" t="s">
        <v>52</v>
      </c>
      <c r="D98" s="306">
        <f>D97*$B$83/100</f>
        <v>13.207722449869223</v>
      </c>
      <c r="E98" s="307"/>
      <c r="F98" s="308">
        <f>F97*$B$83/100</f>
        <v>12.301053714036616</v>
      </c>
    </row>
    <row r="99" spans="1:9" ht="19.5" customHeight="1" thickBot="1" x14ac:dyDescent="0.35">
      <c r="A99" s="471" t="s">
        <v>53</v>
      </c>
      <c r="B99" s="472"/>
      <c r="C99" s="60" t="s">
        <v>54</v>
      </c>
      <c r="D99" s="364">
        <f>D98/$B$98</f>
        <v>0.26415444899738444</v>
      </c>
      <c r="E99" s="365"/>
      <c r="F99" s="366">
        <f>F98/$B$98</f>
        <v>0.24602107428073233</v>
      </c>
      <c r="G99" s="367"/>
      <c r="H99" s="300"/>
    </row>
    <row r="100" spans="1:9" ht="19.5" customHeight="1" thickBot="1" x14ac:dyDescent="0.35">
      <c r="A100" s="473"/>
      <c r="B100" s="474"/>
      <c r="C100" s="313" t="s">
        <v>109</v>
      </c>
      <c r="D100" s="368">
        <v>0.3</v>
      </c>
      <c r="F100" s="312"/>
      <c r="G100" s="369"/>
      <c r="H100" s="300"/>
    </row>
    <row r="101" spans="1:9" ht="18.75" x14ac:dyDescent="0.3">
      <c r="C101" s="313" t="s">
        <v>56</v>
      </c>
      <c r="D101" s="303">
        <f>D100*$B$98</f>
        <v>15</v>
      </c>
      <c r="F101" s="312"/>
      <c r="G101" s="367"/>
      <c r="H101" s="300"/>
    </row>
    <row r="102" spans="1:9" ht="19.5" customHeight="1" thickBot="1" x14ac:dyDescent="0.35">
      <c r="C102" s="314" t="s">
        <v>57</v>
      </c>
      <c r="D102" s="370">
        <f>D101/B34</f>
        <v>17.08540218470705</v>
      </c>
      <c r="F102" s="290"/>
      <c r="G102" s="367"/>
      <c r="H102" s="300"/>
      <c r="I102" s="135"/>
    </row>
    <row r="103" spans="1:9" ht="18.75" x14ac:dyDescent="0.3">
      <c r="C103" s="316" t="s">
        <v>92</v>
      </c>
      <c r="D103" s="317">
        <f>AVERAGE(E91:E94,G91:G94)</f>
        <v>106332340.34197105</v>
      </c>
      <c r="F103" s="290"/>
      <c r="G103" s="369"/>
      <c r="H103" s="300"/>
      <c r="I103" s="139"/>
    </row>
    <row r="104" spans="1:9" ht="18.75" x14ac:dyDescent="0.3">
      <c r="C104" s="318" t="s">
        <v>59</v>
      </c>
      <c r="D104" s="371">
        <f>STDEV(E91:E94,G91:G94)/D103</f>
        <v>3.756264249549955E-3</v>
      </c>
      <c r="F104" s="290"/>
      <c r="G104" s="367"/>
      <c r="H104" s="300"/>
      <c r="I104" s="139"/>
    </row>
    <row r="105" spans="1:9" ht="19.5" customHeight="1" thickBot="1" x14ac:dyDescent="0.35">
      <c r="C105" s="320" t="s">
        <v>7</v>
      </c>
      <c r="D105" s="372">
        <f>COUNT(E91:E94,G91:G94)</f>
        <v>6</v>
      </c>
      <c r="F105" s="290"/>
      <c r="G105" s="367"/>
      <c r="H105" s="300"/>
      <c r="I105" s="139"/>
    </row>
    <row r="106" spans="1:9" ht="19.5" customHeight="1" thickBot="1" x14ac:dyDescent="0.35">
      <c r="A106" s="322"/>
      <c r="B106" s="322"/>
      <c r="C106" s="322"/>
      <c r="D106" s="322"/>
      <c r="E106" s="322"/>
    </row>
    <row r="107" spans="1:9" ht="26.25" customHeight="1" x14ac:dyDescent="0.3">
      <c r="A107" s="277" t="s">
        <v>93</v>
      </c>
      <c r="B107" s="278">
        <v>1000</v>
      </c>
      <c r="C107" s="347" t="s">
        <v>115</v>
      </c>
      <c r="D107" s="373" t="s">
        <v>38</v>
      </c>
      <c r="E107" s="374" t="s">
        <v>95</v>
      </c>
      <c r="F107" s="375" t="s">
        <v>96</v>
      </c>
    </row>
    <row r="108" spans="1:9" ht="26.25" customHeight="1" x14ac:dyDescent="0.3">
      <c r="A108" s="279" t="s">
        <v>97</v>
      </c>
      <c r="B108" s="280">
        <v>1</v>
      </c>
      <c r="C108" s="376">
        <v>1</v>
      </c>
      <c r="D108" s="377">
        <v>72961067</v>
      </c>
      <c r="E108" s="378">
        <f t="shared" ref="E108:E113" si="1">IF(ISBLANK(D108),"-",D108/$D$103*$D$100*$B$116)</f>
        <v>205.84819284148054</v>
      </c>
      <c r="F108" s="379">
        <f t="shared" ref="F108:F113" si="2">IF(ISBLANK(D108), "-", E108/$B$56)</f>
        <v>0.68616064280493516</v>
      </c>
    </row>
    <row r="109" spans="1:9" ht="26.25" customHeight="1" x14ac:dyDescent="0.3">
      <c r="A109" s="279" t="s">
        <v>70</v>
      </c>
      <c r="B109" s="280">
        <v>1</v>
      </c>
      <c r="C109" s="376">
        <v>2</v>
      </c>
      <c r="D109" s="377">
        <v>110699753</v>
      </c>
      <c r="E109" s="380">
        <f t="shared" si="1"/>
        <v>312.32196896254641</v>
      </c>
      <c r="F109" s="381">
        <f t="shared" si="2"/>
        <v>1.0410732298751546</v>
      </c>
    </row>
    <row r="110" spans="1:9" ht="26.25" customHeight="1" x14ac:dyDescent="0.3">
      <c r="A110" s="279" t="s">
        <v>71</v>
      </c>
      <c r="B110" s="280">
        <v>1</v>
      </c>
      <c r="C110" s="376">
        <v>3</v>
      </c>
      <c r="D110" s="377">
        <v>63665349</v>
      </c>
      <c r="E110" s="380">
        <f t="shared" si="1"/>
        <v>179.62178429041012</v>
      </c>
      <c r="F110" s="381">
        <f t="shared" si="2"/>
        <v>0.59873928096803375</v>
      </c>
    </row>
    <row r="111" spans="1:9" ht="26.25" customHeight="1" x14ac:dyDescent="0.3">
      <c r="A111" s="279" t="s">
        <v>72</v>
      </c>
      <c r="B111" s="280">
        <v>1</v>
      </c>
      <c r="C111" s="376">
        <v>4</v>
      </c>
      <c r="D111" s="377">
        <v>60176367</v>
      </c>
      <c r="E111" s="380">
        <f t="shared" si="1"/>
        <v>169.77816948202945</v>
      </c>
      <c r="F111" s="381">
        <f t="shared" si="2"/>
        <v>0.56592723160676484</v>
      </c>
    </row>
    <row r="112" spans="1:9" ht="26.25" customHeight="1" x14ac:dyDescent="0.3">
      <c r="A112" s="279" t="s">
        <v>73</v>
      </c>
      <c r="B112" s="280">
        <v>1</v>
      </c>
      <c r="C112" s="376">
        <v>5</v>
      </c>
      <c r="D112" s="377">
        <v>114833669</v>
      </c>
      <c r="E112" s="380">
        <f t="shared" si="1"/>
        <v>323.98516377243698</v>
      </c>
      <c r="F112" s="381">
        <f t="shared" si="2"/>
        <v>1.0799505459081233</v>
      </c>
    </row>
    <row r="113" spans="1:11" ht="26.25" customHeight="1" x14ac:dyDescent="0.3">
      <c r="A113" s="279" t="s">
        <v>75</v>
      </c>
      <c r="B113" s="280">
        <v>1</v>
      </c>
      <c r="C113" s="382">
        <v>6</v>
      </c>
      <c r="D113" s="383">
        <v>69156598</v>
      </c>
      <c r="E113" s="384">
        <f t="shared" si="1"/>
        <v>195.11448100621595</v>
      </c>
      <c r="F113" s="385">
        <f t="shared" si="2"/>
        <v>0.65038160335405315</v>
      </c>
    </row>
    <row r="114" spans="1:11" ht="26.25" customHeight="1" x14ac:dyDescent="0.3">
      <c r="A114" s="279" t="s">
        <v>76</v>
      </c>
      <c r="B114" s="280">
        <v>1</v>
      </c>
      <c r="C114" s="376"/>
      <c r="D114" s="288"/>
      <c r="E114" s="263"/>
      <c r="F114" s="386"/>
    </row>
    <row r="115" spans="1:11" ht="26.25" customHeight="1" x14ac:dyDescent="0.3">
      <c r="A115" s="279" t="s">
        <v>77</v>
      </c>
      <c r="B115" s="280">
        <v>1</v>
      </c>
      <c r="C115" s="376"/>
      <c r="D115" s="387"/>
      <c r="E115" s="388" t="s">
        <v>46</v>
      </c>
      <c r="F115" s="389">
        <f>AVERAGE(F108:F113)</f>
        <v>0.77037208908617749</v>
      </c>
    </row>
    <row r="116" spans="1:11" ht="27" customHeight="1" thickBot="1" x14ac:dyDescent="0.35">
      <c r="A116" s="279" t="s">
        <v>78</v>
      </c>
      <c r="B116" s="305">
        <f>(B115/B114)*(B113/B112)*(B111/B110)*(B109/B108)*B107</f>
        <v>1000</v>
      </c>
      <c r="C116" s="390"/>
      <c r="D116" s="391"/>
      <c r="E116" s="268" t="s">
        <v>59</v>
      </c>
      <c r="F116" s="392">
        <f>STDEV(F108:F113)/F115</f>
        <v>0.29706487692326428</v>
      </c>
    </row>
    <row r="117" spans="1:11" ht="19.5" customHeight="1" thickBot="1" x14ac:dyDescent="0.35">
      <c r="A117" s="471" t="s">
        <v>53</v>
      </c>
      <c r="B117" s="472"/>
      <c r="C117" s="393"/>
      <c r="D117" s="394"/>
      <c r="E117" s="395" t="s">
        <v>7</v>
      </c>
      <c r="F117" s="396">
        <f>COUNT(F108:F113)</f>
        <v>6</v>
      </c>
      <c r="I117" s="139"/>
    </row>
    <row r="118" spans="1:11" ht="19.5" customHeight="1" thickBot="1" x14ac:dyDescent="0.35">
      <c r="A118" s="473"/>
      <c r="B118" s="474"/>
      <c r="C118" s="263"/>
      <c r="D118" s="263"/>
      <c r="E118" s="263"/>
      <c r="F118" s="288"/>
      <c r="G118" s="263"/>
      <c r="H118" s="263"/>
    </row>
    <row r="119" spans="1:11" ht="18.75" x14ac:dyDescent="0.3">
      <c r="A119" s="28"/>
      <c r="B119" s="28"/>
      <c r="C119" s="263"/>
      <c r="D119" s="263"/>
      <c r="E119" s="263"/>
      <c r="F119" s="288"/>
      <c r="G119" s="263"/>
      <c r="H119" s="263"/>
    </row>
    <row r="120" spans="1:11" ht="18.75" x14ac:dyDescent="0.3">
      <c r="A120" s="15" t="s">
        <v>116</v>
      </c>
      <c r="B120" s="15" t="s">
        <v>117</v>
      </c>
      <c r="C120" s="108"/>
      <c r="D120" s="108"/>
      <c r="E120" s="108"/>
      <c r="F120" s="108"/>
      <c r="G120" s="108"/>
      <c r="H120" s="108"/>
    </row>
    <row r="121" spans="1:11" ht="18.75" x14ac:dyDescent="0.3">
      <c r="A121" s="15"/>
      <c r="B121" s="15"/>
      <c r="C121" s="108"/>
      <c r="D121" s="108"/>
      <c r="E121" s="108"/>
      <c r="F121" s="108"/>
      <c r="G121" s="108"/>
      <c r="H121" s="108"/>
    </row>
    <row r="122" spans="1:11" ht="18.75" x14ac:dyDescent="0.3">
      <c r="A122" s="164" t="s">
        <v>1</v>
      </c>
      <c r="B122" s="397" t="s">
        <v>120</v>
      </c>
      <c r="C122" s="108"/>
      <c r="D122" s="108"/>
      <c r="E122" s="108"/>
      <c r="F122" s="108"/>
      <c r="G122" s="108"/>
      <c r="H122" s="108"/>
    </row>
    <row r="123" spans="1:11" ht="18.75" x14ac:dyDescent="0.3">
      <c r="A123" s="119" t="s">
        <v>23</v>
      </c>
      <c r="B123" s="397" t="s">
        <v>121</v>
      </c>
      <c r="C123" s="108"/>
      <c r="D123" s="108"/>
      <c r="E123" s="108"/>
      <c r="F123" s="108"/>
      <c r="G123" s="108"/>
      <c r="H123" s="108"/>
    </row>
    <row r="124" spans="1:11" ht="19.5" customHeight="1" thickBot="1" x14ac:dyDescent="0.35">
      <c r="A124" s="119" t="s">
        <v>3</v>
      </c>
      <c r="B124" s="397">
        <v>99.3</v>
      </c>
      <c r="C124" s="108"/>
      <c r="D124" s="108"/>
      <c r="E124" s="108"/>
      <c r="F124" s="108"/>
      <c r="G124" s="108"/>
      <c r="H124" s="108"/>
    </row>
    <row r="125" spans="1:11" s="253" customFormat="1" ht="15.75" customHeight="1" thickBot="1" x14ac:dyDescent="0.35">
      <c r="A125" s="119" t="s">
        <v>24</v>
      </c>
      <c r="B125" s="397">
        <v>0</v>
      </c>
      <c r="C125" s="477" t="s">
        <v>25</v>
      </c>
      <c r="D125" s="478"/>
      <c r="E125" s="478"/>
      <c r="F125" s="478"/>
      <c r="G125" s="479"/>
      <c r="I125" s="20"/>
      <c r="J125" s="20"/>
      <c r="K125" s="20"/>
    </row>
    <row r="126" spans="1:11" s="253" customFormat="1" ht="19.5" customHeight="1" thickBot="1" x14ac:dyDescent="0.35">
      <c r="A126" s="119" t="s">
        <v>26</v>
      </c>
      <c r="B126" s="255">
        <v>99.3</v>
      </c>
      <c r="C126" s="231"/>
      <c r="D126" s="231"/>
      <c r="E126" s="231"/>
      <c r="F126" s="231"/>
      <c r="G126" s="232"/>
      <c r="I126" s="20"/>
      <c r="J126" s="20"/>
      <c r="K126" s="20"/>
    </row>
    <row r="127" spans="1:11" s="253" customFormat="1" ht="27" customHeight="1" thickBot="1" x14ac:dyDescent="0.3">
      <c r="A127" s="268" t="s">
        <v>27</v>
      </c>
      <c r="B127" s="274">
        <v>704.9</v>
      </c>
      <c r="C127" s="480" t="s">
        <v>28</v>
      </c>
      <c r="D127" s="481"/>
      <c r="E127" s="481"/>
      <c r="F127" s="481"/>
      <c r="G127" s="481"/>
      <c r="H127" s="482"/>
      <c r="I127" s="20"/>
      <c r="J127" s="20"/>
      <c r="K127" s="20"/>
    </row>
    <row r="128" spans="1:11" s="253" customFormat="1" ht="27" customHeight="1" thickBot="1" x14ac:dyDescent="0.3">
      <c r="A128" s="268" t="s">
        <v>29</v>
      </c>
      <c r="B128" s="274">
        <v>802.9</v>
      </c>
      <c r="C128" s="480" t="s">
        <v>30</v>
      </c>
      <c r="D128" s="481"/>
      <c r="E128" s="481"/>
      <c r="F128" s="481"/>
      <c r="G128" s="481"/>
      <c r="H128" s="482"/>
      <c r="I128" s="20"/>
      <c r="J128" s="20"/>
      <c r="K128" s="20"/>
    </row>
    <row r="129" spans="1:11" s="253" customFormat="1" ht="18.75" x14ac:dyDescent="0.25">
      <c r="A129" s="268"/>
      <c r="B129" s="275"/>
      <c r="C129" s="28"/>
      <c r="D129" s="28"/>
      <c r="E129" s="28"/>
      <c r="F129" s="28"/>
      <c r="G129" s="28"/>
      <c r="H129" s="28"/>
      <c r="I129" s="20"/>
      <c r="J129" s="20"/>
      <c r="K129" s="20"/>
    </row>
    <row r="130" spans="1:11" ht="18.75" x14ac:dyDescent="0.3">
      <c r="A130" s="268" t="s">
        <v>31</v>
      </c>
      <c r="B130" s="276">
        <f>B127/B128</f>
        <v>0.87794245858761988</v>
      </c>
      <c r="C130" s="263" t="s">
        <v>32</v>
      </c>
      <c r="H130" s="271"/>
    </row>
    <row r="131" spans="1:11" ht="19.5" customHeight="1" thickBot="1" x14ac:dyDescent="0.35">
      <c r="A131" s="15"/>
      <c r="B131" s="15"/>
      <c r="C131" s="108"/>
      <c r="D131" s="108"/>
      <c r="E131" s="108"/>
      <c r="F131" s="108"/>
      <c r="G131" s="108"/>
      <c r="H131" s="108"/>
    </row>
    <row r="132" spans="1:11" ht="27" customHeight="1" thickBot="1" x14ac:dyDescent="0.35">
      <c r="A132" s="30" t="s">
        <v>108</v>
      </c>
      <c r="B132" s="398">
        <v>50</v>
      </c>
      <c r="C132" s="108"/>
      <c r="D132" s="483" t="s">
        <v>34</v>
      </c>
      <c r="E132" s="484"/>
      <c r="F132" s="483" t="s">
        <v>35</v>
      </c>
      <c r="G132" s="484"/>
      <c r="H132" s="108"/>
    </row>
    <row r="133" spans="1:11" ht="26.25" customHeight="1" x14ac:dyDescent="0.3">
      <c r="A133" s="32" t="s">
        <v>36</v>
      </c>
      <c r="B133" s="399">
        <v>1</v>
      </c>
      <c r="C133" s="256" t="s">
        <v>118</v>
      </c>
      <c r="D133" s="400" t="s">
        <v>38</v>
      </c>
      <c r="E133" s="115" t="s">
        <v>39</v>
      </c>
      <c r="F133" s="400" t="s">
        <v>38</v>
      </c>
      <c r="G133" s="115" t="s">
        <v>39</v>
      </c>
      <c r="H133" s="108"/>
    </row>
    <row r="134" spans="1:11" ht="26.25" customHeight="1" x14ac:dyDescent="0.3">
      <c r="A134" s="32" t="s">
        <v>41</v>
      </c>
      <c r="B134" s="399">
        <v>1</v>
      </c>
      <c r="C134" s="116">
        <v>1</v>
      </c>
      <c r="D134" s="350">
        <v>90364968</v>
      </c>
      <c r="E134" s="42">
        <f>IF(ISBLANK(D134),"-",$D$144/$D$141*D134)</f>
        <v>108879934.16719438</v>
      </c>
      <c r="F134" s="350">
        <v>95402361</v>
      </c>
      <c r="G134" s="42">
        <f>IF(ISBLANK(F134),"-",$D$144/$F$141*F134)</f>
        <v>107850069.21350972</v>
      </c>
      <c r="H134" s="108"/>
    </row>
    <row r="135" spans="1:11" ht="26.25" customHeight="1" x14ac:dyDescent="0.3">
      <c r="A135" s="32" t="s">
        <v>42</v>
      </c>
      <c r="B135" s="399">
        <v>1</v>
      </c>
      <c r="C135" s="252">
        <v>2</v>
      </c>
      <c r="D135" s="333">
        <v>90267789</v>
      </c>
      <c r="E135" s="47">
        <f>IF(ISBLANK(D135),"-",$D$144/$D$141*D135)</f>
        <v>108762844.06738454</v>
      </c>
      <c r="F135" s="333">
        <v>95590372</v>
      </c>
      <c r="G135" s="47">
        <f>IF(ISBLANK(F135),"-",$D$144/$F$141*F135)</f>
        <v>108062611.11656494</v>
      </c>
      <c r="H135" s="108"/>
    </row>
    <row r="136" spans="1:11" ht="26.25" customHeight="1" x14ac:dyDescent="0.3">
      <c r="A136" s="32" t="s">
        <v>43</v>
      </c>
      <c r="B136" s="399">
        <v>1</v>
      </c>
      <c r="C136" s="252">
        <v>3</v>
      </c>
      <c r="D136" s="333">
        <v>90387782</v>
      </c>
      <c r="E136" s="47">
        <f>IF(ISBLANK(D136),"-",$D$144/$D$141*D136)</f>
        <v>108907422.54983942</v>
      </c>
      <c r="F136" s="333">
        <v>95543797</v>
      </c>
      <c r="G136" s="47">
        <f>IF(ISBLANK(F136),"-",$D$144/$F$141*F136)</f>
        <v>108009959.20186423</v>
      </c>
      <c r="H136" s="108"/>
    </row>
    <row r="137" spans="1:11" ht="26.25" customHeight="1" x14ac:dyDescent="0.3">
      <c r="A137" s="32" t="s">
        <v>44</v>
      </c>
      <c r="B137" s="399">
        <v>1</v>
      </c>
      <c r="C137" s="117">
        <v>4</v>
      </c>
      <c r="D137" s="357"/>
      <c r="E137" s="52" t="str">
        <f>IF(ISBLANK(D137),"-",$D$144/$D$141*D137)</f>
        <v>-</v>
      </c>
      <c r="F137" s="357"/>
      <c r="G137" s="52" t="str">
        <f>IF(ISBLANK(F137),"-",$D$144/$D$141*F137)</f>
        <v>-</v>
      </c>
      <c r="H137" s="108"/>
    </row>
    <row r="138" spans="1:11" ht="27" customHeight="1" thickBot="1" x14ac:dyDescent="0.35">
      <c r="A138" s="32" t="s">
        <v>45</v>
      </c>
      <c r="B138" s="399">
        <v>1</v>
      </c>
      <c r="C138" s="119" t="s">
        <v>46</v>
      </c>
      <c r="D138" s="251">
        <f>AVERAGE(D134:D137)</f>
        <v>90340179.666666672</v>
      </c>
      <c r="E138" s="56">
        <f>AVERAGE(E134:E137)</f>
        <v>108850066.92813945</v>
      </c>
      <c r="F138" s="251">
        <f>AVERAGE(F134:F137)</f>
        <v>95512176.666666672</v>
      </c>
      <c r="G138" s="401">
        <f>AVERAGE(G134:G137)</f>
        <v>107974213.17731297</v>
      </c>
      <c r="H138" s="108"/>
    </row>
    <row r="139" spans="1:11" ht="26.25" customHeight="1" x14ac:dyDescent="0.3">
      <c r="A139" s="32" t="s">
        <v>47</v>
      </c>
      <c r="B139" s="399">
        <v>1</v>
      </c>
      <c r="C139" s="123" t="s">
        <v>88</v>
      </c>
      <c r="D139" s="280">
        <v>14.28</v>
      </c>
      <c r="E139" s="108"/>
      <c r="F139" s="402">
        <v>15.22</v>
      </c>
      <c r="G139" s="108"/>
      <c r="H139" s="108"/>
    </row>
    <row r="140" spans="1:11" ht="26.25" customHeight="1" x14ac:dyDescent="0.3">
      <c r="A140" s="32" t="s">
        <v>49</v>
      </c>
      <c r="B140" s="399">
        <v>1</v>
      </c>
      <c r="C140" s="125" t="s">
        <v>89</v>
      </c>
      <c r="D140" s="126">
        <f>D139*B130</f>
        <v>12.537018308631211</v>
      </c>
      <c r="E140" s="252"/>
      <c r="F140" s="243">
        <f>F139*B130</f>
        <v>13.362284219703575</v>
      </c>
      <c r="G140" s="108"/>
      <c r="H140" s="108"/>
    </row>
    <row r="141" spans="1:11" ht="19.5" customHeight="1" thickBot="1" x14ac:dyDescent="0.35">
      <c r="A141" s="32" t="s">
        <v>51</v>
      </c>
      <c r="B141" s="403">
        <f>(B140/B139)*(B138/B137)*(B136/B135)*(B134/B133)*B132</f>
        <v>50</v>
      </c>
      <c r="C141" s="125" t="s">
        <v>90</v>
      </c>
      <c r="D141" s="128">
        <f>D140*B126/100</f>
        <v>12.449259180470792</v>
      </c>
      <c r="E141" s="104"/>
      <c r="F141" s="245">
        <f>F140*B126/100</f>
        <v>13.268748230165649</v>
      </c>
      <c r="G141" s="108"/>
      <c r="H141" s="108"/>
    </row>
    <row r="142" spans="1:11" ht="19.5" customHeight="1" thickBot="1" x14ac:dyDescent="0.35">
      <c r="A142" s="471" t="s">
        <v>53</v>
      </c>
      <c r="B142" s="486"/>
      <c r="C142" s="125" t="s">
        <v>91</v>
      </c>
      <c r="D142" s="126">
        <f>D141/$B$141</f>
        <v>0.24898518360941582</v>
      </c>
      <c r="E142" s="104"/>
      <c r="F142" s="404">
        <f>F141/$B$141</f>
        <v>0.265374964603313</v>
      </c>
      <c r="G142" s="253"/>
      <c r="H142" s="184"/>
    </row>
    <row r="143" spans="1:11" ht="19.5" customHeight="1" thickBot="1" x14ac:dyDescent="0.35">
      <c r="A143" s="473"/>
      <c r="B143" s="487"/>
      <c r="C143" s="125" t="s">
        <v>109</v>
      </c>
      <c r="D143" s="128">
        <v>0.3</v>
      </c>
      <c r="E143" s="108"/>
      <c r="F143" s="71"/>
      <c r="G143" s="138"/>
      <c r="H143" s="184"/>
    </row>
    <row r="144" spans="1:11" ht="18.75" x14ac:dyDescent="0.3">
      <c r="A144" s="108"/>
      <c r="B144" s="108"/>
      <c r="C144" s="125" t="s">
        <v>56</v>
      </c>
      <c r="D144" s="126">
        <f>D143*$B$141</f>
        <v>15</v>
      </c>
      <c r="E144" s="108"/>
      <c r="F144" s="71"/>
      <c r="G144" s="253"/>
      <c r="H144" s="184"/>
    </row>
    <row r="145" spans="1:9" ht="19.5" customHeight="1" thickBot="1" x14ac:dyDescent="0.35">
      <c r="A145" s="108"/>
      <c r="B145" s="108"/>
      <c r="C145" s="405" t="s">
        <v>57</v>
      </c>
      <c r="D145" s="406">
        <f>D144/B130</f>
        <v>17.08540218470705</v>
      </c>
      <c r="E145" s="108"/>
      <c r="F145" s="75"/>
      <c r="G145" s="253"/>
      <c r="H145" s="184"/>
      <c r="I145" s="135"/>
    </row>
    <row r="146" spans="1:9" ht="18.75" x14ac:dyDescent="0.3">
      <c r="A146" s="108"/>
      <c r="B146" s="108"/>
      <c r="C146" s="101" t="s">
        <v>92</v>
      </c>
      <c r="D146" s="407">
        <f>AVERAGE(E134:E137,G134:G137)</f>
        <v>108412140.05272621</v>
      </c>
      <c r="E146" s="108"/>
      <c r="F146" s="75"/>
      <c r="G146" s="138"/>
      <c r="H146" s="184"/>
      <c r="I146" s="139"/>
    </row>
    <row r="147" spans="1:9" ht="18.75" x14ac:dyDescent="0.3">
      <c r="A147" s="108"/>
      <c r="B147" s="108"/>
      <c r="C147" s="103" t="s">
        <v>59</v>
      </c>
      <c r="D147" s="140">
        <f>STDEV(E134:E137,G134:G137)/D146</f>
        <v>4.4942527033843176E-3</v>
      </c>
      <c r="E147" s="108"/>
      <c r="F147" s="75"/>
      <c r="G147" s="253"/>
      <c r="H147" s="184"/>
      <c r="I147" s="139"/>
    </row>
    <row r="148" spans="1:9" ht="19.5" customHeight="1" thickBot="1" x14ac:dyDescent="0.35">
      <c r="A148" s="108"/>
      <c r="B148" s="108"/>
      <c r="C148" s="105" t="s">
        <v>7</v>
      </c>
      <c r="D148" s="141">
        <f>COUNT(E134:E137,G134:G137)</f>
        <v>6</v>
      </c>
      <c r="E148" s="108"/>
      <c r="F148" s="75"/>
      <c r="G148" s="253"/>
      <c r="H148" s="184"/>
      <c r="I148" s="139"/>
    </row>
    <row r="149" spans="1:9" ht="19.5" customHeight="1" thickBot="1" x14ac:dyDescent="0.35">
      <c r="A149" s="79"/>
      <c r="B149" s="79"/>
      <c r="C149" s="79"/>
      <c r="D149" s="79"/>
      <c r="E149" s="79"/>
      <c r="F149" s="108"/>
      <c r="G149" s="108"/>
      <c r="H149" s="108"/>
    </row>
    <row r="150" spans="1:9" ht="17.25" customHeight="1" x14ac:dyDescent="0.3">
      <c r="A150" s="30" t="s">
        <v>93</v>
      </c>
      <c r="B150" s="398">
        <v>1000</v>
      </c>
      <c r="C150" s="257" t="s">
        <v>115</v>
      </c>
      <c r="D150" s="144" t="s">
        <v>38</v>
      </c>
      <c r="E150" s="408" t="s">
        <v>95</v>
      </c>
      <c r="F150" s="145" t="s">
        <v>96</v>
      </c>
      <c r="G150" s="108"/>
      <c r="H150" s="108"/>
    </row>
    <row r="151" spans="1:9" ht="26.25" customHeight="1" x14ac:dyDescent="0.3">
      <c r="A151" s="32" t="s">
        <v>97</v>
      </c>
      <c r="B151" s="399">
        <v>1</v>
      </c>
      <c r="C151" s="146">
        <v>1</v>
      </c>
      <c r="D151" s="409">
        <v>105442597</v>
      </c>
      <c r="E151" s="410">
        <f t="shared" ref="E151:E156" si="3">IF(ISBLANK(D151),"-",D151/$D$146*$D$143*$B$159)</f>
        <v>291.78262770770328</v>
      </c>
      <c r="F151" s="411">
        <f t="shared" ref="F151:F156" si="4">IF(ISBLANK(D151), "-", E151/$B$56)</f>
        <v>0.97260875902567756</v>
      </c>
      <c r="G151" s="108"/>
      <c r="H151" s="108"/>
    </row>
    <row r="152" spans="1:9" ht="26.25" customHeight="1" x14ac:dyDescent="0.3">
      <c r="A152" s="32" t="s">
        <v>70</v>
      </c>
      <c r="B152" s="399">
        <v>1</v>
      </c>
      <c r="C152" s="146">
        <v>2</v>
      </c>
      <c r="D152" s="412">
        <v>108219559</v>
      </c>
      <c r="E152" s="413">
        <f t="shared" si="3"/>
        <v>299.46708628950813</v>
      </c>
      <c r="F152" s="414">
        <f t="shared" si="4"/>
        <v>0.99822362096502715</v>
      </c>
      <c r="G152" s="108"/>
      <c r="H152" s="108"/>
    </row>
    <row r="153" spans="1:9" ht="26.25" customHeight="1" x14ac:dyDescent="0.3">
      <c r="A153" s="32" t="s">
        <v>71</v>
      </c>
      <c r="B153" s="399">
        <v>1</v>
      </c>
      <c r="C153" s="146">
        <v>3</v>
      </c>
      <c r="D153" s="412">
        <v>60992202</v>
      </c>
      <c r="E153" s="413">
        <f t="shared" si="3"/>
        <v>168.77870495961923</v>
      </c>
      <c r="F153" s="414">
        <f t="shared" si="4"/>
        <v>0.56259568319873077</v>
      </c>
      <c r="G153" s="108"/>
      <c r="H153" s="108"/>
    </row>
    <row r="154" spans="1:9" ht="26.25" customHeight="1" x14ac:dyDescent="0.3">
      <c r="A154" s="32" t="s">
        <v>72</v>
      </c>
      <c r="B154" s="399">
        <v>1</v>
      </c>
      <c r="C154" s="146">
        <v>4</v>
      </c>
      <c r="D154" s="412">
        <v>76488004</v>
      </c>
      <c r="E154" s="413">
        <f t="shared" si="3"/>
        <v>211.65896355186811</v>
      </c>
      <c r="F154" s="414">
        <f t="shared" si="4"/>
        <v>0.70552987850622706</v>
      </c>
      <c r="G154" s="108"/>
      <c r="H154" s="108"/>
    </row>
    <row r="155" spans="1:9" ht="26.25" customHeight="1" x14ac:dyDescent="0.3">
      <c r="A155" s="32" t="s">
        <v>73</v>
      </c>
      <c r="B155" s="399">
        <v>1</v>
      </c>
      <c r="C155" s="146">
        <v>5</v>
      </c>
      <c r="D155" s="412">
        <v>103135097</v>
      </c>
      <c r="E155" s="413">
        <f t="shared" si="3"/>
        <v>285.39727271274307</v>
      </c>
      <c r="F155" s="414">
        <f t="shared" si="4"/>
        <v>0.95132424237581026</v>
      </c>
      <c r="G155" s="108"/>
      <c r="H155" s="108"/>
    </row>
    <row r="156" spans="1:9" ht="26.25" customHeight="1" x14ac:dyDescent="0.3">
      <c r="A156" s="32" t="s">
        <v>75</v>
      </c>
      <c r="B156" s="399">
        <v>1</v>
      </c>
      <c r="C156" s="150">
        <v>6</v>
      </c>
      <c r="D156" s="415">
        <v>74810366</v>
      </c>
      <c r="E156" s="416">
        <f t="shared" si="3"/>
        <v>207.01657387341308</v>
      </c>
      <c r="F156" s="417">
        <f t="shared" si="4"/>
        <v>0.69005524624471026</v>
      </c>
      <c r="G156" s="108"/>
      <c r="H156" s="108"/>
    </row>
    <row r="157" spans="1:9" ht="26.25" customHeight="1" x14ac:dyDescent="0.3">
      <c r="A157" s="32" t="s">
        <v>76</v>
      </c>
      <c r="B157" s="399">
        <v>1</v>
      </c>
      <c r="C157" s="146"/>
      <c r="D157" s="252"/>
      <c r="E157" s="108"/>
      <c r="F157" s="153"/>
      <c r="G157" s="108"/>
      <c r="H157" s="108"/>
    </row>
    <row r="158" spans="1:9" ht="26.25" customHeight="1" x14ac:dyDescent="0.4">
      <c r="A158" s="32" t="s">
        <v>77</v>
      </c>
      <c r="B158" s="399">
        <v>1</v>
      </c>
      <c r="C158" s="146"/>
      <c r="D158" s="418"/>
      <c r="E158" s="419" t="s">
        <v>46</v>
      </c>
      <c r="F158" s="420">
        <f>AVERAGE(F151:F156)</f>
        <v>0.81338957171936388</v>
      </c>
      <c r="G158" s="108"/>
      <c r="H158" s="108"/>
    </row>
    <row r="159" spans="1:9" ht="27" customHeight="1" thickBot="1" x14ac:dyDescent="0.45">
      <c r="A159" s="32" t="s">
        <v>78</v>
      </c>
      <c r="B159" s="403">
        <f>(B158/B157)*(B156/B155)*(B154/B153)*(B152/B151)*B150</f>
        <v>1000</v>
      </c>
      <c r="C159" s="156"/>
      <c r="D159" s="108"/>
      <c r="E159" s="421" t="s">
        <v>59</v>
      </c>
      <c r="F159" s="177">
        <f>STDEV(F151:F156)/F158</f>
        <v>0.22554671745406468</v>
      </c>
      <c r="G159" s="108"/>
      <c r="H159" s="108"/>
    </row>
    <row r="160" spans="1:9" ht="27" customHeight="1" thickBot="1" x14ac:dyDescent="0.45">
      <c r="A160" s="471" t="s">
        <v>53</v>
      </c>
      <c r="B160" s="472"/>
      <c r="C160" s="158"/>
      <c r="D160" s="422"/>
      <c r="E160" s="423" t="s">
        <v>7</v>
      </c>
      <c r="F160" s="106">
        <f>COUNT(F151:F156)</f>
        <v>6</v>
      </c>
      <c r="G160" s="108"/>
      <c r="H160" s="108"/>
      <c r="I160" s="139"/>
    </row>
    <row r="161" spans="1:8" ht="19.5" customHeight="1" thickBot="1" x14ac:dyDescent="0.35">
      <c r="A161" s="473"/>
      <c r="B161" s="474"/>
      <c r="C161" s="108"/>
      <c r="D161" s="108"/>
      <c r="E161" s="108"/>
      <c r="F161" s="252"/>
      <c r="G161" s="108"/>
      <c r="H161" s="108"/>
    </row>
    <row r="162" spans="1:8" ht="18.75" x14ac:dyDescent="0.3">
      <c r="A162" s="28"/>
      <c r="B162" s="28"/>
      <c r="C162" s="108"/>
      <c r="D162" s="108"/>
      <c r="E162" s="108"/>
      <c r="F162" s="252"/>
      <c r="G162" s="108"/>
      <c r="H162" s="108"/>
    </row>
    <row r="163" spans="1:8" ht="18.75" x14ac:dyDescent="0.3">
      <c r="A163" s="15" t="s">
        <v>116</v>
      </c>
      <c r="B163" s="266" t="s">
        <v>119</v>
      </c>
      <c r="C163" s="108"/>
      <c r="D163" s="108"/>
      <c r="E163" s="108"/>
      <c r="F163" s="252"/>
      <c r="G163" s="108"/>
      <c r="H163" s="108"/>
    </row>
    <row r="164" spans="1:8" ht="19.5" customHeight="1" thickBot="1" x14ac:dyDescent="0.35">
      <c r="A164" s="28"/>
      <c r="B164" s="28"/>
      <c r="C164" s="108"/>
      <c r="D164" s="108"/>
      <c r="E164" s="108"/>
      <c r="F164" s="252"/>
      <c r="G164" s="108"/>
      <c r="H164" s="108"/>
    </row>
    <row r="165" spans="1:8" ht="26.25" customHeight="1" x14ac:dyDescent="0.4">
      <c r="A165" s="424" t="s">
        <v>46</v>
      </c>
      <c r="B165" s="425">
        <f>AVERAGE(F108:F113,F151:F156)</f>
        <v>0.7918808304027708</v>
      </c>
      <c r="C165" s="108"/>
      <c r="D165" s="108"/>
      <c r="E165" s="108"/>
      <c r="F165" s="252"/>
      <c r="G165" s="108"/>
      <c r="H165" s="108"/>
    </row>
    <row r="166" spans="1:8" ht="26.25" customHeight="1" x14ac:dyDescent="0.4">
      <c r="A166" s="32" t="s">
        <v>59</v>
      </c>
      <c r="B166" s="426">
        <f>STDEV(F108:F113,F151:F156)/B165</f>
        <v>0.25132531220508236</v>
      </c>
      <c r="C166" s="108"/>
      <c r="D166" s="108"/>
      <c r="E166" s="108"/>
      <c r="F166" s="252"/>
      <c r="G166" s="108"/>
      <c r="H166" s="108"/>
    </row>
    <row r="167" spans="1:8" ht="27" customHeight="1" thickBot="1" x14ac:dyDescent="0.45">
      <c r="A167" s="427" t="s">
        <v>7</v>
      </c>
      <c r="B167" s="428">
        <f>COUNT(F108:F113,F151:F156)</f>
        <v>12</v>
      </c>
      <c r="C167" s="108"/>
      <c r="D167" s="108"/>
      <c r="E167" s="108"/>
      <c r="F167" s="252"/>
      <c r="G167" s="108"/>
      <c r="H167" s="108"/>
    </row>
    <row r="168" spans="1:8" ht="26.25" customHeight="1" x14ac:dyDescent="0.3">
      <c r="A168" s="267" t="s">
        <v>114</v>
      </c>
      <c r="B168" s="268" t="s">
        <v>98</v>
      </c>
      <c r="C168" s="489" t="str">
        <f>B20</f>
        <v xml:space="preserve">ATAZANAVIR </v>
      </c>
      <c r="D168" s="489"/>
      <c r="E168" s="263" t="s">
        <v>99</v>
      </c>
      <c r="F168" s="263"/>
      <c r="G168" s="346">
        <f>B165</f>
        <v>0.7918808304027708</v>
      </c>
      <c r="H168" s="263"/>
    </row>
    <row r="169" spans="1:8" ht="19.5" customHeight="1" thickBot="1" x14ac:dyDescent="0.35">
      <c r="A169" s="258"/>
      <c r="B169" s="258"/>
      <c r="C169" s="429"/>
      <c r="D169" s="429"/>
      <c r="E169" s="429"/>
      <c r="F169" s="429"/>
      <c r="G169" s="429"/>
      <c r="H169" s="429"/>
    </row>
    <row r="170" spans="1:8" ht="18.75" x14ac:dyDescent="0.3">
      <c r="B170" s="488" t="s">
        <v>8</v>
      </c>
      <c r="C170" s="488"/>
      <c r="E170" s="259" t="s">
        <v>9</v>
      </c>
      <c r="F170" s="430"/>
      <c r="G170" s="488" t="s">
        <v>10</v>
      </c>
      <c r="H170" s="488"/>
    </row>
    <row r="171" spans="1:8" ht="83.25" customHeight="1" x14ac:dyDescent="0.3">
      <c r="A171" s="267" t="s">
        <v>11</v>
      </c>
      <c r="B171" s="431"/>
      <c r="C171" s="431"/>
      <c r="E171" s="432"/>
      <c r="F171" s="263"/>
      <c r="G171" s="432"/>
      <c r="H171" s="432"/>
    </row>
    <row r="172" spans="1:8" ht="84" customHeight="1" x14ac:dyDescent="0.3">
      <c r="A172" s="267" t="s">
        <v>12</v>
      </c>
      <c r="B172" s="433"/>
      <c r="C172" s="433"/>
      <c r="E172" s="434"/>
      <c r="F172" s="263"/>
      <c r="G172" s="435"/>
      <c r="H172" s="435"/>
    </row>
    <row r="173" spans="1:8" ht="18.75" x14ac:dyDescent="0.3">
      <c r="A173" s="288"/>
      <c r="B173" s="288"/>
      <c r="C173" s="288"/>
      <c r="D173" s="288"/>
      <c r="E173" s="288"/>
      <c r="F173" s="307"/>
      <c r="G173" s="288"/>
      <c r="H173" s="288"/>
    </row>
    <row r="174" spans="1:8" ht="18.75" x14ac:dyDescent="0.3">
      <c r="A174" s="288"/>
      <c r="B174" s="288"/>
      <c r="C174" s="288"/>
      <c r="D174" s="288"/>
      <c r="E174" s="288"/>
      <c r="F174" s="307"/>
      <c r="G174" s="288"/>
      <c r="H174" s="288"/>
    </row>
    <row r="175" spans="1:8" ht="18.75" x14ac:dyDescent="0.3">
      <c r="A175" s="288"/>
      <c r="B175" s="288"/>
      <c r="C175" s="288"/>
      <c r="D175" s="288"/>
      <c r="E175" s="288"/>
      <c r="F175" s="307"/>
      <c r="G175" s="288"/>
      <c r="H175" s="288"/>
    </row>
    <row r="176" spans="1:8" ht="18.75" x14ac:dyDescent="0.3">
      <c r="A176" s="288"/>
      <c r="B176" s="288"/>
      <c r="C176" s="288"/>
      <c r="D176" s="288"/>
      <c r="E176" s="288"/>
      <c r="F176" s="307"/>
      <c r="G176" s="288"/>
      <c r="H176" s="288"/>
    </row>
    <row r="177" spans="1:8" ht="18.75" x14ac:dyDescent="0.3">
      <c r="A177" s="288"/>
      <c r="B177" s="288"/>
      <c r="C177" s="288"/>
      <c r="D177" s="288"/>
      <c r="E177" s="288"/>
      <c r="F177" s="307"/>
      <c r="G177" s="288"/>
      <c r="H177" s="288"/>
    </row>
    <row r="178" spans="1:8" ht="18.75" x14ac:dyDescent="0.3">
      <c r="A178" s="288"/>
      <c r="B178" s="288"/>
      <c r="C178" s="288"/>
      <c r="D178" s="288"/>
      <c r="E178" s="288"/>
      <c r="F178" s="307"/>
      <c r="G178" s="288"/>
      <c r="H178" s="288"/>
    </row>
    <row r="179" spans="1:8" ht="18.75" x14ac:dyDescent="0.3">
      <c r="A179" s="288"/>
      <c r="B179" s="288"/>
      <c r="C179" s="288"/>
      <c r="D179" s="288"/>
      <c r="E179" s="288"/>
      <c r="F179" s="307"/>
      <c r="G179" s="288"/>
      <c r="H179" s="288"/>
    </row>
    <row r="180" spans="1:8" ht="18.75" x14ac:dyDescent="0.3">
      <c r="A180" s="288"/>
      <c r="B180" s="288"/>
      <c r="C180" s="288"/>
      <c r="D180" s="288"/>
      <c r="E180" s="288"/>
      <c r="F180" s="307"/>
      <c r="G180" s="288"/>
      <c r="H180" s="288"/>
    </row>
    <row r="181" spans="1:8" ht="18.75" x14ac:dyDescent="0.3">
      <c r="A181" s="288"/>
      <c r="B181" s="288"/>
      <c r="C181" s="288"/>
      <c r="D181" s="288"/>
      <c r="E181" s="288"/>
      <c r="F181" s="307"/>
      <c r="G181" s="288"/>
      <c r="H181" s="288"/>
    </row>
    <row r="250" spans="1:1" x14ac:dyDescent="0.3">
      <c r="A250" s="4">
        <v>5</v>
      </c>
    </row>
  </sheetData>
  <mergeCells count="41">
    <mergeCell ref="B26:C26"/>
    <mergeCell ref="B20:C20"/>
    <mergeCell ref="B21:H21"/>
    <mergeCell ref="A1:H7"/>
    <mergeCell ref="A8:H14"/>
    <mergeCell ref="A16:H16"/>
    <mergeCell ref="A17:H17"/>
    <mergeCell ref="B18:C18"/>
    <mergeCell ref="B27:C27"/>
    <mergeCell ref="C29:G29"/>
    <mergeCell ref="C31:H31"/>
    <mergeCell ref="C32:H32"/>
    <mergeCell ref="D36:E36"/>
    <mergeCell ref="F36:G36"/>
    <mergeCell ref="C85:H85"/>
    <mergeCell ref="A46:B47"/>
    <mergeCell ref="C60:C63"/>
    <mergeCell ref="D60:D63"/>
    <mergeCell ref="C64:C67"/>
    <mergeCell ref="D64:D67"/>
    <mergeCell ref="C68:C71"/>
    <mergeCell ref="D68:D71"/>
    <mergeCell ref="A70:B71"/>
    <mergeCell ref="C76:D76"/>
    <mergeCell ref="B79:C79"/>
    <mergeCell ref="B80:C80"/>
    <mergeCell ref="C82:G82"/>
    <mergeCell ref="C84:H84"/>
    <mergeCell ref="B170:C170"/>
    <mergeCell ref="G170:H170"/>
    <mergeCell ref="F89:G89"/>
    <mergeCell ref="A99:B100"/>
    <mergeCell ref="A117:B118"/>
    <mergeCell ref="C125:G125"/>
    <mergeCell ref="C127:H127"/>
    <mergeCell ref="C128:H128"/>
    <mergeCell ref="D132:E132"/>
    <mergeCell ref="F132:G132"/>
    <mergeCell ref="A142:B143"/>
    <mergeCell ref="A160:B161"/>
    <mergeCell ref="C168:D16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opLeftCell="A112" zoomScale="60" zoomScaleNormal="60" workbookViewId="0">
      <selection activeCell="B23" sqref="B23"/>
    </sheetView>
  </sheetViews>
  <sheetFormatPr defaultRowHeight="13.5" x14ac:dyDescent="0.25"/>
  <cols>
    <col min="1" max="1" width="55.42578125" style="253" customWidth="1"/>
    <col min="2" max="2" width="33.7109375" style="253" customWidth="1"/>
    <col min="3" max="3" width="42.28515625" style="253" customWidth="1"/>
    <col min="4" max="4" width="30.5703125" style="253" customWidth="1"/>
    <col min="5" max="5" width="39.85546875" style="253" customWidth="1"/>
    <col min="6" max="6" width="30.7109375" style="253" customWidth="1"/>
    <col min="7" max="7" width="39.85546875" style="253" customWidth="1"/>
    <col min="8" max="8" width="41.140625" style="253" customWidth="1"/>
    <col min="9" max="9" width="30.42578125" style="253" customWidth="1"/>
    <col min="10" max="10" width="21.28515625" style="253" customWidth="1"/>
    <col min="11" max="11" width="9.140625" style="253" customWidth="1"/>
    <col min="12" max="16384" width="9.140625" style="5"/>
  </cols>
  <sheetData>
    <row r="1" spans="1:8" x14ac:dyDescent="0.25">
      <c r="A1" s="469" t="s">
        <v>13</v>
      </c>
      <c r="B1" s="469"/>
      <c r="C1" s="469"/>
      <c r="D1" s="469"/>
      <c r="E1" s="469"/>
      <c r="F1" s="469"/>
      <c r="G1" s="469"/>
      <c r="H1" s="469"/>
    </row>
    <row r="2" spans="1:8" x14ac:dyDescent="0.25">
      <c r="A2" s="469"/>
      <c r="B2" s="469"/>
      <c r="C2" s="469"/>
      <c r="D2" s="469"/>
      <c r="E2" s="469"/>
      <c r="F2" s="469"/>
      <c r="G2" s="469"/>
      <c r="H2" s="469"/>
    </row>
    <row r="3" spans="1:8" x14ac:dyDescent="0.25">
      <c r="A3" s="469"/>
      <c r="B3" s="469"/>
      <c r="C3" s="469"/>
      <c r="D3" s="469"/>
      <c r="E3" s="469"/>
      <c r="F3" s="469"/>
      <c r="G3" s="469"/>
      <c r="H3" s="469"/>
    </row>
    <row r="4" spans="1:8" x14ac:dyDescent="0.25">
      <c r="A4" s="469"/>
      <c r="B4" s="469"/>
      <c r="C4" s="469"/>
      <c r="D4" s="469"/>
      <c r="E4" s="469"/>
      <c r="F4" s="469"/>
      <c r="G4" s="469"/>
      <c r="H4" s="469"/>
    </row>
    <row r="5" spans="1:8" x14ac:dyDescent="0.25">
      <c r="A5" s="469"/>
      <c r="B5" s="469"/>
      <c r="C5" s="469"/>
      <c r="D5" s="469"/>
      <c r="E5" s="469"/>
      <c r="F5" s="469"/>
      <c r="G5" s="469"/>
      <c r="H5" s="469"/>
    </row>
    <row r="6" spans="1:8" x14ac:dyDescent="0.25">
      <c r="A6" s="469"/>
      <c r="B6" s="469"/>
      <c r="C6" s="469"/>
      <c r="D6" s="469"/>
      <c r="E6" s="469"/>
      <c r="F6" s="469"/>
      <c r="G6" s="469"/>
      <c r="H6" s="469"/>
    </row>
    <row r="7" spans="1:8" x14ac:dyDescent="0.25">
      <c r="A7" s="469"/>
      <c r="B7" s="469"/>
      <c r="C7" s="469"/>
      <c r="D7" s="469"/>
      <c r="E7" s="469"/>
      <c r="F7" s="469"/>
      <c r="G7" s="469"/>
      <c r="H7" s="469"/>
    </row>
    <row r="8" spans="1:8" x14ac:dyDescent="0.25">
      <c r="A8" s="470" t="s">
        <v>14</v>
      </c>
      <c r="B8" s="470"/>
      <c r="C8" s="470"/>
      <c r="D8" s="470"/>
      <c r="E8" s="470"/>
      <c r="F8" s="470"/>
      <c r="G8" s="470"/>
      <c r="H8" s="470"/>
    </row>
    <row r="9" spans="1:8" x14ac:dyDescent="0.25">
      <c r="A9" s="470"/>
      <c r="B9" s="470"/>
      <c r="C9" s="470"/>
      <c r="D9" s="470"/>
      <c r="E9" s="470"/>
      <c r="F9" s="470"/>
      <c r="G9" s="470"/>
      <c r="H9" s="470"/>
    </row>
    <row r="10" spans="1:8" x14ac:dyDescent="0.25">
      <c r="A10" s="470"/>
      <c r="B10" s="470"/>
      <c r="C10" s="470"/>
      <c r="D10" s="470"/>
      <c r="E10" s="470"/>
      <c r="F10" s="470"/>
      <c r="G10" s="470"/>
      <c r="H10" s="470"/>
    </row>
    <row r="11" spans="1:8" x14ac:dyDescent="0.25">
      <c r="A11" s="470"/>
      <c r="B11" s="470"/>
      <c r="C11" s="470"/>
      <c r="D11" s="470"/>
      <c r="E11" s="470"/>
      <c r="F11" s="470"/>
      <c r="G11" s="470"/>
      <c r="H11" s="470"/>
    </row>
    <row r="12" spans="1:8" x14ac:dyDescent="0.25">
      <c r="A12" s="470"/>
      <c r="B12" s="470"/>
      <c r="C12" s="470"/>
      <c r="D12" s="470"/>
      <c r="E12" s="470"/>
      <c r="F12" s="470"/>
      <c r="G12" s="470"/>
      <c r="H12" s="470"/>
    </row>
    <row r="13" spans="1:8" x14ac:dyDescent="0.25">
      <c r="A13" s="470"/>
      <c r="B13" s="470"/>
      <c r="C13" s="470"/>
      <c r="D13" s="470"/>
      <c r="E13" s="470"/>
      <c r="F13" s="470"/>
      <c r="G13" s="470"/>
      <c r="H13" s="470"/>
    </row>
    <row r="14" spans="1:8" x14ac:dyDescent="0.25">
      <c r="A14" s="470"/>
      <c r="B14" s="470"/>
      <c r="C14" s="470"/>
      <c r="D14" s="470"/>
      <c r="E14" s="470"/>
      <c r="F14" s="470"/>
      <c r="G14" s="470"/>
      <c r="H14" s="470"/>
    </row>
    <row r="15" spans="1:8" ht="19.5" customHeight="1" thickBot="1" x14ac:dyDescent="0.3"/>
    <row r="16" spans="1:8" ht="19.5" customHeight="1" thickBot="1" x14ac:dyDescent="0.3">
      <c r="A16" s="524" t="s">
        <v>15</v>
      </c>
      <c r="B16" s="525"/>
      <c r="C16" s="525"/>
      <c r="D16" s="525"/>
      <c r="E16" s="525"/>
      <c r="F16" s="525"/>
      <c r="G16" s="525"/>
      <c r="H16" s="526"/>
    </row>
    <row r="17" spans="1:13" ht="18.75" x14ac:dyDescent="0.3">
      <c r="A17" s="79" t="s">
        <v>16</v>
      </c>
      <c r="B17" s="79"/>
    </row>
    <row r="18" spans="1:13" ht="18.75" x14ac:dyDescent="0.3">
      <c r="A18" s="8" t="s">
        <v>17</v>
      </c>
      <c r="B18" s="527" t="s">
        <v>2</v>
      </c>
      <c r="C18" s="527"/>
      <c r="D18" s="441"/>
      <c r="E18" s="441"/>
    </row>
    <row r="19" spans="1:13" ht="18.75" x14ac:dyDescent="0.3">
      <c r="A19" s="8" t="s">
        <v>18</v>
      </c>
      <c r="B19" s="442" t="s">
        <v>4</v>
      </c>
      <c r="C19" s="443">
        <v>35</v>
      </c>
    </row>
    <row r="20" spans="1:13" ht="18.75" x14ac:dyDescent="0.3">
      <c r="A20" s="8" t="s">
        <v>19</v>
      </c>
      <c r="B20" s="442" t="s">
        <v>123</v>
      </c>
    </row>
    <row r="21" spans="1:13" ht="18.75" x14ac:dyDescent="0.3">
      <c r="A21" s="8" t="s">
        <v>20</v>
      </c>
      <c r="B21" s="12" t="s">
        <v>129</v>
      </c>
      <c r="C21" s="12"/>
      <c r="D21" s="12"/>
      <c r="E21" s="12"/>
      <c r="F21" s="12"/>
      <c r="G21" s="12"/>
      <c r="H21" s="12"/>
    </row>
    <row r="22" spans="1:13" ht="18.75" x14ac:dyDescent="0.3">
      <c r="A22" s="8" t="s">
        <v>21</v>
      </c>
      <c r="B22" s="444"/>
    </row>
    <row r="23" spans="1:13" ht="18.75" x14ac:dyDescent="0.3">
      <c r="A23" s="8" t="s">
        <v>22</v>
      </c>
      <c r="B23" s="444" t="s">
        <v>133</v>
      </c>
    </row>
    <row r="24" spans="1:13" ht="18.75" x14ac:dyDescent="0.3">
      <c r="A24" s="8"/>
      <c r="B24" s="14"/>
    </row>
    <row r="25" spans="1:13" ht="18.75" x14ac:dyDescent="0.3">
      <c r="A25" s="15" t="s">
        <v>0</v>
      </c>
      <c r="B25" s="14"/>
    </row>
    <row r="26" spans="1:13" ht="26.25" customHeight="1" x14ac:dyDescent="0.4">
      <c r="A26" s="164" t="s">
        <v>1</v>
      </c>
      <c r="B26" s="498" t="s">
        <v>125</v>
      </c>
      <c r="C26" s="498"/>
    </row>
    <row r="27" spans="1:13" ht="26.25" customHeight="1" x14ac:dyDescent="0.4">
      <c r="A27" s="119" t="s">
        <v>23</v>
      </c>
      <c r="B27" s="250" t="s">
        <v>124</v>
      </c>
    </row>
    <row r="28" spans="1:13" ht="27" customHeight="1" thickBot="1" x14ac:dyDescent="0.45">
      <c r="A28" s="119" t="s">
        <v>3</v>
      </c>
      <c r="B28" s="250">
        <v>99.3</v>
      </c>
    </row>
    <row r="29" spans="1:13" s="207" customFormat="1" ht="27" customHeight="1" thickBot="1" x14ac:dyDescent="0.45">
      <c r="A29" s="119" t="s">
        <v>24</v>
      </c>
      <c r="B29" s="250">
        <v>0</v>
      </c>
      <c r="C29" s="477" t="s">
        <v>25</v>
      </c>
      <c r="D29" s="478"/>
      <c r="E29" s="478"/>
      <c r="F29" s="478"/>
      <c r="G29" s="479"/>
      <c r="I29" s="20"/>
      <c r="J29" s="20"/>
      <c r="K29" s="20"/>
    </row>
    <row r="30" spans="1:13" s="207" customFormat="1" ht="19.5" customHeight="1" thickBot="1" x14ac:dyDescent="0.35">
      <c r="A30" s="119" t="s">
        <v>26</v>
      </c>
      <c r="B30" s="436">
        <f>B28-B29</f>
        <v>99.3</v>
      </c>
      <c r="C30" s="231"/>
      <c r="D30" s="231"/>
      <c r="E30" s="231"/>
      <c r="F30" s="231"/>
      <c r="G30" s="232"/>
      <c r="I30" s="20"/>
      <c r="J30" s="20"/>
      <c r="K30" s="20"/>
    </row>
    <row r="31" spans="1:13" s="207" customFormat="1" ht="27" customHeight="1" thickBot="1" x14ac:dyDescent="0.45">
      <c r="A31" s="119" t="s">
        <v>27</v>
      </c>
      <c r="B31" s="233">
        <v>1</v>
      </c>
      <c r="C31" s="480" t="s">
        <v>28</v>
      </c>
      <c r="D31" s="481"/>
      <c r="E31" s="481"/>
      <c r="F31" s="481"/>
      <c r="G31" s="481"/>
      <c r="H31" s="482"/>
      <c r="I31" s="20"/>
      <c r="J31" s="20"/>
      <c r="K31" s="20"/>
    </row>
    <row r="32" spans="1:13" s="207" customFormat="1" ht="27" customHeight="1" thickBot="1" x14ac:dyDescent="0.45">
      <c r="A32" s="119" t="s">
        <v>29</v>
      </c>
      <c r="B32" s="233">
        <v>1</v>
      </c>
      <c r="C32" s="480" t="s">
        <v>30</v>
      </c>
      <c r="D32" s="481"/>
      <c r="E32" s="481"/>
      <c r="F32" s="481"/>
      <c r="G32" s="481"/>
      <c r="H32" s="482"/>
      <c r="I32" s="20"/>
      <c r="J32" s="20"/>
      <c r="K32" s="25"/>
      <c r="L32" s="25"/>
      <c r="M32" s="26"/>
    </row>
    <row r="33" spans="1:13" s="207" customFormat="1" ht="17.25" customHeight="1" x14ac:dyDescent="0.3">
      <c r="A33" s="119"/>
      <c r="B33" s="234"/>
      <c r="C33" s="28"/>
      <c r="D33" s="28"/>
      <c r="E33" s="28"/>
      <c r="F33" s="28"/>
      <c r="G33" s="28"/>
      <c r="H33" s="28"/>
      <c r="I33" s="20"/>
      <c r="J33" s="20"/>
      <c r="K33" s="25"/>
      <c r="L33" s="25"/>
      <c r="M33" s="26"/>
    </row>
    <row r="34" spans="1:13" s="207" customFormat="1" ht="18.75" x14ac:dyDescent="0.3">
      <c r="A34" s="119" t="s">
        <v>31</v>
      </c>
      <c r="B34" s="235">
        <f>B31/B32</f>
        <v>1</v>
      </c>
      <c r="C34" s="108" t="s">
        <v>32</v>
      </c>
      <c r="D34" s="108"/>
      <c r="E34" s="108"/>
      <c r="F34" s="108"/>
      <c r="G34" s="108"/>
      <c r="I34" s="20"/>
      <c r="J34" s="20"/>
      <c r="K34" s="25"/>
      <c r="L34" s="25"/>
      <c r="M34" s="26"/>
    </row>
    <row r="35" spans="1:13" s="207" customFormat="1" ht="19.5" customHeight="1" thickBot="1" x14ac:dyDescent="0.35">
      <c r="A35" s="119"/>
      <c r="B35" s="436"/>
      <c r="G35" s="108"/>
      <c r="I35" s="20"/>
      <c r="J35" s="20"/>
      <c r="K35" s="25"/>
      <c r="L35" s="25"/>
      <c r="M35" s="26"/>
    </row>
    <row r="36" spans="1:13" s="207" customFormat="1" ht="27" customHeight="1" thickBot="1" x14ac:dyDescent="0.45">
      <c r="A36" s="30" t="s">
        <v>126</v>
      </c>
      <c r="B36" s="236">
        <v>100</v>
      </c>
      <c r="C36" s="108"/>
      <c r="D36" s="483" t="s">
        <v>34</v>
      </c>
      <c r="E36" s="501"/>
      <c r="F36" s="483" t="s">
        <v>35</v>
      </c>
      <c r="G36" s="484"/>
      <c r="I36" s="20"/>
      <c r="J36" s="20"/>
      <c r="K36" s="25"/>
      <c r="L36" s="25"/>
      <c r="M36" s="26"/>
    </row>
    <row r="37" spans="1:13" s="207" customFormat="1" ht="26.25" customHeight="1" x14ac:dyDescent="0.4">
      <c r="A37" s="32" t="s">
        <v>36</v>
      </c>
      <c r="B37" s="237">
        <v>1</v>
      </c>
      <c r="C37" s="34" t="s">
        <v>118</v>
      </c>
      <c r="D37" s="35" t="s">
        <v>38</v>
      </c>
      <c r="E37" s="36" t="s">
        <v>39</v>
      </c>
      <c r="F37" s="35" t="s">
        <v>38</v>
      </c>
      <c r="G37" s="115" t="s">
        <v>39</v>
      </c>
      <c r="I37" s="20"/>
      <c r="J37" s="20"/>
      <c r="K37" s="25"/>
      <c r="L37" s="25"/>
      <c r="M37" s="26"/>
    </row>
    <row r="38" spans="1:13" s="207" customFormat="1" ht="26.25" customHeight="1" x14ac:dyDescent="0.4">
      <c r="A38" s="32" t="s">
        <v>41</v>
      </c>
      <c r="B38" s="237">
        <v>1</v>
      </c>
      <c r="C38" s="39">
        <v>1</v>
      </c>
      <c r="D38" s="238">
        <v>48253019</v>
      </c>
      <c r="E38" s="41">
        <f>IF(ISBLANK(D38),"-",$D$48/$D$45*D38)</f>
        <v>47733959.919831753</v>
      </c>
      <c r="F38" s="238">
        <v>50223843</v>
      </c>
      <c r="G38" s="42">
        <f>IF(ISBLANK(F38),"-",$D$48/$F$45*F38)</f>
        <v>47269054.40889968</v>
      </c>
      <c r="I38" s="20"/>
      <c r="J38" s="20"/>
      <c r="K38" s="25"/>
      <c r="L38" s="25"/>
      <c r="M38" s="26"/>
    </row>
    <row r="39" spans="1:13" s="207" customFormat="1" ht="26.25" customHeight="1" x14ac:dyDescent="0.4">
      <c r="A39" s="32" t="s">
        <v>42</v>
      </c>
      <c r="B39" s="237">
        <v>1</v>
      </c>
      <c r="C39" s="244">
        <v>2</v>
      </c>
      <c r="D39" s="239">
        <v>48255490</v>
      </c>
      <c r="E39" s="46">
        <f>IF(ISBLANK(D39),"-",$D$48/$D$45*D39)</f>
        <v>47736404.339215375</v>
      </c>
      <c r="F39" s="239">
        <v>50378828</v>
      </c>
      <c r="G39" s="47">
        <f>IF(ISBLANK(F39),"-",$D$48/$F$45*F39)</f>
        <v>47414921.271329209</v>
      </c>
      <c r="I39" s="20"/>
      <c r="J39" s="20"/>
      <c r="K39" s="25"/>
      <c r="L39" s="25"/>
      <c r="M39" s="26"/>
    </row>
    <row r="40" spans="1:13" ht="26.25" customHeight="1" x14ac:dyDescent="0.4">
      <c r="A40" s="32" t="s">
        <v>43</v>
      </c>
      <c r="B40" s="237">
        <v>1</v>
      </c>
      <c r="C40" s="244">
        <v>3</v>
      </c>
      <c r="D40" s="239">
        <v>48191070</v>
      </c>
      <c r="E40" s="46">
        <f>IF(ISBLANK(D40),"-",$D$48/$D$45*D40)</f>
        <v>47672677.306964077</v>
      </c>
      <c r="F40" s="239">
        <v>50353091</v>
      </c>
      <c r="G40" s="47">
        <f>IF(ISBLANK(F40),"-",$D$48/$F$45*F40)</f>
        <v>47390698.440485269</v>
      </c>
      <c r="K40" s="25"/>
      <c r="L40" s="25"/>
      <c r="M40" s="108"/>
    </row>
    <row r="41" spans="1:13" ht="26.25" customHeight="1" x14ac:dyDescent="0.4">
      <c r="A41" s="32" t="s">
        <v>44</v>
      </c>
      <c r="B41" s="237">
        <v>1</v>
      </c>
      <c r="C41" s="49">
        <v>4</v>
      </c>
      <c r="D41" s="240"/>
      <c r="E41" s="51" t="str">
        <f>IF(ISBLANK(D41),"-",$D$48/$D$45*D41)</f>
        <v>-</v>
      </c>
      <c r="F41" s="240"/>
      <c r="G41" s="52" t="str">
        <f>IF(ISBLANK(F41),"-",$D$48/$F$45*F41)</f>
        <v>-</v>
      </c>
      <c r="K41" s="25"/>
      <c r="L41" s="25"/>
      <c r="M41" s="108"/>
    </row>
    <row r="42" spans="1:13" ht="27" customHeight="1" thickBot="1" x14ac:dyDescent="0.45">
      <c r="A42" s="32" t="s">
        <v>45</v>
      </c>
      <c r="B42" s="237">
        <v>1</v>
      </c>
      <c r="C42" s="54" t="s">
        <v>46</v>
      </c>
      <c r="D42" s="445">
        <f>AVERAGE(D38:D41)</f>
        <v>48233193</v>
      </c>
      <c r="E42" s="55">
        <f>AVERAGE(E38:E41)</f>
        <v>47714347.188670397</v>
      </c>
      <c r="F42" s="241">
        <f>AVERAGE(F38:F41)</f>
        <v>50318587.333333336</v>
      </c>
      <c r="G42" s="56">
        <f>AVERAGE(G38:G41)</f>
        <v>47358224.706904717</v>
      </c>
      <c r="H42" s="184"/>
    </row>
    <row r="43" spans="1:13" ht="26.25" customHeight="1" x14ac:dyDescent="0.4">
      <c r="A43" s="32" t="s">
        <v>47</v>
      </c>
      <c r="B43" s="250">
        <v>1</v>
      </c>
      <c r="C43" s="123" t="s">
        <v>88</v>
      </c>
      <c r="D43" s="124">
        <v>20.36</v>
      </c>
      <c r="E43" s="108"/>
      <c r="F43" s="242">
        <v>21.4</v>
      </c>
      <c r="H43" s="184"/>
    </row>
    <row r="44" spans="1:13" ht="26.25" customHeight="1" x14ac:dyDescent="0.4">
      <c r="A44" s="32" t="s">
        <v>49</v>
      </c>
      <c r="B44" s="250">
        <v>1</v>
      </c>
      <c r="C44" s="125" t="s">
        <v>89</v>
      </c>
      <c r="D44" s="126">
        <f>D43*$B$34</f>
        <v>20.36</v>
      </c>
      <c r="E44" s="252"/>
      <c r="F44" s="243">
        <f>F43*$B$34</f>
        <v>21.4</v>
      </c>
      <c r="H44" s="184"/>
    </row>
    <row r="45" spans="1:13" ht="19.5" customHeight="1" thickBot="1" x14ac:dyDescent="0.35">
      <c r="A45" s="32" t="s">
        <v>51</v>
      </c>
      <c r="B45" s="436">
        <f>(B44/B43)*(B42/B41)*(B40/B39)*(B38/B37)*B36</f>
        <v>100</v>
      </c>
      <c r="C45" s="125" t="s">
        <v>52</v>
      </c>
      <c r="D45" s="128">
        <f>D44*$B$30/100</f>
        <v>20.217479999999998</v>
      </c>
      <c r="E45" s="104"/>
      <c r="F45" s="245">
        <f>F44*$B$30/100</f>
        <v>21.2502</v>
      </c>
      <c r="H45" s="184"/>
    </row>
    <row r="46" spans="1:13" ht="19.5" customHeight="1" thickBot="1" x14ac:dyDescent="0.35">
      <c r="A46" s="471" t="s">
        <v>53</v>
      </c>
      <c r="B46" s="486"/>
      <c r="C46" s="125" t="s">
        <v>54</v>
      </c>
      <c r="D46" s="126">
        <f>D45/$B$45</f>
        <v>0.20217479999999999</v>
      </c>
      <c r="E46" s="104"/>
      <c r="F46" s="404">
        <f>F45/$B$45</f>
        <v>0.212502</v>
      </c>
      <c r="H46" s="184"/>
    </row>
    <row r="47" spans="1:13" ht="27" customHeight="1" thickBot="1" x14ac:dyDescent="0.45">
      <c r="A47" s="473"/>
      <c r="B47" s="487"/>
      <c r="C47" s="125" t="s">
        <v>109</v>
      </c>
      <c r="D47" s="446">
        <v>0.2</v>
      </c>
      <c r="F47" s="71"/>
      <c r="H47" s="184"/>
    </row>
    <row r="48" spans="1:13" ht="18.75" x14ac:dyDescent="0.3">
      <c r="C48" s="125" t="s">
        <v>56</v>
      </c>
      <c r="D48" s="126">
        <f>D47*$B$45</f>
        <v>20</v>
      </c>
      <c r="F48" s="71"/>
      <c r="H48" s="184"/>
    </row>
    <row r="49" spans="1:11" ht="19.5" customHeight="1" thickBot="1" x14ac:dyDescent="0.35">
      <c r="C49" s="133" t="s">
        <v>57</v>
      </c>
      <c r="D49" s="134">
        <f>D48/B34</f>
        <v>20</v>
      </c>
      <c r="F49" s="75"/>
      <c r="H49" s="184"/>
    </row>
    <row r="50" spans="1:11" ht="18.75" x14ac:dyDescent="0.3">
      <c r="C50" s="136" t="s">
        <v>58</v>
      </c>
      <c r="D50" s="137">
        <f>AVERAGE(E38:E41,G38:G41)</f>
        <v>47536285.947787561</v>
      </c>
      <c r="F50" s="75"/>
      <c r="H50" s="184"/>
    </row>
    <row r="51" spans="1:11" ht="18.75" x14ac:dyDescent="0.3">
      <c r="C51" s="103" t="s">
        <v>59</v>
      </c>
      <c r="D51" s="76">
        <f>STDEV(E38:E41,G38:G41)/D50</f>
        <v>4.260231174459758E-3</v>
      </c>
      <c r="F51" s="75"/>
    </row>
    <row r="52" spans="1:11" ht="19.5" customHeight="1" thickBot="1" x14ac:dyDescent="0.35">
      <c r="C52" s="105" t="s">
        <v>7</v>
      </c>
      <c r="D52" s="447">
        <f>COUNT(E38:E41,G38:G41)</f>
        <v>6</v>
      </c>
      <c r="F52" s="75"/>
    </row>
    <row r="54" spans="1:11" ht="18.75" x14ac:dyDescent="0.3">
      <c r="A54" s="79" t="s">
        <v>0</v>
      </c>
      <c r="B54" s="80" t="s">
        <v>60</v>
      </c>
    </row>
    <row r="55" spans="1:11" ht="18.75" x14ac:dyDescent="0.3">
      <c r="A55" s="108" t="s">
        <v>61</v>
      </c>
      <c r="B55" s="82" t="str">
        <f>B21</f>
        <v>Each film coated tablet contains: Ritonavir 100mg</v>
      </c>
    </row>
    <row r="56" spans="1:11" ht="26.25" customHeight="1" x14ac:dyDescent="0.4">
      <c r="A56" s="82" t="s">
        <v>110</v>
      </c>
      <c r="B56" s="250">
        <v>100</v>
      </c>
      <c r="C56" s="108" t="str">
        <f>B20</f>
        <v xml:space="preserve"> RITONAVIR </v>
      </c>
      <c r="H56" s="252"/>
    </row>
    <row r="57" spans="1:11" ht="18.75" x14ac:dyDescent="0.3">
      <c r="A57" s="82" t="s">
        <v>111</v>
      </c>
      <c r="B57" s="171">
        <f>[2]Uniformity!C46</f>
        <v>1970.5519999999997</v>
      </c>
      <c r="H57" s="252"/>
    </row>
    <row r="58" spans="1:11" ht="19.5" customHeight="1" thickBot="1" x14ac:dyDescent="0.35">
      <c r="H58" s="252"/>
    </row>
    <row r="59" spans="1:11" s="207" customFormat="1" ht="27" customHeight="1" thickBot="1" x14ac:dyDescent="0.45">
      <c r="A59" s="30" t="s">
        <v>127</v>
      </c>
      <c r="B59" s="236">
        <v>100</v>
      </c>
      <c r="C59" s="108"/>
      <c r="D59" s="85" t="s">
        <v>65</v>
      </c>
      <c r="E59" s="86" t="s">
        <v>37</v>
      </c>
      <c r="F59" s="86" t="s">
        <v>38</v>
      </c>
      <c r="G59" s="86" t="s">
        <v>66</v>
      </c>
      <c r="H59" s="34" t="s">
        <v>67</v>
      </c>
      <c r="K59" s="20"/>
    </row>
    <row r="60" spans="1:11" s="207" customFormat="1" ht="22.5" customHeight="1" x14ac:dyDescent="0.4">
      <c r="A60" s="32" t="s">
        <v>97</v>
      </c>
      <c r="B60" s="237">
        <v>4</v>
      </c>
      <c r="C60" s="488" t="s">
        <v>69</v>
      </c>
      <c r="D60" s="491">
        <v>1976.37</v>
      </c>
      <c r="E60" s="87">
        <v>1</v>
      </c>
      <c r="F60" s="88">
        <v>47085572</v>
      </c>
      <c r="G60" s="448">
        <f>IF(ISBLANK(F60),"-",(F60/$D$50*$D$47*$B$68)*($B$57/$D$60))</f>
        <v>98.760265894934946</v>
      </c>
      <c r="H60" s="89">
        <f t="shared" ref="H60:H71" si="0">IF(ISBLANK(F60),"-",G60/$B$56)</f>
        <v>0.98760265894934951</v>
      </c>
      <c r="K60" s="20"/>
    </row>
    <row r="61" spans="1:11" s="207" customFormat="1" ht="26.25" customHeight="1" x14ac:dyDescent="0.4">
      <c r="A61" s="32" t="s">
        <v>70</v>
      </c>
      <c r="B61" s="237">
        <v>20</v>
      </c>
      <c r="C61" s="489"/>
      <c r="D61" s="492"/>
      <c r="E61" s="90">
        <v>2</v>
      </c>
      <c r="F61" s="239">
        <v>46989477</v>
      </c>
      <c r="G61" s="449">
        <f>IF(ISBLANK(F61),"-",(F61/$D$50*$D$47*$B$68)*($B$57/$D$60))</f>
        <v>98.558710145518248</v>
      </c>
      <c r="H61" s="91">
        <f t="shared" si="0"/>
        <v>0.98558710145518247</v>
      </c>
      <c r="K61" s="20"/>
    </row>
    <row r="62" spans="1:11" s="207" customFormat="1" ht="26.25" customHeight="1" x14ac:dyDescent="0.4">
      <c r="A62" s="32" t="s">
        <v>71</v>
      </c>
      <c r="B62" s="237">
        <v>1</v>
      </c>
      <c r="C62" s="489"/>
      <c r="D62" s="492"/>
      <c r="E62" s="90">
        <v>3</v>
      </c>
      <c r="F62" s="239">
        <v>47105524</v>
      </c>
      <c r="G62" s="449">
        <f>IF(ISBLANK(F62),"-",(F62/$D$50*$D$47*$B$68)*($B$57/$D$60))</f>
        <v>98.802114485520946</v>
      </c>
      <c r="H62" s="91">
        <f t="shared" si="0"/>
        <v>0.98802114485520942</v>
      </c>
      <c r="K62" s="20"/>
    </row>
    <row r="63" spans="1:11" ht="21" customHeight="1" thickBot="1" x14ac:dyDescent="0.45">
      <c r="A63" s="32" t="s">
        <v>72</v>
      </c>
      <c r="B63" s="237">
        <v>1</v>
      </c>
      <c r="C63" s="499"/>
      <c r="D63" s="493"/>
      <c r="E63" s="93">
        <v>4</v>
      </c>
      <c r="F63" s="94"/>
      <c r="G63" s="449" t="str">
        <f>IF(ISBLANK(F63),"-",(F63/$D$50*$D$47*$B$68)*($B$57/$D$60))</f>
        <v>-</v>
      </c>
      <c r="H63" s="91" t="str">
        <f t="shared" si="0"/>
        <v>-</v>
      </c>
    </row>
    <row r="64" spans="1:11" ht="26.25" customHeight="1" x14ac:dyDescent="0.4">
      <c r="A64" s="32" t="s">
        <v>73</v>
      </c>
      <c r="B64" s="237">
        <v>1</v>
      </c>
      <c r="C64" s="488" t="s">
        <v>74</v>
      </c>
      <c r="D64" s="491">
        <v>1972.47</v>
      </c>
      <c r="E64" s="87">
        <v>1</v>
      </c>
      <c r="F64" s="88">
        <v>48330846</v>
      </c>
      <c r="G64" s="450">
        <f>IF(ISBLANK(F64),"-",(F64/$D$50*$D$47*$B$68)*($B$57/$D$64))</f>
        <v>101.57261732489945</v>
      </c>
      <c r="H64" s="95">
        <f t="shared" si="0"/>
        <v>1.0157261732489946</v>
      </c>
    </row>
    <row r="65" spans="1:8" ht="26.25" customHeight="1" x14ac:dyDescent="0.4">
      <c r="A65" s="32" t="s">
        <v>75</v>
      </c>
      <c r="B65" s="237">
        <v>1</v>
      </c>
      <c r="C65" s="489"/>
      <c r="D65" s="492"/>
      <c r="E65" s="90">
        <v>2</v>
      </c>
      <c r="F65" s="239">
        <v>48717401</v>
      </c>
      <c r="G65" s="451">
        <f>IF(ISBLANK(F65),"-",(F65/$D$50*$D$47*$B$68)*($B$57/$D$64))</f>
        <v>102.38500540289888</v>
      </c>
      <c r="H65" s="96">
        <f t="shared" si="0"/>
        <v>1.0238500540289888</v>
      </c>
    </row>
    <row r="66" spans="1:8" ht="26.25" customHeight="1" x14ac:dyDescent="0.4">
      <c r="A66" s="32" t="s">
        <v>76</v>
      </c>
      <c r="B66" s="237">
        <v>1</v>
      </c>
      <c r="C66" s="489"/>
      <c r="D66" s="492"/>
      <c r="E66" s="90">
        <v>3</v>
      </c>
      <c r="F66" s="239">
        <v>48775024</v>
      </c>
      <c r="G66" s="451">
        <f>IF(ISBLANK(F66),"-",(F66/$D$50*$D$47*$B$68)*($B$57/$D$64))</f>
        <v>102.50610650938712</v>
      </c>
      <c r="H66" s="96">
        <f t="shared" si="0"/>
        <v>1.0250610650938712</v>
      </c>
    </row>
    <row r="67" spans="1:8" ht="21" customHeight="1" thickBot="1" x14ac:dyDescent="0.45">
      <c r="A67" s="32" t="s">
        <v>77</v>
      </c>
      <c r="B67" s="237">
        <v>1</v>
      </c>
      <c r="C67" s="499"/>
      <c r="D67" s="493"/>
      <c r="E67" s="93">
        <v>4</v>
      </c>
      <c r="F67" s="94"/>
      <c r="G67" s="452" t="str">
        <f>IF(ISBLANK(F67),"-",(F67/$D$50*$D$47*$B$68)*($B$57/$D$64))</f>
        <v>-</v>
      </c>
      <c r="H67" s="97" t="str">
        <f t="shared" si="0"/>
        <v>-</v>
      </c>
    </row>
    <row r="68" spans="1:8" ht="21.75" customHeight="1" x14ac:dyDescent="0.4">
      <c r="A68" s="32" t="s">
        <v>78</v>
      </c>
      <c r="B68" s="453">
        <f>(B67/B66)*(B65/B64)*(B63/B62)*(B61/B60)*B59</f>
        <v>500</v>
      </c>
      <c r="C68" s="488" t="s">
        <v>79</v>
      </c>
      <c r="D68" s="491">
        <v>1964.45</v>
      </c>
      <c r="E68" s="87">
        <v>1</v>
      </c>
      <c r="F68" s="88">
        <v>48281654</v>
      </c>
      <c r="G68" s="450">
        <f>IF(ISBLANK(F68),"-",(F68/$D$50*$D$47*$B$68)*($B$57/$D$68))</f>
        <v>101.88348991204296</v>
      </c>
      <c r="H68" s="91">
        <f t="shared" si="0"/>
        <v>1.0188348991204297</v>
      </c>
    </row>
    <row r="69" spans="1:8" ht="21.75" customHeight="1" thickBot="1" x14ac:dyDescent="0.45">
      <c r="A69" s="77" t="s">
        <v>80</v>
      </c>
      <c r="B69" s="249">
        <f>D47*B68/B56*B57</f>
        <v>1970.5519999999997</v>
      </c>
      <c r="C69" s="489"/>
      <c r="D69" s="492"/>
      <c r="E69" s="90">
        <v>2</v>
      </c>
      <c r="F69" s="239">
        <v>48280546</v>
      </c>
      <c r="G69" s="451">
        <f>IF(ISBLANK(F69),"-",(F69/$D$50*$D$47*$B$68)*($B$57/$D$68))</f>
        <v>101.8811518209158</v>
      </c>
      <c r="H69" s="91">
        <f t="shared" si="0"/>
        <v>1.0188115182091579</v>
      </c>
    </row>
    <row r="70" spans="1:8" ht="22.5" customHeight="1" x14ac:dyDescent="0.4">
      <c r="A70" s="494" t="s">
        <v>53</v>
      </c>
      <c r="B70" s="495"/>
      <c r="C70" s="489"/>
      <c r="D70" s="492"/>
      <c r="E70" s="90">
        <v>3</v>
      </c>
      <c r="F70" s="239">
        <v>47883367</v>
      </c>
      <c r="G70" s="451">
        <f>IF(ISBLANK(F70),"-",(F70/$D$50*$D$47*$B$68)*($B$57/$D$68))</f>
        <v>101.04302844925633</v>
      </c>
      <c r="H70" s="91">
        <f t="shared" si="0"/>
        <v>1.0104302844925632</v>
      </c>
    </row>
    <row r="71" spans="1:8" ht="21.75" customHeight="1" thickBot="1" x14ac:dyDescent="0.45">
      <c r="A71" s="496"/>
      <c r="B71" s="497"/>
      <c r="C71" s="490"/>
      <c r="D71" s="493"/>
      <c r="E71" s="93">
        <v>4</v>
      </c>
      <c r="F71" s="94"/>
      <c r="G71" s="452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">
      <c r="A72" s="252"/>
      <c r="B72" s="252"/>
      <c r="C72" s="252"/>
      <c r="D72" s="252"/>
      <c r="E72" s="252"/>
      <c r="F72" s="252"/>
      <c r="G72" s="101" t="s">
        <v>46</v>
      </c>
      <c r="H72" s="102">
        <f>AVERAGE(H60:H71)</f>
        <v>1.008213877717083</v>
      </c>
    </row>
    <row r="73" spans="1:8" ht="26.25" customHeight="1" x14ac:dyDescent="0.4">
      <c r="C73" s="252"/>
      <c r="D73" s="252"/>
      <c r="E73" s="252"/>
      <c r="F73" s="252"/>
      <c r="G73" s="103" t="s">
        <v>59</v>
      </c>
      <c r="H73" s="177">
        <f>STDEV(H60:H71)/H72</f>
        <v>1.6295245405863912E-2</v>
      </c>
    </row>
    <row r="74" spans="1:8" ht="27" customHeight="1" thickBot="1" x14ac:dyDescent="0.45">
      <c r="A74" s="252"/>
      <c r="B74" s="252"/>
      <c r="C74" s="252"/>
      <c r="D74" s="252"/>
      <c r="E74" s="104"/>
      <c r="F74" s="252"/>
      <c r="G74" s="105" t="s">
        <v>7</v>
      </c>
      <c r="H74" s="106">
        <f>COUNT(H60:H71)</f>
        <v>9</v>
      </c>
    </row>
    <row r="75" spans="1:8" ht="18.75" x14ac:dyDescent="0.3">
      <c r="A75" s="252"/>
      <c r="B75" s="252"/>
      <c r="C75" s="252"/>
      <c r="D75" s="252"/>
      <c r="E75" s="104"/>
      <c r="F75" s="252"/>
      <c r="G75" s="119"/>
      <c r="H75" s="436"/>
    </row>
    <row r="76" spans="1:8" ht="18.75" x14ac:dyDescent="0.3">
      <c r="A76" s="164" t="s">
        <v>114</v>
      </c>
      <c r="B76" s="119" t="s">
        <v>98</v>
      </c>
      <c r="C76" s="475" t="str">
        <f>B20</f>
        <v xml:space="preserve"> RITONAVIR </v>
      </c>
      <c r="D76" s="475"/>
      <c r="E76" s="108" t="s">
        <v>83</v>
      </c>
      <c r="F76" s="108"/>
      <c r="G76" s="454">
        <f>H72</f>
        <v>1.008213877717083</v>
      </c>
      <c r="H76" s="436"/>
    </row>
    <row r="77" spans="1:8" ht="18.75" x14ac:dyDescent="0.3">
      <c r="A77" s="252"/>
      <c r="B77" s="252"/>
      <c r="C77" s="252"/>
      <c r="D77" s="252"/>
      <c r="E77" s="104"/>
      <c r="F77" s="252"/>
      <c r="G77" s="119"/>
      <c r="H77" s="436"/>
    </row>
    <row r="78" spans="1:8" ht="26.25" customHeight="1" x14ac:dyDescent="0.4">
      <c r="A78" s="15" t="s">
        <v>116</v>
      </c>
      <c r="B78" s="15" t="s">
        <v>128</v>
      </c>
      <c r="D78" s="455" t="s">
        <v>130</v>
      </c>
    </row>
    <row r="79" spans="1:8" ht="18.75" x14ac:dyDescent="0.3">
      <c r="A79" s="15"/>
      <c r="B79" s="15"/>
    </row>
    <row r="80" spans="1:8" ht="26.25" customHeight="1" x14ac:dyDescent="0.4">
      <c r="A80" s="164" t="s">
        <v>1</v>
      </c>
      <c r="B80" s="498" t="str">
        <f>B26</f>
        <v>Ritonavir</v>
      </c>
      <c r="C80" s="498"/>
    </row>
    <row r="81" spans="1:11" ht="26.25" customHeight="1" x14ac:dyDescent="0.4">
      <c r="A81" s="119" t="s">
        <v>23</v>
      </c>
      <c r="B81" s="250" t="str">
        <f>B27</f>
        <v>R9-1</v>
      </c>
    </row>
    <row r="82" spans="1:11" ht="27" customHeight="1" thickBot="1" x14ac:dyDescent="0.45">
      <c r="A82" s="119" t="s">
        <v>3</v>
      </c>
      <c r="B82" s="250">
        <f>B28</f>
        <v>99.3</v>
      </c>
    </row>
    <row r="83" spans="1:11" s="207" customFormat="1" ht="27" customHeight="1" thickBot="1" x14ac:dyDescent="0.45">
      <c r="A83" s="119" t="s">
        <v>24</v>
      </c>
      <c r="B83" s="250">
        <f>B29</f>
        <v>0</v>
      </c>
      <c r="C83" s="477" t="s">
        <v>25</v>
      </c>
      <c r="D83" s="478"/>
      <c r="E83" s="478"/>
      <c r="F83" s="478"/>
      <c r="G83" s="479"/>
      <c r="I83" s="20"/>
      <c r="J83" s="20"/>
      <c r="K83" s="20"/>
    </row>
    <row r="84" spans="1:11" s="207" customFormat="1" ht="19.5" customHeight="1" thickBot="1" x14ac:dyDescent="0.35">
      <c r="A84" s="119" t="s">
        <v>26</v>
      </c>
      <c r="B84" s="436">
        <f>B82-B83</f>
        <v>99.3</v>
      </c>
      <c r="C84" s="231"/>
      <c r="D84" s="231"/>
      <c r="E84" s="231"/>
      <c r="F84" s="231"/>
      <c r="G84" s="232"/>
      <c r="I84" s="20"/>
      <c r="J84" s="20"/>
      <c r="K84" s="20"/>
    </row>
    <row r="85" spans="1:11" s="207" customFormat="1" ht="27" customHeight="1" thickBot="1" x14ac:dyDescent="0.45">
      <c r="A85" s="119" t="s">
        <v>27</v>
      </c>
      <c r="B85" s="233">
        <v>1</v>
      </c>
      <c r="C85" s="480" t="s">
        <v>28</v>
      </c>
      <c r="D85" s="481"/>
      <c r="E85" s="481"/>
      <c r="F85" s="481"/>
      <c r="G85" s="481"/>
      <c r="H85" s="482"/>
      <c r="I85" s="20"/>
      <c r="J85" s="20"/>
      <c r="K85" s="20"/>
    </row>
    <row r="86" spans="1:11" s="207" customFormat="1" ht="27" customHeight="1" thickBot="1" x14ac:dyDescent="0.45">
      <c r="A86" s="119" t="s">
        <v>29</v>
      </c>
      <c r="B86" s="233">
        <v>1</v>
      </c>
      <c r="C86" s="480" t="s">
        <v>30</v>
      </c>
      <c r="D86" s="481"/>
      <c r="E86" s="481"/>
      <c r="F86" s="481"/>
      <c r="G86" s="481"/>
      <c r="H86" s="482"/>
      <c r="I86" s="20"/>
      <c r="J86" s="20"/>
      <c r="K86" s="20"/>
    </row>
    <row r="87" spans="1:11" s="207" customFormat="1" ht="18.75" x14ac:dyDescent="0.3">
      <c r="A87" s="119"/>
      <c r="B87" s="436"/>
      <c r="C87" s="231"/>
      <c r="D87" s="231"/>
      <c r="E87" s="231"/>
      <c r="F87" s="231"/>
      <c r="G87" s="232"/>
      <c r="I87" s="20"/>
      <c r="J87" s="20"/>
      <c r="K87" s="20"/>
    </row>
    <row r="88" spans="1:11" s="207" customFormat="1" ht="18.75" x14ac:dyDescent="0.3">
      <c r="A88" s="119" t="s">
        <v>31</v>
      </c>
      <c r="B88" s="235">
        <f>B85/B86</f>
        <v>1</v>
      </c>
      <c r="C88" s="108" t="s">
        <v>32</v>
      </c>
      <c r="D88" s="231"/>
      <c r="E88" s="231"/>
      <c r="F88" s="231"/>
      <c r="G88" s="232"/>
      <c r="I88" s="20"/>
      <c r="J88" s="20"/>
      <c r="K88" s="20"/>
    </row>
    <row r="89" spans="1:11" ht="19.5" customHeight="1" thickBot="1" x14ac:dyDescent="0.35">
      <c r="A89" s="15"/>
      <c r="B89" s="15"/>
    </row>
    <row r="90" spans="1:11" ht="27" customHeight="1" thickBot="1" x14ac:dyDescent="0.45">
      <c r="A90" s="30" t="s">
        <v>126</v>
      </c>
      <c r="B90" s="236">
        <v>100</v>
      </c>
      <c r="D90" s="438" t="s">
        <v>34</v>
      </c>
      <c r="E90" s="440"/>
      <c r="F90" s="483" t="s">
        <v>35</v>
      </c>
      <c r="G90" s="484"/>
    </row>
    <row r="91" spans="1:11" ht="26.25" customHeight="1" x14ac:dyDescent="0.4">
      <c r="A91" s="32" t="s">
        <v>36</v>
      </c>
      <c r="B91" s="237">
        <v>1</v>
      </c>
      <c r="C91" s="437" t="s">
        <v>118</v>
      </c>
      <c r="D91" s="35" t="s">
        <v>38</v>
      </c>
      <c r="E91" s="36" t="s">
        <v>39</v>
      </c>
      <c r="F91" s="35" t="s">
        <v>38</v>
      </c>
      <c r="G91" s="115" t="s">
        <v>39</v>
      </c>
    </row>
    <row r="92" spans="1:11" ht="26.25" customHeight="1" x14ac:dyDescent="0.4">
      <c r="A92" s="32" t="s">
        <v>41</v>
      </c>
      <c r="B92" s="237">
        <v>1</v>
      </c>
      <c r="C92" s="116">
        <v>1</v>
      </c>
      <c r="D92" s="238">
        <v>53386783</v>
      </c>
      <c r="E92" s="41">
        <f>IF(ISBLANK(D92),"-",$D$102/$D$99*D92)</f>
        <v>50753445.552835681</v>
      </c>
      <c r="F92" s="238">
        <v>52180249</v>
      </c>
      <c r="G92" s="42">
        <f>IF(ISBLANK(F92),"-",$D$102/$F$99*F92)</f>
        <v>51261423.860300802</v>
      </c>
    </row>
    <row r="93" spans="1:11" ht="26.25" customHeight="1" x14ac:dyDescent="0.4">
      <c r="A93" s="32" t="s">
        <v>42</v>
      </c>
      <c r="B93" s="237">
        <v>1</v>
      </c>
      <c r="C93" s="252">
        <v>2</v>
      </c>
      <c r="D93" s="239">
        <v>53126407</v>
      </c>
      <c r="E93" s="46">
        <f>IF(ISBLANK(D93),"-",$D$102/$D$99*D93)</f>
        <v>50505912.766691491</v>
      </c>
      <c r="F93" s="239">
        <v>52007200</v>
      </c>
      <c r="G93" s="47">
        <f>IF(ISBLANK(F93),"-",$D$102/$F$99*F93)</f>
        <v>51091422.024211422</v>
      </c>
    </row>
    <row r="94" spans="1:11" ht="26.25" customHeight="1" x14ac:dyDescent="0.4">
      <c r="A94" s="32" t="s">
        <v>43</v>
      </c>
      <c r="B94" s="237">
        <v>1</v>
      </c>
      <c r="C94" s="252">
        <v>3</v>
      </c>
      <c r="D94" s="239">
        <v>53224536</v>
      </c>
      <c r="E94" s="46">
        <f>IF(ISBLANK(D94),"-",$D$102/$D$99*D94)</f>
        <v>50599201.490581341</v>
      </c>
      <c r="F94" s="239">
        <v>51933422</v>
      </c>
      <c r="G94" s="47">
        <f>IF(ISBLANK(F94),"-",$D$102/$F$99*F94)</f>
        <v>51018943.157167964</v>
      </c>
    </row>
    <row r="95" spans="1:11" ht="26.25" customHeight="1" x14ac:dyDescent="0.4">
      <c r="A95" s="32" t="s">
        <v>44</v>
      </c>
      <c r="B95" s="237">
        <v>1</v>
      </c>
      <c r="C95" s="117">
        <v>4</v>
      </c>
      <c r="D95" s="240"/>
      <c r="E95" s="51" t="str">
        <f>IF(ISBLANK(D95),"-",$D$102/$D$99*D95)</f>
        <v>-</v>
      </c>
      <c r="F95" s="118"/>
      <c r="G95" s="52" t="str">
        <f>IF(ISBLANK(F95),"-",$D$102/$F$99*F95)</f>
        <v>-</v>
      </c>
    </row>
    <row r="96" spans="1:11" ht="27" customHeight="1" thickBot="1" x14ac:dyDescent="0.45">
      <c r="A96" s="32" t="s">
        <v>45</v>
      </c>
      <c r="B96" s="237">
        <v>1</v>
      </c>
      <c r="C96" s="119" t="s">
        <v>46</v>
      </c>
      <c r="D96" s="120">
        <f>AVERAGE(D92:D95)</f>
        <v>53245908.666666664</v>
      </c>
      <c r="E96" s="55">
        <f>AVERAGE(E92:E95)</f>
        <v>50619519.93670284</v>
      </c>
      <c r="F96" s="251">
        <f>AVERAGE(F92:F95)</f>
        <v>52040290.333333336</v>
      </c>
      <c r="G96" s="456">
        <f>AVERAGE(G92:G95)</f>
        <v>51123929.68056006</v>
      </c>
    </row>
    <row r="97" spans="1:9" ht="26.25" customHeight="1" x14ac:dyDescent="0.4">
      <c r="A97" s="32" t="s">
        <v>47</v>
      </c>
      <c r="B97" s="250">
        <v>1</v>
      </c>
      <c r="C97" s="123" t="s">
        <v>88</v>
      </c>
      <c r="D97" s="124">
        <v>11.77</v>
      </c>
      <c r="E97" s="108"/>
      <c r="F97" s="242">
        <v>11.39</v>
      </c>
    </row>
    <row r="98" spans="1:9" ht="26.25" customHeight="1" x14ac:dyDescent="0.4">
      <c r="A98" s="32" t="s">
        <v>49</v>
      </c>
      <c r="B98" s="250">
        <v>1</v>
      </c>
      <c r="C98" s="125" t="s">
        <v>89</v>
      </c>
      <c r="D98" s="126">
        <f>D97*B88</f>
        <v>11.77</v>
      </c>
      <c r="E98" s="252"/>
      <c r="F98" s="243">
        <f>F97*B88</f>
        <v>11.39</v>
      </c>
    </row>
    <row r="99" spans="1:9" ht="19.5" customHeight="1" thickBot="1" x14ac:dyDescent="0.35">
      <c r="A99" s="32" t="s">
        <v>51</v>
      </c>
      <c r="B99" s="436">
        <f>(B98/B97)*(B96/B95)*(B94/B93)*(B92/B91)*B90</f>
        <v>100</v>
      </c>
      <c r="C99" s="125" t="s">
        <v>52</v>
      </c>
      <c r="D99" s="128">
        <f>D98*$B$84/100</f>
        <v>11.687609999999999</v>
      </c>
      <c r="E99" s="104"/>
      <c r="F99" s="245">
        <f>F98*$B$84/100</f>
        <v>11.310270000000001</v>
      </c>
    </row>
    <row r="100" spans="1:9" ht="19.5" customHeight="1" thickBot="1" x14ac:dyDescent="0.35">
      <c r="A100" s="471" t="s">
        <v>53</v>
      </c>
      <c r="B100" s="486"/>
      <c r="C100" s="125" t="s">
        <v>54</v>
      </c>
      <c r="D100" s="126">
        <f>D99/$B$99</f>
        <v>0.1168761</v>
      </c>
      <c r="E100" s="104"/>
      <c r="F100" s="404">
        <f>F99/$B$99</f>
        <v>0.11310270000000001</v>
      </c>
      <c r="H100" s="184"/>
    </row>
    <row r="101" spans="1:9" ht="19.5" customHeight="1" thickBot="1" x14ac:dyDescent="0.35">
      <c r="A101" s="473"/>
      <c r="B101" s="487"/>
      <c r="C101" s="125" t="s">
        <v>109</v>
      </c>
      <c r="D101" s="128">
        <f>$B$56/$B$117</f>
        <v>0.1111111111111111</v>
      </c>
      <c r="F101" s="71"/>
      <c r="G101" s="138"/>
      <c r="H101" s="184"/>
    </row>
    <row r="102" spans="1:9" ht="18.75" x14ac:dyDescent="0.3">
      <c r="C102" s="125" t="s">
        <v>56</v>
      </c>
      <c r="D102" s="126">
        <f>D101*$B$99</f>
        <v>11.111111111111111</v>
      </c>
      <c r="F102" s="71"/>
      <c r="H102" s="184"/>
    </row>
    <row r="103" spans="1:9" ht="19.5" customHeight="1" thickBot="1" x14ac:dyDescent="0.35">
      <c r="C103" s="133" t="s">
        <v>57</v>
      </c>
      <c r="D103" s="134">
        <f>D102/B34</f>
        <v>11.111111111111111</v>
      </c>
      <c r="F103" s="75"/>
      <c r="H103" s="184"/>
      <c r="I103" s="135"/>
    </row>
    <row r="104" spans="1:9" ht="18.75" x14ac:dyDescent="0.3">
      <c r="C104" s="136" t="s">
        <v>92</v>
      </c>
      <c r="D104" s="137">
        <f>AVERAGE(E92:E95,G92:G95)</f>
        <v>50871724.80863145</v>
      </c>
      <c r="F104" s="75"/>
      <c r="G104" s="138"/>
      <c r="H104" s="184"/>
      <c r="I104" s="139"/>
    </row>
    <row r="105" spans="1:9" ht="18.75" x14ac:dyDescent="0.3">
      <c r="C105" s="103" t="s">
        <v>59</v>
      </c>
      <c r="D105" s="140">
        <f>STDEV(E92:E95,G92:G95)/D104</f>
        <v>5.8569662095993387E-3</v>
      </c>
      <c r="F105" s="75"/>
      <c r="H105" s="184"/>
      <c r="I105" s="139"/>
    </row>
    <row r="106" spans="1:9" ht="19.5" customHeight="1" thickBot="1" x14ac:dyDescent="0.35">
      <c r="C106" s="105" t="s">
        <v>7</v>
      </c>
      <c r="D106" s="141">
        <f>COUNT(E92:E95,G92:G95)</f>
        <v>6</v>
      </c>
      <c r="F106" s="75"/>
      <c r="H106" s="184"/>
      <c r="I106" s="139"/>
    </row>
    <row r="107" spans="1:9" ht="19.5" customHeight="1" thickBot="1" x14ac:dyDescent="0.35">
      <c r="A107" s="79"/>
      <c r="B107" s="79"/>
      <c r="C107" s="79"/>
      <c r="D107" s="79"/>
      <c r="E107" s="79"/>
    </row>
    <row r="108" spans="1:9" ht="26.25" customHeight="1" x14ac:dyDescent="0.4">
      <c r="A108" s="30" t="s">
        <v>93</v>
      </c>
      <c r="B108" s="236">
        <v>900</v>
      </c>
      <c r="C108" s="438" t="s">
        <v>115</v>
      </c>
      <c r="D108" s="143" t="s">
        <v>38</v>
      </c>
      <c r="E108" s="408" t="s">
        <v>95</v>
      </c>
      <c r="F108" s="145" t="s">
        <v>96</v>
      </c>
    </row>
    <row r="109" spans="1:9" ht="26.25" customHeight="1" x14ac:dyDescent="0.4">
      <c r="A109" s="32" t="s">
        <v>97</v>
      </c>
      <c r="B109" s="237">
        <v>1</v>
      </c>
      <c r="C109" s="146">
        <v>1</v>
      </c>
      <c r="D109" s="147">
        <v>35364408</v>
      </c>
      <c r="E109" s="457">
        <f t="shared" ref="E109:E114" si="1">IF(ISBLANK(D109),"-",D109/$D$104*$D$101*$B$117)</f>
        <v>69.516825177509389</v>
      </c>
      <c r="F109" s="148">
        <f>IF(ISBLANK(D109), "-", E109/$B$56)</f>
        <v>0.69516825177509389</v>
      </c>
    </row>
    <row r="110" spans="1:9" ht="26.25" customHeight="1" x14ac:dyDescent="0.4">
      <c r="A110" s="32" t="s">
        <v>70</v>
      </c>
      <c r="B110" s="237">
        <v>1</v>
      </c>
      <c r="C110" s="146">
        <v>2</v>
      </c>
      <c r="D110" s="147">
        <v>35036555</v>
      </c>
      <c r="E110" s="458">
        <f t="shared" si="1"/>
        <v>68.872355187090704</v>
      </c>
      <c r="F110" s="149">
        <f t="shared" ref="F110:F114" si="2">IF(ISBLANK(D110), "-", E110/$B$56)</f>
        <v>0.68872355187090706</v>
      </c>
    </row>
    <row r="111" spans="1:9" ht="26.25" customHeight="1" x14ac:dyDescent="0.4">
      <c r="A111" s="32" t="s">
        <v>71</v>
      </c>
      <c r="B111" s="237">
        <v>1</v>
      </c>
      <c r="C111" s="146">
        <v>3</v>
      </c>
      <c r="D111" s="147">
        <v>32006707</v>
      </c>
      <c r="E111" s="458">
        <f t="shared" si="1"/>
        <v>62.916496581160523</v>
      </c>
      <c r="F111" s="149">
        <f t="shared" si="2"/>
        <v>0.62916496581160519</v>
      </c>
    </row>
    <row r="112" spans="1:9" ht="26.25" customHeight="1" x14ac:dyDescent="0.4">
      <c r="A112" s="32" t="s">
        <v>72</v>
      </c>
      <c r="B112" s="237">
        <v>1</v>
      </c>
      <c r="C112" s="146">
        <v>4</v>
      </c>
      <c r="D112" s="147">
        <v>27535942</v>
      </c>
      <c r="E112" s="458">
        <f t="shared" si="1"/>
        <v>54.128186342382385</v>
      </c>
      <c r="F112" s="149">
        <f t="shared" si="2"/>
        <v>0.54128186342382389</v>
      </c>
    </row>
    <row r="113" spans="1:9" ht="26.25" customHeight="1" x14ac:dyDescent="0.4">
      <c r="A113" s="32" t="s">
        <v>73</v>
      </c>
      <c r="B113" s="237">
        <v>1</v>
      </c>
      <c r="C113" s="146">
        <v>5</v>
      </c>
      <c r="D113" s="147">
        <v>41943591</v>
      </c>
      <c r="E113" s="458">
        <f t="shared" si="1"/>
        <v>82.449712797792529</v>
      </c>
      <c r="F113" s="149">
        <f t="shared" si="2"/>
        <v>0.82449712797792529</v>
      </c>
    </row>
    <row r="114" spans="1:9" ht="26.25" customHeight="1" x14ac:dyDescent="0.4">
      <c r="A114" s="32" t="s">
        <v>75</v>
      </c>
      <c r="B114" s="237">
        <v>1</v>
      </c>
      <c r="C114" s="150">
        <v>6</v>
      </c>
      <c r="D114" s="151">
        <v>34555881</v>
      </c>
      <c r="E114" s="459">
        <f t="shared" si="1"/>
        <v>67.927480599472162</v>
      </c>
      <c r="F114" s="152">
        <f t="shared" si="2"/>
        <v>0.67927480599472156</v>
      </c>
    </row>
    <row r="115" spans="1:9" ht="26.25" customHeight="1" x14ac:dyDescent="0.4">
      <c r="A115" s="32" t="s">
        <v>76</v>
      </c>
      <c r="B115" s="237">
        <v>1</v>
      </c>
      <c r="C115" s="146"/>
      <c r="D115" s="252"/>
      <c r="E115" s="108"/>
      <c r="F115" s="153"/>
    </row>
    <row r="116" spans="1:9" ht="26.25" customHeight="1" x14ac:dyDescent="0.4">
      <c r="A116" s="32" t="s">
        <v>77</v>
      </c>
      <c r="B116" s="237">
        <v>1</v>
      </c>
      <c r="C116" s="146"/>
      <c r="D116" s="418"/>
      <c r="E116" s="154" t="s">
        <v>46</v>
      </c>
      <c r="F116" s="155">
        <f>AVERAGE(F109:F114)</f>
        <v>0.6763517611423463</v>
      </c>
    </row>
    <row r="117" spans="1:9" ht="27" customHeight="1" thickBot="1" x14ac:dyDescent="0.45">
      <c r="A117" s="32" t="s">
        <v>78</v>
      </c>
      <c r="B117" s="453">
        <f>(B116/B115)*(B114/B113)*(B112/B111)*(B110/B109)*B108</f>
        <v>900</v>
      </c>
      <c r="C117" s="156"/>
      <c r="D117" s="460"/>
      <c r="E117" s="119" t="s">
        <v>59</v>
      </c>
      <c r="F117" s="157">
        <f>STDEV(F109:F114)/F116</f>
        <v>0.13700579382469574</v>
      </c>
    </row>
    <row r="118" spans="1:9" ht="27" customHeight="1" thickBot="1" x14ac:dyDescent="0.45">
      <c r="A118" s="471" t="s">
        <v>53</v>
      </c>
      <c r="B118" s="472"/>
      <c r="C118" s="158"/>
      <c r="D118" s="461"/>
      <c r="E118" s="159" t="s">
        <v>7</v>
      </c>
      <c r="F118" s="160">
        <f>COUNT(F109:F114)</f>
        <v>6</v>
      </c>
      <c r="I118" s="139"/>
    </row>
    <row r="119" spans="1:9" ht="19.5" customHeight="1" thickBot="1" x14ac:dyDescent="0.35">
      <c r="A119" s="473"/>
      <c r="B119" s="474"/>
      <c r="C119" s="108"/>
      <c r="D119" s="108"/>
      <c r="E119" s="108"/>
      <c r="F119" s="252"/>
      <c r="G119" s="108"/>
      <c r="H119" s="108"/>
    </row>
    <row r="120" spans="1:9" ht="18.75" x14ac:dyDescent="0.3">
      <c r="A120" s="28"/>
      <c r="B120" s="28"/>
      <c r="C120" s="108"/>
      <c r="D120" s="108"/>
      <c r="E120" s="108"/>
      <c r="F120" s="252"/>
      <c r="G120" s="108"/>
      <c r="H120" s="108"/>
    </row>
    <row r="121" spans="1:9" ht="26.25" customHeight="1" x14ac:dyDescent="0.4">
      <c r="A121" s="164" t="s">
        <v>114</v>
      </c>
      <c r="B121" s="119" t="s">
        <v>98</v>
      </c>
      <c r="C121" s="475" t="str">
        <f>B20</f>
        <v xml:space="preserve"> RITONAVIR </v>
      </c>
      <c r="D121" s="475"/>
      <c r="E121" s="108" t="s">
        <v>99</v>
      </c>
      <c r="F121" s="108"/>
      <c r="G121" s="109">
        <f>F116</f>
        <v>0.6763517611423463</v>
      </c>
      <c r="H121" s="108"/>
    </row>
    <row r="122" spans="1:9" ht="18.75" x14ac:dyDescent="0.3">
      <c r="A122" s="28"/>
      <c r="B122" s="28"/>
      <c r="C122" s="108"/>
      <c r="D122" s="108"/>
      <c r="E122" s="108"/>
      <c r="F122" s="252"/>
      <c r="G122" s="108"/>
      <c r="H122" s="108"/>
    </row>
    <row r="123" spans="1:9" ht="26.25" customHeight="1" x14ac:dyDescent="0.4">
      <c r="A123" s="15" t="s">
        <v>116</v>
      </c>
      <c r="B123" s="15" t="s">
        <v>128</v>
      </c>
      <c r="D123" s="455" t="s">
        <v>131</v>
      </c>
    </row>
    <row r="124" spans="1:9" ht="19.5" customHeight="1" thickBot="1" x14ac:dyDescent="0.35">
      <c r="A124" s="79"/>
      <c r="B124" s="79"/>
      <c r="C124" s="79"/>
      <c r="D124" s="79"/>
      <c r="E124" s="79"/>
    </row>
    <row r="125" spans="1:9" ht="26.25" customHeight="1" x14ac:dyDescent="0.4">
      <c r="A125" s="30" t="s">
        <v>93</v>
      </c>
      <c r="B125" s="462">
        <v>900</v>
      </c>
      <c r="C125" s="438" t="s">
        <v>115</v>
      </c>
      <c r="D125" s="143" t="s">
        <v>38</v>
      </c>
      <c r="E125" s="408" t="s">
        <v>95</v>
      </c>
      <c r="F125" s="145" t="s">
        <v>96</v>
      </c>
    </row>
    <row r="126" spans="1:9" ht="26.25" customHeight="1" x14ac:dyDescent="0.4">
      <c r="A126" s="32" t="s">
        <v>97</v>
      </c>
      <c r="B126" s="463">
        <v>1</v>
      </c>
      <c r="C126" s="146">
        <v>1</v>
      </c>
      <c r="D126" s="464">
        <v>51226192</v>
      </c>
      <c r="E126" s="410">
        <f t="shared" ref="E126:E131" si="3">IF(ISBLANK(D126),"-",D126/$D$104*$D$101*$B$134)</f>
        <v>100.69678626526223</v>
      </c>
      <c r="F126" s="411">
        <f>IF(ISBLANK(D126), "-", E126/$B$56)</f>
        <v>1.0069678626526224</v>
      </c>
    </row>
    <row r="127" spans="1:9" ht="26.25" customHeight="1" x14ac:dyDescent="0.4">
      <c r="A127" s="32" t="s">
        <v>70</v>
      </c>
      <c r="B127" s="463">
        <v>1</v>
      </c>
      <c r="C127" s="146">
        <v>2</v>
      </c>
      <c r="D127" s="464">
        <v>50531744</v>
      </c>
      <c r="E127" s="413">
        <f t="shared" si="3"/>
        <v>99.331690030345172</v>
      </c>
      <c r="F127" s="414">
        <f t="shared" ref="F127:F131" si="4">IF(ISBLANK(D127), "-", E127/$B$56)</f>
        <v>0.99331690030345177</v>
      </c>
    </row>
    <row r="128" spans="1:9" ht="26.25" customHeight="1" x14ac:dyDescent="0.4">
      <c r="A128" s="32" t="s">
        <v>71</v>
      </c>
      <c r="B128" s="463">
        <v>1</v>
      </c>
      <c r="C128" s="146">
        <v>3</v>
      </c>
      <c r="D128" s="464">
        <v>46879373</v>
      </c>
      <c r="E128" s="413">
        <f t="shared" si="3"/>
        <v>92.152120212849425</v>
      </c>
      <c r="F128" s="414">
        <f t="shared" si="4"/>
        <v>0.9215212021284942</v>
      </c>
    </row>
    <row r="129" spans="1:9" ht="26.25" customHeight="1" x14ac:dyDescent="0.4">
      <c r="A129" s="32" t="s">
        <v>72</v>
      </c>
      <c r="B129" s="463">
        <v>1</v>
      </c>
      <c r="C129" s="146">
        <v>4</v>
      </c>
      <c r="D129" s="464">
        <v>45123056</v>
      </c>
      <c r="E129" s="413">
        <f t="shared" si="3"/>
        <v>88.699677806764541</v>
      </c>
      <c r="F129" s="414">
        <f t="shared" si="4"/>
        <v>0.88699677806764543</v>
      </c>
    </row>
    <row r="130" spans="1:9" ht="26.25" customHeight="1" x14ac:dyDescent="0.4">
      <c r="A130" s="32" t="s">
        <v>73</v>
      </c>
      <c r="B130" s="463">
        <v>1</v>
      </c>
      <c r="C130" s="146">
        <v>5</v>
      </c>
      <c r="D130" s="464">
        <v>51413484</v>
      </c>
      <c r="E130" s="413">
        <f t="shared" si="3"/>
        <v>101.06495149005963</v>
      </c>
      <c r="F130" s="414">
        <f t="shared" si="4"/>
        <v>1.0106495149005963</v>
      </c>
    </row>
    <row r="131" spans="1:9" ht="26.25" customHeight="1" x14ac:dyDescent="0.4">
      <c r="A131" s="32" t="s">
        <v>75</v>
      </c>
      <c r="B131" s="463">
        <v>1</v>
      </c>
      <c r="C131" s="150">
        <v>6</v>
      </c>
      <c r="D131" s="465">
        <v>48755337</v>
      </c>
      <c r="E131" s="416">
        <f t="shared" si="3"/>
        <v>95.839756138419034</v>
      </c>
      <c r="F131" s="417">
        <f t="shared" si="4"/>
        <v>0.9583975613841903</v>
      </c>
    </row>
    <row r="132" spans="1:9" ht="26.25" customHeight="1" x14ac:dyDescent="0.4">
      <c r="A132" s="32" t="s">
        <v>76</v>
      </c>
      <c r="B132" s="463">
        <v>1</v>
      </c>
      <c r="C132" s="146"/>
      <c r="D132" s="252"/>
      <c r="E132" s="108"/>
      <c r="F132" s="153"/>
    </row>
    <row r="133" spans="1:9" ht="26.25" customHeight="1" x14ac:dyDescent="0.4">
      <c r="A133" s="32" t="s">
        <v>77</v>
      </c>
      <c r="B133" s="463">
        <v>1</v>
      </c>
      <c r="C133" s="146"/>
      <c r="D133" s="418"/>
      <c r="E133" s="154" t="s">
        <v>46</v>
      </c>
      <c r="F133" s="155">
        <f>AVERAGE(F126:F131)</f>
        <v>0.9629749699061666</v>
      </c>
    </row>
    <row r="134" spans="1:9" ht="27" customHeight="1" thickBot="1" x14ac:dyDescent="0.45">
      <c r="A134" s="32" t="s">
        <v>78</v>
      </c>
      <c r="B134" s="466">
        <f>(B133/B132)*(B131/B130)*(B129/B128)*(B127/B126)*B125</f>
        <v>900</v>
      </c>
      <c r="C134" s="156"/>
      <c r="D134" s="460"/>
      <c r="E134" s="119" t="s">
        <v>59</v>
      </c>
      <c r="F134" s="157">
        <f>STDEV(F126:F131)/F133</f>
        <v>5.221429130366978E-2</v>
      </c>
    </row>
    <row r="135" spans="1:9" ht="27" customHeight="1" thickBot="1" x14ac:dyDescent="0.45">
      <c r="A135" s="471" t="s">
        <v>53</v>
      </c>
      <c r="B135" s="472"/>
      <c r="C135" s="158"/>
      <c r="D135" s="461"/>
      <c r="E135" s="159" t="s">
        <v>7</v>
      </c>
      <c r="F135" s="160">
        <f>COUNT(F126:F131)</f>
        <v>6</v>
      </c>
      <c r="I135" s="139"/>
    </row>
    <row r="136" spans="1:9" ht="19.5" customHeight="1" thickBot="1" x14ac:dyDescent="0.35">
      <c r="A136" s="473"/>
      <c r="B136" s="474"/>
      <c r="C136" s="108"/>
      <c r="D136" s="108"/>
      <c r="E136" s="108"/>
      <c r="F136" s="252"/>
      <c r="G136" s="108"/>
      <c r="H136" s="108"/>
    </row>
    <row r="137" spans="1:9" ht="18.75" x14ac:dyDescent="0.3">
      <c r="A137" s="28"/>
      <c r="B137" s="28"/>
      <c r="C137" s="108"/>
      <c r="D137" s="108"/>
      <c r="E137" s="108"/>
      <c r="F137" s="252"/>
      <c r="G137" s="108"/>
      <c r="H137" s="108"/>
    </row>
    <row r="138" spans="1:9" ht="26.25" customHeight="1" x14ac:dyDescent="0.4">
      <c r="A138" s="164" t="s">
        <v>114</v>
      </c>
      <c r="B138" s="119" t="s">
        <v>98</v>
      </c>
      <c r="C138" s="475" t="str">
        <f>B20</f>
        <v xml:space="preserve"> RITONAVIR </v>
      </c>
      <c r="D138" s="475"/>
      <c r="E138" s="108" t="s">
        <v>99</v>
      </c>
      <c r="F138" s="108"/>
      <c r="G138" s="109">
        <f>F133</f>
        <v>0.9629749699061666</v>
      </c>
      <c r="H138" s="108"/>
    </row>
    <row r="139" spans="1:9" ht="19.5" customHeight="1" thickBot="1" x14ac:dyDescent="0.35">
      <c r="A139" s="439"/>
      <c r="B139" s="439"/>
      <c r="C139" s="162"/>
      <c r="D139" s="162"/>
      <c r="E139" s="162"/>
      <c r="F139" s="162"/>
      <c r="G139" s="162"/>
      <c r="H139" s="162"/>
    </row>
    <row r="140" spans="1:9" ht="18.75" x14ac:dyDescent="0.3">
      <c r="B140" s="476" t="s">
        <v>8</v>
      </c>
      <c r="C140" s="476"/>
      <c r="E140" s="437" t="s">
        <v>9</v>
      </c>
      <c r="F140" s="163"/>
      <c r="G140" s="476" t="s">
        <v>10</v>
      </c>
      <c r="H140" s="476"/>
    </row>
    <row r="141" spans="1:9" ht="83.1" customHeight="1" x14ac:dyDescent="0.3">
      <c r="A141" s="164" t="s">
        <v>11</v>
      </c>
      <c r="B141" s="467"/>
      <c r="C141" s="467"/>
      <c r="E141" s="166"/>
      <c r="F141" s="108"/>
      <c r="G141" s="166"/>
      <c r="H141" s="166"/>
    </row>
    <row r="142" spans="1:9" ht="83.1" customHeight="1" x14ac:dyDescent="0.3">
      <c r="A142" s="164" t="s">
        <v>12</v>
      </c>
      <c r="B142" s="468"/>
      <c r="C142" s="468"/>
      <c r="E142" s="167"/>
      <c r="F142" s="108"/>
      <c r="G142" s="168"/>
      <c r="H142" s="168"/>
    </row>
    <row r="143" spans="1:9" ht="18.75" x14ac:dyDescent="0.3">
      <c r="A143" s="252"/>
      <c r="B143" s="252"/>
      <c r="C143" s="252"/>
      <c r="D143" s="252"/>
      <c r="E143" s="252"/>
      <c r="F143" s="104"/>
      <c r="G143" s="252"/>
      <c r="H143" s="252"/>
    </row>
    <row r="144" spans="1:9" ht="18.75" x14ac:dyDescent="0.3">
      <c r="A144" s="252"/>
      <c r="B144" s="252"/>
      <c r="C144" s="252"/>
      <c r="D144" s="252"/>
      <c r="E144" s="252"/>
      <c r="F144" s="104"/>
      <c r="G144" s="252"/>
      <c r="H144" s="252"/>
    </row>
    <row r="145" spans="1:8" ht="18.75" x14ac:dyDescent="0.3">
      <c r="A145" s="252"/>
      <c r="B145" s="252"/>
      <c r="C145" s="252"/>
      <c r="D145" s="252"/>
      <c r="E145" s="252"/>
      <c r="F145" s="104"/>
      <c r="G145" s="252"/>
      <c r="H145" s="252"/>
    </row>
    <row r="146" spans="1:8" ht="18.75" x14ac:dyDescent="0.3">
      <c r="A146" s="252"/>
      <c r="B146" s="252"/>
      <c r="C146" s="252"/>
      <c r="D146" s="252"/>
      <c r="E146" s="252"/>
      <c r="F146" s="104"/>
      <c r="G146" s="252"/>
      <c r="H146" s="252"/>
    </row>
    <row r="147" spans="1:8" ht="18.75" x14ac:dyDescent="0.3">
      <c r="A147" s="252"/>
      <c r="B147" s="252"/>
      <c r="C147" s="252"/>
      <c r="D147" s="252"/>
      <c r="E147" s="252"/>
      <c r="F147" s="104"/>
      <c r="G147" s="252"/>
      <c r="H147" s="252"/>
    </row>
    <row r="148" spans="1:8" ht="18.75" x14ac:dyDescent="0.3">
      <c r="A148" s="252"/>
      <c r="B148" s="252"/>
      <c r="C148" s="252"/>
      <c r="D148" s="252"/>
      <c r="E148" s="252"/>
      <c r="F148" s="104"/>
      <c r="G148" s="252"/>
      <c r="H148" s="252"/>
    </row>
    <row r="149" spans="1:8" ht="18.75" x14ac:dyDescent="0.3">
      <c r="A149" s="252"/>
      <c r="B149" s="252"/>
      <c r="C149" s="252"/>
      <c r="D149" s="252"/>
      <c r="E149" s="252"/>
      <c r="F149" s="104"/>
      <c r="G149" s="252"/>
      <c r="H149" s="252"/>
    </row>
    <row r="150" spans="1:8" ht="18.75" x14ac:dyDescent="0.3">
      <c r="A150" s="252"/>
      <c r="B150" s="252"/>
      <c r="C150" s="252"/>
      <c r="D150" s="252"/>
      <c r="E150" s="252"/>
      <c r="F150" s="104"/>
      <c r="G150" s="252"/>
      <c r="H150" s="252"/>
    </row>
    <row r="151" spans="1:8" ht="18.75" x14ac:dyDescent="0.3">
      <c r="A151" s="252"/>
      <c r="B151" s="252"/>
      <c r="C151" s="252"/>
      <c r="D151" s="252"/>
      <c r="E151" s="252"/>
      <c r="F151" s="104"/>
      <c r="G151" s="252"/>
      <c r="H151" s="252"/>
    </row>
    <row r="250" spans="1:1" x14ac:dyDescent="0.25">
      <c r="A250" s="253">
        <v>5</v>
      </c>
    </row>
  </sheetData>
  <mergeCells count="31"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76:D76"/>
    <mergeCell ref="C31:H31"/>
    <mergeCell ref="C32:H32"/>
    <mergeCell ref="D36:E36"/>
    <mergeCell ref="F36:G36"/>
    <mergeCell ref="C64:C67"/>
    <mergeCell ref="D64:D67"/>
    <mergeCell ref="C68:C71"/>
    <mergeCell ref="D68:D71"/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topLeftCell="A109" zoomScale="60" zoomScaleNormal="60" workbookViewId="0">
      <selection activeCell="D128" sqref="D128"/>
    </sheetView>
  </sheetViews>
  <sheetFormatPr defaultRowHeight="13.5" x14ac:dyDescent="0.25"/>
  <cols>
    <col min="1" max="1" width="55.42578125" style="253" customWidth="1"/>
    <col min="2" max="2" width="33.7109375" style="253" customWidth="1"/>
    <col min="3" max="3" width="42.28515625" style="253" customWidth="1"/>
    <col min="4" max="4" width="30.5703125" style="253" customWidth="1"/>
    <col min="5" max="5" width="39.85546875" style="253" customWidth="1"/>
    <col min="6" max="6" width="30.7109375" style="253" customWidth="1"/>
    <col min="7" max="7" width="39.85546875" style="253" customWidth="1"/>
    <col min="8" max="8" width="41.140625" style="253" customWidth="1"/>
    <col min="9" max="9" width="30.42578125" style="253" customWidth="1"/>
    <col min="10" max="10" width="21.28515625" style="253" customWidth="1"/>
    <col min="11" max="11" width="9.140625" style="253" customWidth="1"/>
    <col min="12" max="16384" width="9.140625" style="5"/>
  </cols>
  <sheetData>
    <row r="1" spans="1:8" x14ac:dyDescent="0.25">
      <c r="A1" s="469" t="s">
        <v>13</v>
      </c>
      <c r="B1" s="469"/>
      <c r="C1" s="469"/>
      <c r="D1" s="469"/>
      <c r="E1" s="469"/>
      <c r="F1" s="469"/>
      <c r="G1" s="469"/>
      <c r="H1" s="469"/>
    </row>
    <row r="2" spans="1:8" x14ac:dyDescent="0.25">
      <c r="A2" s="469"/>
      <c r="B2" s="469"/>
      <c r="C2" s="469"/>
      <c r="D2" s="469"/>
      <c r="E2" s="469"/>
      <c r="F2" s="469"/>
      <c r="G2" s="469"/>
      <c r="H2" s="469"/>
    </row>
    <row r="3" spans="1:8" x14ac:dyDescent="0.25">
      <c r="A3" s="469"/>
      <c r="B3" s="469"/>
      <c r="C3" s="469"/>
      <c r="D3" s="469"/>
      <c r="E3" s="469"/>
      <c r="F3" s="469"/>
      <c r="G3" s="469"/>
      <c r="H3" s="469"/>
    </row>
    <row r="4" spans="1:8" x14ac:dyDescent="0.25">
      <c r="A4" s="469"/>
      <c r="B4" s="469"/>
      <c r="C4" s="469"/>
      <c r="D4" s="469"/>
      <c r="E4" s="469"/>
      <c r="F4" s="469"/>
      <c r="G4" s="469"/>
      <c r="H4" s="469"/>
    </row>
    <row r="5" spans="1:8" x14ac:dyDescent="0.25">
      <c r="A5" s="469"/>
      <c r="B5" s="469"/>
      <c r="C5" s="469"/>
      <c r="D5" s="469"/>
      <c r="E5" s="469"/>
      <c r="F5" s="469"/>
      <c r="G5" s="469"/>
      <c r="H5" s="469"/>
    </row>
    <row r="6" spans="1:8" x14ac:dyDescent="0.25">
      <c r="A6" s="469"/>
      <c r="B6" s="469"/>
      <c r="C6" s="469"/>
      <c r="D6" s="469"/>
      <c r="E6" s="469"/>
      <c r="F6" s="469"/>
      <c r="G6" s="469"/>
      <c r="H6" s="469"/>
    </row>
    <row r="7" spans="1:8" x14ac:dyDescent="0.25">
      <c r="A7" s="469"/>
      <c r="B7" s="469"/>
      <c r="C7" s="469"/>
      <c r="D7" s="469"/>
      <c r="E7" s="469"/>
      <c r="F7" s="469"/>
      <c r="G7" s="469"/>
      <c r="H7" s="469"/>
    </row>
    <row r="8" spans="1:8" x14ac:dyDescent="0.25">
      <c r="A8" s="470" t="s">
        <v>14</v>
      </c>
      <c r="B8" s="470"/>
      <c r="C8" s="470"/>
      <c r="D8" s="470"/>
      <c r="E8" s="470"/>
      <c r="F8" s="470"/>
      <c r="G8" s="470"/>
      <c r="H8" s="470"/>
    </row>
    <row r="9" spans="1:8" x14ac:dyDescent="0.25">
      <c r="A9" s="470"/>
      <c r="B9" s="470"/>
      <c r="C9" s="470"/>
      <c r="D9" s="470"/>
      <c r="E9" s="470"/>
      <c r="F9" s="470"/>
      <c r="G9" s="470"/>
      <c r="H9" s="470"/>
    </row>
    <row r="10" spans="1:8" x14ac:dyDescent="0.25">
      <c r="A10" s="470"/>
      <c r="B10" s="470"/>
      <c r="C10" s="470"/>
      <c r="D10" s="470"/>
      <c r="E10" s="470"/>
      <c r="F10" s="470"/>
      <c r="G10" s="470"/>
      <c r="H10" s="470"/>
    </row>
    <row r="11" spans="1:8" x14ac:dyDescent="0.25">
      <c r="A11" s="470"/>
      <c r="B11" s="470"/>
      <c r="C11" s="470"/>
      <c r="D11" s="470"/>
      <c r="E11" s="470"/>
      <c r="F11" s="470"/>
      <c r="G11" s="470"/>
      <c r="H11" s="470"/>
    </row>
    <row r="12" spans="1:8" x14ac:dyDescent="0.25">
      <c r="A12" s="470"/>
      <c r="B12" s="470"/>
      <c r="C12" s="470"/>
      <c r="D12" s="470"/>
      <c r="E12" s="470"/>
      <c r="F12" s="470"/>
      <c r="G12" s="470"/>
      <c r="H12" s="470"/>
    </row>
    <row r="13" spans="1:8" x14ac:dyDescent="0.25">
      <c r="A13" s="470"/>
      <c r="B13" s="470"/>
      <c r="C13" s="470"/>
      <c r="D13" s="470"/>
      <c r="E13" s="470"/>
      <c r="F13" s="470"/>
      <c r="G13" s="470"/>
      <c r="H13" s="470"/>
    </row>
    <row r="14" spans="1:8" x14ac:dyDescent="0.25">
      <c r="A14" s="470"/>
      <c r="B14" s="470"/>
      <c r="C14" s="470"/>
      <c r="D14" s="470"/>
      <c r="E14" s="470"/>
      <c r="F14" s="470"/>
      <c r="G14" s="470"/>
      <c r="H14" s="470"/>
    </row>
    <row r="15" spans="1:8" ht="19.5" customHeight="1" thickBot="1" x14ac:dyDescent="0.3"/>
    <row r="16" spans="1:8" ht="19.5" customHeight="1" thickBot="1" x14ac:dyDescent="0.3">
      <c r="A16" s="524" t="s">
        <v>15</v>
      </c>
      <c r="B16" s="525"/>
      <c r="C16" s="525"/>
      <c r="D16" s="525"/>
      <c r="E16" s="525"/>
      <c r="F16" s="525"/>
      <c r="G16" s="525"/>
      <c r="H16" s="526"/>
    </row>
    <row r="17" spans="1:13" ht="18.75" x14ac:dyDescent="0.3">
      <c r="A17" s="79" t="s">
        <v>16</v>
      </c>
      <c r="B17" s="79"/>
    </row>
    <row r="18" spans="1:13" ht="18.75" x14ac:dyDescent="0.3">
      <c r="A18" s="8" t="s">
        <v>17</v>
      </c>
      <c r="B18" s="527" t="s">
        <v>2</v>
      </c>
      <c r="C18" s="527"/>
      <c r="D18" s="441"/>
      <c r="E18" s="441"/>
    </row>
    <row r="19" spans="1:13" ht="18.75" x14ac:dyDescent="0.3">
      <c r="A19" s="8" t="s">
        <v>18</v>
      </c>
      <c r="B19" s="442" t="s">
        <v>4</v>
      </c>
      <c r="C19" s="443">
        <v>35</v>
      </c>
    </row>
    <row r="20" spans="1:13" ht="18.75" x14ac:dyDescent="0.3">
      <c r="A20" s="8" t="s">
        <v>19</v>
      </c>
      <c r="B20" s="442" t="s">
        <v>122</v>
      </c>
    </row>
    <row r="21" spans="1:13" ht="18.75" x14ac:dyDescent="0.3">
      <c r="A21" s="8" t="s">
        <v>20</v>
      </c>
      <c r="B21" s="12" t="s">
        <v>132</v>
      </c>
      <c r="C21" s="12"/>
      <c r="D21" s="12"/>
      <c r="E21" s="12"/>
      <c r="F21" s="12"/>
      <c r="G21" s="12"/>
      <c r="H21" s="12"/>
    </row>
    <row r="22" spans="1:13" ht="18.75" x14ac:dyDescent="0.3">
      <c r="A22" s="8" t="s">
        <v>21</v>
      </c>
      <c r="B22" s="444"/>
    </row>
    <row r="23" spans="1:13" ht="18.75" x14ac:dyDescent="0.3">
      <c r="A23" s="8" t="s">
        <v>22</v>
      </c>
      <c r="B23" s="444" t="s">
        <v>133</v>
      </c>
    </row>
    <row r="24" spans="1:13" ht="18.75" x14ac:dyDescent="0.3">
      <c r="A24" s="8"/>
      <c r="B24" s="14"/>
    </row>
    <row r="25" spans="1:13" ht="18.75" x14ac:dyDescent="0.3">
      <c r="A25" s="15" t="s">
        <v>0</v>
      </c>
      <c r="B25" s="14"/>
    </row>
    <row r="26" spans="1:13" ht="26.25" customHeight="1" x14ac:dyDescent="0.4">
      <c r="A26" s="164" t="s">
        <v>1</v>
      </c>
      <c r="B26" s="498" t="s">
        <v>120</v>
      </c>
      <c r="C26" s="498"/>
    </row>
    <row r="27" spans="1:13" ht="26.25" customHeight="1" x14ac:dyDescent="0.4">
      <c r="A27" s="119" t="s">
        <v>23</v>
      </c>
      <c r="B27" s="250" t="s">
        <v>121</v>
      </c>
    </row>
    <row r="28" spans="1:13" ht="27" customHeight="1" thickBot="1" x14ac:dyDescent="0.45">
      <c r="A28" s="119" t="s">
        <v>3</v>
      </c>
      <c r="B28" s="250">
        <v>99.3</v>
      </c>
    </row>
    <row r="29" spans="1:13" s="207" customFormat="1" ht="27" customHeight="1" thickBot="1" x14ac:dyDescent="0.45">
      <c r="A29" s="119" t="s">
        <v>24</v>
      </c>
      <c r="B29" s="250">
        <v>0</v>
      </c>
      <c r="C29" s="477" t="s">
        <v>25</v>
      </c>
      <c r="D29" s="478"/>
      <c r="E29" s="478"/>
      <c r="F29" s="478"/>
      <c r="G29" s="479"/>
      <c r="I29" s="20"/>
      <c r="J29" s="20"/>
      <c r="K29" s="20"/>
    </row>
    <row r="30" spans="1:13" s="207" customFormat="1" ht="19.5" customHeight="1" thickBot="1" x14ac:dyDescent="0.35">
      <c r="A30" s="119" t="s">
        <v>26</v>
      </c>
      <c r="B30" s="436">
        <f>B28-B29</f>
        <v>99.3</v>
      </c>
      <c r="C30" s="231"/>
      <c r="D30" s="231"/>
      <c r="E30" s="231"/>
      <c r="F30" s="231"/>
      <c r="G30" s="232"/>
      <c r="I30" s="20"/>
      <c r="J30" s="20"/>
      <c r="K30" s="20"/>
    </row>
    <row r="31" spans="1:13" s="207" customFormat="1" ht="27" customHeight="1" thickBot="1" x14ac:dyDescent="0.45">
      <c r="A31" s="119" t="s">
        <v>27</v>
      </c>
      <c r="B31" s="233">
        <v>704.9</v>
      </c>
      <c r="C31" s="480" t="s">
        <v>28</v>
      </c>
      <c r="D31" s="481"/>
      <c r="E31" s="481"/>
      <c r="F31" s="481"/>
      <c r="G31" s="481"/>
      <c r="H31" s="482"/>
      <c r="I31" s="20"/>
      <c r="J31" s="20"/>
      <c r="K31" s="20"/>
    </row>
    <row r="32" spans="1:13" s="207" customFormat="1" ht="27" customHeight="1" thickBot="1" x14ac:dyDescent="0.45">
      <c r="A32" s="119" t="s">
        <v>29</v>
      </c>
      <c r="B32" s="233">
        <v>802.9</v>
      </c>
      <c r="C32" s="480" t="s">
        <v>30</v>
      </c>
      <c r="D32" s="481"/>
      <c r="E32" s="481"/>
      <c r="F32" s="481"/>
      <c r="G32" s="481"/>
      <c r="H32" s="482"/>
      <c r="I32" s="20"/>
      <c r="J32" s="20"/>
      <c r="K32" s="25"/>
      <c r="L32" s="25"/>
      <c r="M32" s="26"/>
    </row>
    <row r="33" spans="1:13" s="207" customFormat="1" ht="17.25" customHeight="1" x14ac:dyDescent="0.3">
      <c r="A33" s="119"/>
      <c r="B33" s="234"/>
      <c r="C33" s="28"/>
      <c r="D33" s="28"/>
      <c r="E33" s="28"/>
      <c r="F33" s="28"/>
      <c r="G33" s="28"/>
      <c r="H33" s="28"/>
      <c r="I33" s="20"/>
      <c r="J33" s="20"/>
      <c r="K33" s="25"/>
      <c r="L33" s="25"/>
      <c r="M33" s="26"/>
    </row>
    <row r="34" spans="1:13" s="207" customFormat="1" ht="18.75" x14ac:dyDescent="0.3">
      <c r="A34" s="119" t="s">
        <v>31</v>
      </c>
      <c r="B34" s="235">
        <f>B31/B32</f>
        <v>0.87794245858761988</v>
      </c>
      <c r="C34" s="108" t="s">
        <v>32</v>
      </c>
      <c r="D34" s="108"/>
      <c r="E34" s="108"/>
      <c r="F34" s="108"/>
      <c r="G34" s="108"/>
      <c r="I34" s="20"/>
      <c r="J34" s="20"/>
      <c r="K34" s="25"/>
      <c r="L34" s="25"/>
      <c r="M34" s="26"/>
    </row>
    <row r="35" spans="1:13" s="207" customFormat="1" ht="19.5" customHeight="1" thickBot="1" x14ac:dyDescent="0.35">
      <c r="A35" s="119"/>
      <c r="B35" s="436"/>
      <c r="G35" s="108"/>
      <c r="I35" s="20"/>
      <c r="J35" s="20"/>
      <c r="K35" s="25"/>
      <c r="L35" s="25"/>
      <c r="M35" s="26"/>
    </row>
    <row r="36" spans="1:13" s="207" customFormat="1" ht="27" customHeight="1" thickBot="1" x14ac:dyDescent="0.45">
      <c r="A36" s="30" t="s">
        <v>126</v>
      </c>
      <c r="B36" s="236">
        <v>100</v>
      </c>
      <c r="C36" s="108"/>
      <c r="D36" s="483" t="s">
        <v>34</v>
      </c>
      <c r="E36" s="501"/>
      <c r="F36" s="483" t="s">
        <v>35</v>
      </c>
      <c r="G36" s="484"/>
      <c r="I36" s="20"/>
      <c r="J36" s="20"/>
      <c r="K36" s="25"/>
      <c r="L36" s="25"/>
      <c r="M36" s="26"/>
    </row>
    <row r="37" spans="1:13" s="207" customFormat="1" ht="26.25" customHeight="1" x14ac:dyDescent="0.4">
      <c r="A37" s="32" t="s">
        <v>36</v>
      </c>
      <c r="B37" s="237">
        <v>1</v>
      </c>
      <c r="C37" s="34" t="s">
        <v>118</v>
      </c>
      <c r="D37" s="35" t="s">
        <v>38</v>
      </c>
      <c r="E37" s="36" t="s">
        <v>39</v>
      </c>
      <c r="F37" s="35" t="s">
        <v>38</v>
      </c>
      <c r="G37" s="115" t="s">
        <v>39</v>
      </c>
      <c r="I37" s="20"/>
      <c r="J37" s="20"/>
      <c r="K37" s="25"/>
      <c r="L37" s="25"/>
      <c r="M37" s="26"/>
    </row>
    <row r="38" spans="1:13" s="207" customFormat="1" ht="26.25" customHeight="1" x14ac:dyDescent="0.4">
      <c r="A38" s="32" t="s">
        <v>41</v>
      </c>
      <c r="B38" s="237">
        <v>1</v>
      </c>
      <c r="C38" s="39">
        <v>1</v>
      </c>
      <c r="D38" s="238">
        <v>62216550</v>
      </c>
      <c r="E38" s="41">
        <f>IF(ISBLANK(D38),"-",$D$48/$D$45*D38)</f>
        <v>163589409.23348802</v>
      </c>
      <c r="F38" s="238">
        <v>50749945</v>
      </c>
      <c r="G38" s="42">
        <f>IF(ISBLANK(F38),"-",$D$48/$F$45*F38)</f>
        <v>166153425.27115127</v>
      </c>
      <c r="I38" s="20"/>
      <c r="J38" s="20"/>
      <c r="K38" s="25"/>
      <c r="L38" s="25"/>
      <c r="M38" s="26"/>
    </row>
    <row r="39" spans="1:13" s="207" customFormat="1" ht="26.25" customHeight="1" x14ac:dyDescent="0.4">
      <c r="A39" s="32" t="s">
        <v>42</v>
      </c>
      <c r="B39" s="237">
        <v>1</v>
      </c>
      <c r="C39" s="244">
        <v>2</v>
      </c>
      <c r="D39" s="239">
        <v>62164205</v>
      </c>
      <c r="E39" s="46">
        <f>IF(ISBLANK(D39),"-",$D$48/$D$45*D39)</f>
        <v>163451775.63557354</v>
      </c>
      <c r="F39" s="239">
        <v>50929377</v>
      </c>
      <c r="G39" s="47">
        <f>IF(ISBLANK(F39),"-",$D$48/$F$45*F39)</f>
        <v>166740878.940377</v>
      </c>
      <c r="I39" s="20"/>
      <c r="J39" s="20"/>
      <c r="K39" s="25"/>
      <c r="L39" s="25"/>
      <c r="M39" s="26"/>
    </row>
    <row r="40" spans="1:13" ht="26.25" customHeight="1" x14ac:dyDescent="0.4">
      <c r="A40" s="32" t="s">
        <v>43</v>
      </c>
      <c r="B40" s="237">
        <v>1</v>
      </c>
      <c r="C40" s="244">
        <v>3</v>
      </c>
      <c r="D40" s="239">
        <v>62114549</v>
      </c>
      <c r="E40" s="46">
        <f>IF(ISBLANK(D40),"-",$D$48/$D$45*D40)</f>
        <v>163321212.37379032</v>
      </c>
      <c r="F40" s="239">
        <v>50916527</v>
      </c>
      <c r="G40" s="47">
        <f>IF(ISBLANK(F40),"-",$D$48/$F$45*F40)</f>
        <v>166698808.52010885</v>
      </c>
      <c r="K40" s="25"/>
      <c r="L40" s="25"/>
      <c r="M40" s="108"/>
    </row>
    <row r="41" spans="1:13" ht="26.25" customHeight="1" x14ac:dyDescent="0.4">
      <c r="A41" s="32" t="s">
        <v>44</v>
      </c>
      <c r="B41" s="237">
        <v>1</v>
      </c>
      <c r="C41" s="49">
        <v>4</v>
      </c>
      <c r="D41" s="240"/>
      <c r="E41" s="51" t="str">
        <f>IF(ISBLANK(D41),"-",$D$48/$D$45*D41)</f>
        <v>-</v>
      </c>
      <c r="F41" s="240"/>
      <c r="G41" s="52" t="str">
        <f>IF(ISBLANK(F41),"-",$D$48/$F$45*F41)</f>
        <v>-</v>
      </c>
      <c r="K41" s="25"/>
      <c r="L41" s="25"/>
      <c r="M41" s="108"/>
    </row>
    <row r="42" spans="1:13" ht="27" customHeight="1" thickBot="1" x14ac:dyDescent="0.45">
      <c r="A42" s="32" t="s">
        <v>45</v>
      </c>
      <c r="B42" s="237">
        <v>1</v>
      </c>
      <c r="C42" s="54" t="s">
        <v>46</v>
      </c>
      <c r="D42" s="445">
        <f>AVERAGE(D38:D41)</f>
        <v>62165101.333333336</v>
      </c>
      <c r="E42" s="55">
        <f>AVERAGE(E38:E41)</f>
        <v>163454132.41428396</v>
      </c>
      <c r="F42" s="241">
        <f>AVERAGE(F38:F41)</f>
        <v>50865283</v>
      </c>
      <c r="G42" s="56">
        <f>AVERAGE(G38:G41)</f>
        <v>166531037.57721236</v>
      </c>
      <c r="H42" s="184"/>
    </row>
    <row r="43" spans="1:13" ht="26.25" customHeight="1" x14ac:dyDescent="0.4">
      <c r="A43" s="32" t="s">
        <v>47</v>
      </c>
      <c r="B43" s="250">
        <v>1</v>
      </c>
      <c r="C43" s="123" t="s">
        <v>88</v>
      </c>
      <c r="D43" s="124">
        <v>24.43</v>
      </c>
      <c r="E43" s="108"/>
      <c r="F43" s="242">
        <v>19.62</v>
      </c>
      <c r="H43" s="184"/>
    </row>
    <row r="44" spans="1:13" ht="26.25" customHeight="1" x14ac:dyDescent="0.4">
      <c r="A44" s="32" t="s">
        <v>49</v>
      </c>
      <c r="B44" s="250">
        <v>1</v>
      </c>
      <c r="C44" s="125" t="s">
        <v>89</v>
      </c>
      <c r="D44" s="126">
        <f>D43*$B$34</f>
        <v>21.448134263295554</v>
      </c>
      <c r="E44" s="252"/>
      <c r="F44" s="243">
        <f>F43*$B$34</f>
        <v>17.225231037489102</v>
      </c>
      <c r="H44" s="184"/>
    </row>
    <row r="45" spans="1:13" ht="19.5" customHeight="1" thickBot="1" x14ac:dyDescent="0.35">
      <c r="A45" s="32" t="s">
        <v>51</v>
      </c>
      <c r="B45" s="436">
        <f>(B44/B43)*(B42/B41)*(B40/B39)*(B38/B37)*B36</f>
        <v>100</v>
      </c>
      <c r="C45" s="125" t="s">
        <v>52</v>
      </c>
      <c r="D45" s="128">
        <f>D44*$B$30/100</f>
        <v>21.297997323452481</v>
      </c>
      <c r="E45" s="104"/>
      <c r="F45" s="245">
        <f>F44*$B$30/100</f>
        <v>17.104654420226677</v>
      </c>
      <c r="H45" s="184"/>
    </row>
    <row r="46" spans="1:13" ht="19.5" customHeight="1" thickBot="1" x14ac:dyDescent="0.35">
      <c r="A46" s="471" t="s">
        <v>53</v>
      </c>
      <c r="B46" s="486"/>
      <c r="C46" s="125" t="s">
        <v>54</v>
      </c>
      <c r="D46" s="126">
        <f>D45/$B$45</f>
        <v>0.21297997323452481</v>
      </c>
      <c r="E46" s="104"/>
      <c r="F46" s="404">
        <f>F45/$B$45</f>
        <v>0.17104654420226675</v>
      </c>
      <c r="H46" s="184"/>
    </row>
    <row r="47" spans="1:13" ht="27" customHeight="1" thickBot="1" x14ac:dyDescent="0.45">
      <c r="A47" s="473"/>
      <c r="B47" s="487"/>
      <c r="C47" s="125" t="s">
        <v>109</v>
      </c>
      <c r="D47" s="446">
        <v>0.56000000000000005</v>
      </c>
      <c r="F47" s="71"/>
      <c r="H47" s="184"/>
    </row>
    <row r="48" spans="1:13" ht="18.75" x14ac:dyDescent="0.3">
      <c r="C48" s="125" t="s">
        <v>56</v>
      </c>
      <c r="D48" s="126">
        <f>D47*$B$45</f>
        <v>56.000000000000007</v>
      </c>
      <c r="F48" s="71"/>
      <c r="H48" s="184"/>
    </row>
    <row r="49" spans="1:11" ht="19.5" customHeight="1" thickBot="1" x14ac:dyDescent="0.35">
      <c r="C49" s="133" t="s">
        <v>57</v>
      </c>
      <c r="D49" s="134">
        <f>D48/B34</f>
        <v>63.785501489572994</v>
      </c>
      <c r="F49" s="75"/>
      <c r="H49" s="184"/>
    </row>
    <row r="50" spans="1:11" ht="18.75" x14ac:dyDescent="0.3">
      <c r="C50" s="136" t="s">
        <v>58</v>
      </c>
      <c r="D50" s="137">
        <f>AVERAGE(E38:E41,G38:G41)</f>
        <v>164992584.99574816</v>
      </c>
      <c r="F50" s="75"/>
      <c r="H50" s="184"/>
    </row>
    <row r="51" spans="1:11" ht="18.75" x14ac:dyDescent="0.3">
      <c r="C51" s="103" t="s">
        <v>59</v>
      </c>
      <c r="D51" s="76">
        <f>STDEV(E38:E41,G38:G41)/D50</f>
        <v>1.0304121766699342E-2</v>
      </c>
      <c r="F51" s="75"/>
    </row>
    <row r="52" spans="1:11" ht="19.5" customHeight="1" thickBot="1" x14ac:dyDescent="0.35">
      <c r="C52" s="105" t="s">
        <v>7</v>
      </c>
      <c r="D52" s="447">
        <f>COUNT(E38:E41,G38:G41)</f>
        <v>6</v>
      </c>
      <c r="F52" s="75"/>
    </row>
    <row r="54" spans="1:11" ht="18.75" x14ac:dyDescent="0.3">
      <c r="A54" s="79" t="s">
        <v>0</v>
      </c>
      <c r="B54" s="80" t="s">
        <v>60</v>
      </c>
    </row>
    <row r="55" spans="1:11" ht="18.75" x14ac:dyDescent="0.3">
      <c r="A55" s="108" t="s">
        <v>61</v>
      </c>
      <c r="B55" s="82" t="str">
        <f>B21</f>
        <v>Each film coated tablet contains: Atazanavir 300mg</v>
      </c>
    </row>
    <row r="56" spans="1:11" ht="26.25" customHeight="1" x14ac:dyDescent="0.4">
      <c r="A56" s="82" t="s">
        <v>110</v>
      </c>
      <c r="B56" s="250">
        <v>300</v>
      </c>
      <c r="C56" s="108" t="str">
        <f>B20</f>
        <v xml:space="preserve">ATAZANAVIR </v>
      </c>
      <c r="H56" s="252"/>
    </row>
    <row r="57" spans="1:11" ht="18.75" x14ac:dyDescent="0.3">
      <c r="A57" s="82" t="s">
        <v>111</v>
      </c>
      <c r="B57" s="171">
        <f>[2]Uniformity!C46</f>
        <v>1970.5519999999997</v>
      </c>
      <c r="H57" s="252"/>
    </row>
    <row r="58" spans="1:11" ht="19.5" customHeight="1" thickBot="1" x14ac:dyDescent="0.35">
      <c r="H58" s="252"/>
    </row>
    <row r="59" spans="1:11" s="207" customFormat="1" ht="27" customHeight="1" thickBot="1" x14ac:dyDescent="0.45">
      <c r="A59" s="30" t="s">
        <v>127</v>
      </c>
      <c r="B59" s="236">
        <v>100</v>
      </c>
      <c r="C59" s="108"/>
      <c r="D59" s="85" t="s">
        <v>65</v>
      </c>
      <c r="E59" s="86" t="s">
        <v>37</v>
      </c>
      <c r="F59" s="86" t="s">
        <v>38</v>
      </c>
      <c r="G59" s="86" t="s">
        <v>66</v>
      </c>
      <c r="H59" s="34" t="s">
        <v>67</v>
      </c>
      <c r="K59" s="20"/>
    </row>
    <row r="60" spans="1:11" s="207" customFormat="1" ht="22.5" customHeight="1" x14ac:dyDescent="0.4">
      <c r="A60" s="32" t="s">
        <v>97</v>
      </c>
      <c r="B60" s="237">
        <v>4</v>
      </c>
      <c r="C60" s="488" t="s">
        <v>69</v>
      </c>
      <c r="D60" s="491">
        <v>1976.37</v>
      </c>
      <c r="E60" s="87">
        <v>1</v>
      </c>
      <c r="F60" s="88">
        <v>167912343</v>
      </c>
      <c r="G60" s="448">
        <f>IF(ISBLANK(F60),"-",(F60/$D$50*$D$47*$B$68)*($B$57/$D$60))</f>
        <v>284.11611858699177</v>
      </c>
      <c r="H60" s="89">
        <f t="shared" ref="H60:H71" si="0">IF(ISBLANK(F60),"-",G60/$B$56)</f>
        <v>0.94705372862330595</v>
      </c>
      <c r="K60" s="20"/>
    </row>
    <row r="61" spans="1:11" s="207" customFormat="1" ht="26.25" customHeight="1" x14ac:dyDescent="0.4">
      <c r="A61" s="32" t="s">
        <v>70</v>
      </c>
      <c r="B61" s="237">
        <v>20</v>
      </c>
      <c r="C61" s="489"/>
      <c r="D61" s="492"/>
      <c r="E61" s="90">
        <v>2</v>
      </c>
      <c r="F61" s="239">
        <v>167317865</v>
      </c>
      <c r="G61" s="449">
        <f>IF(ISBLANK(F61),"-",(F61/$D$50*$D$47*$B$68)*($B$57/$D$60))</f>
        <v>283.11023195038308</v>
      </c>
      <c r="H61" s="91">
        <f t="shared" si="0"/>
        <v>0.94370077316794365</v>
      </c>
      <c r="K61" s="20"/>
    </row>
    <row r="62" spans="1:11" s="207" customFormat="1" ht="26.25" customHeight="1" x14ac:dyDescent="0.4">
      <c r="A62" s="32" t="s">
        <v>71</v>
      </c>
      <c r="B62" s="237">
        <v>1</v>
      </c>
      <c r="C62" s="489"/>
      <c r="D62" s="492"/>
      <c r="E62" s="90">
        <v>3</v>
      </c>
      <c r="F62" s="239">
        <v>167855830</v>
      </c>
      <c r="G62" s="449">
        <f>IF(ISBLANK(F62),"-",(F62/$D$50*$D$47*$B$68)*($B$57/$D$60))</f>
        <v>284.02049575234577</v>
      </c>
      <c r="H62" s="91">
        <f t="shared" si="0"/>
        <v>0.94673498584115257</v>
      </c>
      <c r="K62" s="20"/>
    </row>
    <row r="63" spans="1:11" ht="21" customHeight="1" thickBot="1" x14ac:dyDescent="0.45">
      <c r="A63" s="32" t="s">
        <v>72</v>
      </c>
      <c r="B63" s="237">
        <v>1</v>
      </c>
      <c r="C63" s="499"/>
      <c r="D63" s="493"/>
      <c r="E63" s="93">
        <v>4</v>
      </c>
      <c r="F63" s="94"/>
      <c r="G63" s="449" t="str">
        <f>IF(ISBLANK(F63),"-",(F63/$D$50*$D$47*$B$68)*($B$57/$D$60))</f>
        <v>-</v>
      </c>
      <c r="H63" s="91" t="str">
        <f t="shared" si="0"/>
        <v>-</v>
      </c>
    </row>
    <row r="64" spans="1:11" ht="26.25" customHeight="1" x14ac:dyDescent="0.4">
      <c r="A64" s="32" t="s">
        <v>73</v>
      </c>
      <c r="B64" s="237">
        <v>1</v>
      </c>
      <c r="C64" s="488" t="s">
        <v>74</v>
      </c>
      <c r="D64" s="491">
        <v>1972.47</v>
      </c>
      <c r="E64" s="87">
        <v>1</v>
      </c>
      <c r="F64" s="88">
        <v>169036886</v>
      </c>
      <c r="G64" s="450">
        <f>IF(ISBLANK(F64),"-",(F64/$D$50*$D$47*$B$68)*($B$57/$D$64))</f>
        <v>286.58442308743838</v>
      </c>
      <c r="H64" s="95">
        <f t="shared" si="0"/>
        <v>0.9552814102914613</v>
      </c>
    </row>
    <row r="65" spans="1:8" ht="26.25" customHeight="1" x14ac:dyDescent="0.4">
      <c r="A65" s="32" t="s">
        <v>75</v>
      </c>
      <c r="B65" s="237">
        <v>1</v>
      </c>
      <c r="C65" s="489"/>
      <c r="D65" s="492"/>
      <c r="E65" s="90">
        <v>2</v>
      </c>
      <c r="F65" s="239">
        <v>170749239</v>
      </c>
      <c r="G65" s="451">
        <f>IF(ISBLANK(F65),"-",(F65/$D$50*$D$47*$B$68)*($B$57/$D$64))</f>
        <v>289.4875391364825</v>
      </c>
      <c r="H65" s="96">
        <f t="shared" si="0"/>
        <v>0.96495846378827499</v>
      </c>
    </row>
    <row r="66" spans="1:8" ht="26.25" customHeight="1" x14ac:dyDescent="0.4">
      <c r="A66" s="32" t="s">
        <v>76</v>
      </c>
      <c r="B66" s="237">
        <v>1</v>
      </c>
      <c r="C66" s="489"/>
      <c r="D66" s="492"/>
      <c r="E66" s="90">
        <v>3</v>
      </c>
      <c r="F66" s="239">
        <v>170872664</v>
      </c>
      <c r="G66" s="451">
        <f>IF(ISBLANK(F66),"-",(F66/$D$50*$D$47*$B$68)*($B$57/$D$64))</f>
        <v>289.69679336055503</v>
      </c>
      <c r="H66" s="96">
        <f t="shared" si="0"/>
        <v>0.96565597786851676</v>
      </c>
    </row>
    <row r="67" spans="1:8" ht="21" customHeight="1" thickBot="1" x14ac:dyDescent="0.45">
      <c r="A67" s="32" t="s">
        <v>77</v>
      </c>
      <c r="B67" s="237">
        <v>1</v>
      </c>
      <c r="C67" s="499"/>
      <c r="D67" s="493"/>
      <c r="E67" s="93">
        <v>4</v>
      </c>
      <c r="F67" s="94"/>
      <c r="G67" s="452" t="str">
        <f>IF(ISBLANK(F67),"-",(F67/$D$50*$D$47*$B$68)*($B$57/$D$64))</f>
        <v>-</v>
      </c>
      <c r="H67" s="97" t="str">
        <f t="shared" si="0"/>
        <v>-</v>
      </c>
    </row>
    <row r="68" spans="1:8" ht="21.75" customHeight="1" x14ac:dyDescent="0.4">
      <c r="A68" s="32" t="s">
        <v>78</v>
      </c>
      <c r="B68" s="453">
        <f>(B67/B66)*(B65/B64)*(B63/B62)*(B61/B60)*B59</f>
        <v>500</v>
      </c>
      <c r="C68" s="488" t="s">
        <v>79</v>
      </c>
      <c r="D68" s="491">
        <v>1964.45</v>
      </c>
      <c r="E68" s="87">
        <v>1</v>
      </c>
      <c r="F68" s="88">
        <v>174009066</v>
      </c>
      <c r="G68" s="450">
        <f>IF(ISBLANK(F68),"-",(F68/$D$50*$D$47*$B$68)*($B$57/$D$68))</f>
        <v>296.21865164733367</v>
      </c>
      <c r="H68" s="91">
        <f t="shared" si="0"/>
        <v>0.98739550549111221</v>
      </c>
    </row>
    <row r="69" spans="1:8" ht="21.75" customHeight="1" thickBot="1" x14ac:dyDescent="0.45">
      <c r="A69" s="77" t="s">
        <v>80</v>
      </c>
      <c r="B69" s="249">
        <f>D47*B68/B56*B57</f>
        <v>1839.1818666666663</v>
      </c>
      <c r="C69" s="489"/>
      <c r="D69" s="492"/>
      <c r="E69" s="90">
        <v>2</v>
      </c>
      <c r="F69" s="239">
        <v>173891743</v>
      </c>
      <c r="G69" s="451">
        <f>IF(ISBLANK(F69),"-",(F69/$D$50*$D$47*$B$68)*($B$57/$D$68))</f>
        <v>296.01893066919098</v>
      </c>
      <c r="H69" s="91">
        <f t="shared" si="0"/>
        <v>0.98672976889730324</v>
      </c>
    </row>
    <row r="70" spans="1:8" ht="22.5" customHeight="1" x14ac:dyDescent="0.4">
      <c r="A70" s="494" t="s">
        <v>53</v>
      </c>
      <c r="B70" s="495"/>
      <c r="C70" s="489"/>
      <c r="D70" s="492"/>
      <c r="E70" s="90">
        <v>3</v>
      </c>
      <c r="F70" s="239">
        <v>172674979</v>
      </c>
      <c r="G70" s="451">
        <f>IF(ISBLANK(F70),"-",(F70/$D$50*$D$47*$B$68)*($B$57/$D$68))</f>
        <v>293.94761220436448</v>
      </c>
      <c r="H70" s="91">
        <f t="shared" si="0"/>
        <v>0.97982537401454828</v>
      </c>
    </row>
    <row r="71" spans="1:8" ht="21.75" customHeight="1" thickBot="1" x14ac:dyDescent="0.45">
      <c r="A71" s="496"/>
      <c r="B71" s="497"/>
      <c r="C71" s="490"/>
      <c r="D71" s="493"/>
      <c r="E71" s="93">
        <v>4</v>
      </c>
      <c r="F71" s="94"/>
      <c r="G71" s="452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">
      <c r="A72" s="252"/>
      <c r="B72" s="252"/>
      <c r="C72" s="252"/>
      <c r="D72" s="252"/>
      <c r="E72" s="252"/>
      <c r="F72" s="252"/>
      <c r="G72" s="101" t="s">
        <v>46</v>
      </c>
      <c r="H72" s="102">
        <f>AVERAGE(H60:H71)</f>
        <v>0.96414844310929104</v>
      </c>
    </row>
    <row r="73" spans="1:8" ht="26.25" customHeight="1" x14ac:dyDescent="0.4">
      <c r="C73" s="252"/>
      <c r="D73" s="252"/>
      <c r="E73" s="252"/>
      <c r="F73" s="252"/>
      <c r="G73" s="103" t="s">
        <v>59</v>
      </c>
      <c r="H73" s="177">
        <f>STDEV(H60:H71)/H72</f>
        <v>1.7931699336590851E-2</v>
      </c>
    </row>
    <row r="74" spans="1:8" ht="27" customHeight="1" thickBot="1" x14ac:dyDescent="0.45">
      <c r="A74" s="252"/>
      <c r="B74" s="252"/>
      <c r="C74" s="252"/>
      <c r="D74" s="252"/>
      <c r="E74" s="104"/>
      <c r="F74" s="252"/>
      <c r="G74" s="105" t="s">
        <v>7</v>
      </c>
      <c r="H74" s="106">
        <f>COUNT(H60:H71)</f>
        <v>9</v>
      </c>
    </row>
    <row r="75" spans="1:8" ht="18.75" x14ac:dyDescent="0.3">
      <c r="A75" s="252"/>
      <c r="B75" s="252"/>
      <c r="C75" s="252"/>
      <c r="D75" s="252"/>
      <c r="E75" s="104"/>
      <c r="F75" s="252"/>
      <c r="G75" s="119"/>
      <c r="H75" s="436"/>
    </row>
    <row r="76" spans="1:8" ht="18.75" x14ac:dyDescent="0.3">
      <c r="A76" s="164" t="s">
        <v>114</v>
      </c>
      <c r="B76" s="119" t="s">
        <v>98</v>
      </c>
      <c r="C76" s="475" t="str">
        <f>B20</f>
        <v xml:space="preserve">ATAZANAVIR </v>
      </c>
      <c r="D76" s="475"/>
      <c r="E76" s="108" t="s">
        <v>83</v>
      </c>
      <c r="F76" s="108"/>
      <c r="G76" s="454">
        <f>H72</f>
        <v>0.96414844310929104</v>
      </c>
      <c r="H76" s="436"/>
    </row>
    <row r="77" spans="1:8" ht="18.75" x14ac:dyDescent="0.3">
      <c r="A77" s="252"/>
      <c r="B77" s="252"/>
      <c r="C77" s="252"/>
      <c r="D77" s="252"/>
      <c r="E77" s="104"/>
      <c r="F77" s="252"/>
      <c r="G77" s="119"/>
      <c r="H77" s="436"/>
    </row>
    <row r="78" spans="1:8" ht="26.25" customHeight="1" x14ac:dyDescent="0.4">
      <c r="A78" s="15" t="s">
        <v>116</v>
      </c>
      <c r="B78" s="15" t="s">
        <v>128</v>
      </c>
      <c r="D78" s="455" t="s">
        <v>130</v>
      </c>
    </row>
    <row r="79" spans="1:8" ht="18.75" x14ac:dyDescent="0.3">
      <c r="A79" s="15"/>
      <c r="B79" s="15"/>
    </row>
    <row r="80" spans="1:8" ht="26.25" customHeight="1" x14ac:dyDescent="0.4">
      <c r="A80" s="164" t="s">
        <v>1</v>
      </c>
      <c r="B80" s="498" t="str">
        <f>B26</f>
        <v>Atazanavir sulfate</v>
      </c>
      <c r="C80" s="498"/>
    </row>
    <row r="81" spans="1:11" ht="26.25" customHeight="1" x14ac:dyDescent="0.4">
      <c r="A81" s="119" t="s">
        <v>23</v>
      </c>
      <c r="B81" s="250" t="str">
        <f>B27</f>
        <v>A48-1</v>
      </c>
    </row>
    <row r="82" spans="1:11" ht="27" customHeight="1" thickBot="1" x14ac:dyDescent="0.45">
      <c r="A82" s="119" t="s">
        <v>3</v>
      </c>
      <c r="B82" s="250">
        <f>B28</f>
        <v>99.3</v>
      </c>
    </row>
    <row r="83" spans="1:11" s="207" customFormat="1" ht="27" customHeight="1" thickBot="1" x14ac:dyDescent="0.45">
      <c r="A83" s="119" t="s">
        <v>24</v>
      </c>
      <c r="B83" s="250">
        <f>B29</f>
        <v>0</v>
      </c>
      <c r="C83" s="477" t="s">
        <v>25</v>
      </c>
      <c r="D83" s="478"/>
      <c r="E83" s="478"/>
      <c r="F83" s="478"/>
      <c r="G83" s="479"/>
      <c r="I83" s="20"/>
      <c r="J83" s="20"/>
      <c r="K83" s="20"/>
    </row>
    <row r="84" spans="1:11" s="207" customFormat="1" ht="19.5" customHeight="1" thickBot="1" x14ac:dyDescent="0.35">
      <c r="A84" s="119" t="s">
        <v>26</v>
      </c>
      <c r="B84" s="436">
        <f>B82-B83</f>
        <v>99.3</v>
      </c>
      <c r="C84" s="231"/>
      <c r="D84" s="231"/>
      <c r="E84" s="231"/>
      <c r="F84" s="231"/>
      <c r="G84" s="232"/>
      <c r="I84" s="20"/>
      <c r="J84" s="20"/>
      <c r="K84" s="20"/>
    </row>
    <row r="85" spans="1:11" s="207" customFormat="1" ht="27" customHeight="1" thickBot="1" x14ac:dyDescent="0.45">
      <c r="A85" s="119" t="s">
        <v>27</v>
      </c>
      <c r="B85" s="233">
        <v>704.9</v>
      </c>
      <c r="C85" s="480" t="s">
        <v>28</v>
      </c>
      <c r="D85" s="481"/>
      <c r="E85" s="481"/>
      <c r="F85" s="481"/>
      <c r="G85" s="481"/>
      <c r="H85" s="482"/>
      <c r="I85" s="20"/>
      <c r="J85" s="20"/>
      <c r="K85" s="20"/>
    </row>
    <row r="86" spans="1:11" s="207" customFormat="1" ht="27" customHeight="1" thickBot="1" x14ac:dyDescent="0.45">
      <c r="A86" s="119" t="s">
        <v>29</v>
      </c>
      <c r="B86" s="233">
        <v>802.9</v>
      </c>
      <c r="C86" s="480" t="s">
        <v>30</v>
      </c>
      <c r="D86" s="481"/>
      <c r="E86" s="481"/>
      <c r="F86" s="481"/>
      <c r="G86" s="481"/>
      <c r="H86" s="482"/>
      <c r="I86" s="20"/>
      <c r="J86" s="20"/>
      <c r="K86" s="20"/>
    </row>
    <row r="87" spans="1:11" s="207" customFormat="1" ht="18.75" x14ac:dyDescent="0.3">
      <c r="A87" s="119"/>
      <c r="B87" s="436"/>
      <c r="C87" s="231"/>
      <c r="D87" s="231"/>
      <c r="E87" s="231"/>
      <c r="F87" s="231"/>
      <c r="G87" s="232"/>
      <c r="I87" s="20"/>
      <c r="J87" s="20"/>
      <c r="K87" s="20"/>
    </row>
    <row r="88" spans="1:11" s="207" customFormat="1" ht="18.75" x14ac:dyDescent="0.3">
      <c r="A88" s="119" t="s">
        <v>31</v>
      </c>
      <c r="B88" s="235">
        <f>B85/B86</f>
        <v>0.87794245858761988</v>
      </c>
      <c r="C88" s="108" t="s">
        <v>32</v>
      </c>
      <c r="D88" s="231"/>
      <c r="E88" s="231"/>
      <c r="F88" s="231"/>
      <c r="G88" s="232"/>
      <c r="I88" s="20"/>
      <c r="J88" s="20"/>
      <c r="K88" s="20"/>
    </row>
    <row r="89" spans="1:11" ht="19.5" customHeight="1" thickBot="1" x14ac:dyDescent="0.35">
      <c r="A89" s="15"/>
      <c r="B89" s="15"/>
    </row>
    <row r="90" spans="1:11" ht="27" customHeight="1" thickBot="1" x14ac:dyDescent="0.45">
      <c r="A90" s="30" t="s">
        <v>126</v>
      </c>
      <c r="B90" s="236">
        <v>50</v>
      </c>
      <c r="D90" s="438" t="s">
        <v>34</v>
      </c>
      <c r="E90" s="440"/>
      <c r="F90" s="483" t="s">
        <v>35</v>
      </c>
      <c r="G90" s="484"/>
    </row>
    <row r="91" spans="1:11" ht="26.25" customHeight="1" x14ac:dyDescent="0.4">
      <c r="A91" s="32" t="s">
        <v>36</v>
      </c>
      <c r="B91" s="237">
        <v>1</v>
      </c>
      <c r="C91" s="437" t="s">
        <v>118</v>
      </c>
      <c r="D91" s="35" t="s">
        <v>38</v>
      </c>
      <c r="E91" s="36" t="s">
        <v>39</v>
      </c>
      <c r="F91" s="35" t="s">
        <v>38</v>
      </c>
      <c r="G91" s="115" t="s">
        <v>39</v>
      </c>
    </row>
    <row r="92" spans="1:11" ht="26.25" customHeight="1" x14ac:dyDescent="0.4">
      <c r="A92" s="32" t="s">
        <v>41</v>
      </c>
      <c r="B92" s="237">
        <v>1</v>
      </c>
      <c r="C92" s="116">
        <v>1</v>
      </c>
      <c r="D92" s="238">
        <v>39579342</v>
      </c>
      <c r="E92" s="41">
        <f>IF(ISBLANK(D92),"-",$D$102/$D$99*D92)</f>
        <v>42350494.273099989</v>
      </c>
      <c r="F92" s="238">
        <v>34381284</v>
      </c>
      <c r="G92" s="42">
        <f>IF(ISBLANK(F92),"-",$D$102/$F$99*F92)</f>
        <v>42314662.203855708</v>
      </c>
    </row>
    <row r="93" spans="1:11" ht="26.25" customHeight="1" x14ac:dyDescent="0.4">
      <c r="A93" s="32" t="s">
        <v>42</v>
      </c>
      <c r="B93" s="237">
        <v>1</v>
      </c>
      <c r="C93" s="252">
        <v>2</v>
      </c>
      <c r="D93" s="239">
        <v>39648486</v>
      </c>
      <c r="E93" s="46">
        <f>IF(ISBLANK(D93),"-",$D$102/$D$99*D93)</f>
        <v>42424479.398371123</v>
      </c>
      <c r="F93" s="239">
        <v>34375350</v>
      </c>
      <c r="G93" s="47">
        <f>IF(ISBLANK(F93),"-",$D$102/$F$99*F93)</f>
        <v>42307358.951146543</v>
      </c>
    </row>
    <row r="94" spans="1:11" ht="26.25" customHeight="1" x14ac:dyDescent="0.4">
      <c r="A94" s="32" t="s">
        <v>43</v>
      </c>
      <c r="B94" s="237">
        <v>1</v>
      </c>
      <c r="C94" s="252">
        <v>3</v>
      </c>
      <c r="D94" s="239">
        <v>39544972</v>
      </c>
      <c r="E94" s="46">
        <f>IF(ISBLANK(D94),"-",$D$102/$D$99*D94)</f>
        <v>42313717.853518113</v>
      </c>
      <c r="F94" s="239">
        <v>34360361</v>
      </c>
      <c r="G94" s="47">
        <f>IF(ISBLANK(F94),"-",$D$102/$F$99*F94)</f>
        <v>42288911.28433533</v>
      </c>
    </row>
    <row r="95" spans="1:11" ht="26.25" customHeight="1" x14ac:dyDescent="0.4">
      <c r="A95" s="32" t="s">
        <v>44</v>
      </c>
      <c r="B95" s="237">
        <v>1</v>
      </c>
      <c r="C95" s="117">
        <v>4</v>
      </c>
      <c r="D95" s="240"/>
      <c r="E95" s="51" t="str">
        <f>IF(ISBLANK(D95),"-",$D$102/$D$99*D95)</f>
        <v>-</v>
      </c>
      <c r="F95" s="118"/>
      <c r="G95" s="52" t="str">
        <f>IF(ISBLANK(F95),"-",$D$102/$F$99*F95)</f>
        <v>-</v>
      </c>
    </row>
    <row r="96" spans="1:11" ht="27" customHeight="1" thickBot="1" x14ac:dyDescent="0.45">
      <c r="A96" s="32" t="s">
        <v>45</v>
      </c>
      <c r="B96" s="237">
        <v>1</v>
      </c>
      <c r="C96" s="119" t="s">
        <v>46</v>
      </c>
      <c r="D96" s="120">
        <f>AVERAGE(D92:D95)</f>
        <v>39590933.333333336</v>
      </c>
      <c r="E96" s="55">
        <f>AVERAGE(E92:E95)</f>
        <v>42362897.174996413</v>
      </c>
      <c r="F96" s="251">
        <f>AVERAGE(F92:F95)</f>
        <v>34372331.666666664</v>
      </c>
      <c r="G96" s="456">
        <f>AVERAGE(G92:G95)</f>
        <v>42303644.146445863</v>
      </c>
    </row>
    <row r="97" spans="1:9" ht="26.25" customHeight="1" x14ac:dyDescent="0.4">
      <c r="A97" s="32" t="s">
        <v>47</v>
      </c>
      <c r="B97" s="250">
        <v>1</v>
      </c>
      <c r="C97" s="123" t="s">
        <v>88</v>
      </c>
      <c r="D97" s="124">
        <v>16.079999999999998</v>
      </c>
      <c r="E97" s="108"/>
      <c r="F97" s="242">
        <v>13.98</v>
      </c>
    </row>
    <row r="98" spans="1:9" ht="26.25" customHeight="1" x14ac:dyDescent="0.4">
      <c r="A98" s="32" t="s">
        <v>49</v>
      </c>
      <c r="B98" s="250">
        <v>1</v>
      </c>
      <c r="C98" s="125" t="s">
        <v>89</v>
      </c>
      <c r="D98" s="126">
        <f>D97*B88</f>
        <v>14.117314734088927</v>
      </c>
      <c r="E98" s="252"/>
      <c r="F98" s="243">
        <f>F97*B88</f>
        <v>12.273635571054927</v>
      </c>
    </row>
    <row r="99" spans="1:9" ht="19.5" customHeight="1" thickBot="1" x14ac:dyDescent="0.35">
      <c r="A99" s="32" t="s">
        <v>51</v>
      </c>
      <c r="B99" s="436">
        <f>(B98/B97)*(B96/B95)*(B94/B93)*(B92/B91)*B90</f>
        <v>50</v>
      </c>
      <c r="C99" s="125" t="s">
        <v>52</v>
      </c>
      <c r="D99" s="128">
        <f>D98*$B$84/100</f>
        <v>14.018493530950304</v>
      </c>
      <c r="E99" s="104"/>
      <c r="F99" s="245">
        <f>F98*$B$84/100</f>
        <v>12.187720122057542</v>
      </c>
    </row>
    <row r="100" spans="1:9" ht="19.5" customHeight="1" thickBot="1" x14ac:dyDescent="0.35">
      <c r="A100" s="471" t="s">
        <v>53</v>
      </c>
      <c r="B100" s="486"/>
      <c r="C100" s="125" t="s">
        <v>54</v>
      </c>
      <c r="D100" s="126">
        <f>D99/$B$99</f>
        <v>0.28036987061900609</v>
      </c>
      <c r="E100" s="104"/>
      <c r="F100" s="404">
        <f>F99/$B$99</f>
        <v>0.24375440244115082</v>
      </c>
      <c r="H100" s="184"/>
    </row>
    <row r="101" spans="1:9" ht="19.5" customHeight="1" thickBot="1" x14ac:dyDescent="0.35">
      <c r="A101" s="473"/>
      <c r="B101" s="487"/>
      <c r="C101" s="125" t="s">
        <v>109</v>
      </c>
      <c r="D101" s="128">
        <v>0.3</v>
      </c>
      <c r="F101" s="71"/>
      <c r="G101" s="138"/>
      <c r="H101" s="184"/>
    </row>
    <row r="102" spans="1:9" ht="18.75" x14ac:dyDescent="0.3">
      <c r="C102" s="125" t="s">
        <v>56</v>
      </c>
      <c r="D102" s="126">
        <f>D101*$B$99</f>
        <v>15</v>
      </c>
      <c r="F102" s="71"/>
      <c r="H102" s="184"/>
    </row>
    <row r="103" spans="1:9" ht="19.5" customHeight="1" thickBot="1" x14ac:dyDescent="0.35">
      <c r="C103" s="133" t="s">
        <v>57</v>
      </c>
      <c r="D103" s="134">
        <f>D102/B34</f>
        <v>17.08540218470705</v>
      </c>
      <c r="F103" s="75"/>
      <c r="H103" s="184"/>
      <c r="I103" s="135"/>
    </row>
    <row r="104" spans="1:9" ht="18.75" x14ac:dyDescent="0.3">
      <c r="C104" s="136" t="s">
        <v>92</v>
      </c>
      <c r="D104" s="137">
        <f>AVERAGE(E92:E95,G92:G95)</f>
        <v>42333270.660721131</v>
      </c>
      <c r="F104" s="75"/>
      <c r="G104" s="138"/>
      <c r="H104" s="184"/>
      <c r="I104" s="139"/>
    </row>
    <row r="105" spans="1:9" ht="18.75" x14ac:dyDescent="0.3">
      <c r="C105" s="103" t="s">
        <v>59</v>
      </c>
      <c r="D105" s="140">
        <f>STDEV(E92:E95,G92:G95)/D104</f>
        <v>1.1564424094091513E-3</v>
      </c>
      <c r="F105" s="75"/>
      <c r="H105" s="184"/>
      <c r="I105" s="139"/>
    </row>
    <row r="106" spans="1:9" ht="19.5" customHeight="1" thickBot="1" x14ac:dyDescent="0.35">
      <c r="C106" s="105" t="s">
        <v>7</v>
      </c>
      <c r="D106" s="141">
        <f>COUNT(E92:E95,G92:G95)</f>
        <v>6</v>
      </c>
      <c r="F106" s="75"/>
      <c r="H106" s="184"/>
      <c r="I106" s="139"/>
    </row>
    <row r="107" spans="1:9" ht="19.5" customHeight="1" thickBot="1" x14ac:dyDescent="0.35">
      <c r="A107" s="79"/>
      <c r="B107" s="79"/>
      <c r="C107" s="79"/>
      <c r="D107" s="79"/>
      <c r="E107" s="79"/>
    </row>
    <row r="108" spans="1:9" ht="26.25" customHeight="1" x14ac:dyDescent="0.4">
      <c r="A108" s="30" t="s">
        <v>93</v>
      </c>
      <c r="B108" s="236">
        <v>1000</v>
      </c>
      <c r="C108" s="438" t="s">
        <v>115</v>
      </c>
      <c r="D108" s="143" t="s">
        <v>38</v>
      </c>
      <c r="E108" s="408" t="s">
        <v>95</v>
      </c>
      <c r="F108" s="145" t="s">
        <v>96</v>
      </c>
    </row>
    <row r="109" spans="1:9" ht="26.25" customHeight="1" x14ac:dyDescent="0.4">
      <c r="A109" s="32" t="s">
        <v>97</v>
      </c>
      <c r="B109" s="237">
        <v>1</v>
      </c>
      <c r="C109" s="146">
        <v>1</v>
      </c>
      <c r="D109" s="147">
        <v>32109040</v>
      </c>
      <c r="E109" s="457">
        <f t="shared" ref="E109:E114" si="1">IF(ISBLANK(D109),"-",D109/$D$104*$D$101*$B$117)</f>
        <v>227.54471482255914</v>
      </c>
      <c r="F109" s="148">
        <f>IF(ISBLANK(D109), "-", E109/$B$56)</f>
        <v>0.75848238274186386</v>
      </c>
    </row>
    <row r="110" spans="1:9" ht="26.25" customHeight="1" x14ac:dyDescent="0.4">
      <c r="A110" s="32" t="s">
        <v>70</v>
      </c>
      <c r="B110" s="237">
        <v>1</v>
      </c>
      <c r="C110" s="146">
        <v>2</v>
      </c>
      <c r="D110" s="147">
        <v>41462549</v>
      </c>
      <c r="E110" s="458">
        <f t="shared" si="1"/>
        <v>293.82952240307981</v>
      </c>
      <c r="F110" s="149">
        <f t="shared" ref="F110:F114" si="2">IF(ISBLANK(D110), "-", E110/$B$56)</f>
        <v>0.97943174134359934</v>
      </c>
    </row>
    <row r="111" spans="1:9" ht="26.25" customHeight="1" x14ac:dyDescent="0.4">
      <c r="A111" s="32" t="s">
        <v>71</v>
      </c>
      <c r="B111" s="237">
        <v>1</v>
      </c>
      <c r="C111" s="146">
        <v>3</v>
      </c>
      <c r="D111" s="147">
        <v>34596647</v>
      </c>
      <c r="E111" s="458">
        <f t="shared" si="1"/>
        <v>245.17345194474038</v>
      </c>
      <c r="F111" s="149">
        <f t="shared" si="2"/>
        <v>0.81724483981580132</v>
      </c>
    </row>
    <row r="112" spans="1:9" ht="26.25" customHeight="1" x14ac:dyDescent="0.4">
      <c r="A112" s="32" t="s">
        <v>72</v>
      </c>
      <c r="B112" s="237">
        <v>1</v>
      </c>
      <c r="C112" s="146">
        <v>4</v>
      </c>
      <c r="D112" s="147">
        <v>42060664</v>
      </c>
      <c r="E112" s="458">
        <f t="shared" si="1"/>
        <v>298.06813891438298</v>
      </c>
      <c r="F112" s="149">
        <f t="shared" si="2"/>
        <v>0.99356046304794332</v>
      </c>
    </row>
    <row r="113" spans="1:9" ht="26.25" customHeight="1" x14ac:dyDescent="0.4">
      <c r="A113" s="32" t="s">
        <v>73</v>
      </c>
      <c r="B113" s="237">
        <v>1</v>
      </c>
      <c r="C113" s="146">
        <v>5</v>
      </c>
      <c r="D113" s="147">
        <v>37847128</v>
      </c>
      <c r="E113" s="458">
        <f t="shared" si="1"/>
        <v>268.20839077134951</v>
      </c>
      <c r="F113" s="149">
        <f t="shared" si="2"/>
        <v>0.89402796923783168</v>
      </c>
    </row>
    <row r="114" spans="1:9" ht="26.25" customHeight="1" x14ac:dyDescent="0.4">
      <c r="A114" s="32" t="s">
        <v>75</v>
      </c>
      <c r="B114" s="237">
        <v>1</v>
      </c>
      <c r="C114" s="150">
        <v>6</v>
      </c>
      <c r="D114" s="151">
        <v>31944001</v>
      </c>
      <c r="E114" s="459">
        <f t="shared" si="1"/>
        <v>226.3751453745283</v>
      </c>
      <c r="F114" s="152">
        <f t="shared" si="2"/>
        <v>0.75458381791509432</v>
      </c>
    </row>
    <row r="115" spans="1:9" ht="26.25" customHeight="1" x14ac:dyDescent="0.4">
      <c r="A115" s="32" t="s">
        <v>76</v>
      </c>
      <c r="B115" s="237">
        <v>1</v>
      </c>
      <c r="C115" s="146"/>
      <c r="D115" s="252"/>
      <c r="E115" s="108"/>
      <c r="F115" s="153"/>
    </row>
    <row r="116" spans="1:9" ht="26.25" customHeight="1" x14ac:dyDescent="0.4">
      <c r="A116" s="32" t="s">
        <v>77</v>
      </c>
      <c r="B116" s="237">
        <v>1</v>
      </c>
      <c r="C116" s="146"/>
      <c r="D116" s="418"/>
      <c r="E116" s="154" t="s">
        <v>46</v>
      </c>
      <c r="F116" s="155">
        <f>AVERAGE(F109:F114)</f>
        <v>0.86622186901702225</v>
      </c>
    </row>
    <row r="117" spans="1:9" ht="27" customHeight="1" thickBot="1" x14ac:dyDescent="0.45">
      <c r="A117" s="32" t="s">
        <v>78</v>
      </c>
      <c r="B117" s="453">
        <f>(B116/B115)*(B114/B113)*(B112/B111)*(B110/B109)*B108</f>
        <v>1000</v>
      </c>
      <c r="C117" s="156"/>
      <c r="D117" s="460"/>
      <c r="E117" s="119" t="s">
        <v>59</v>
      </c>
      <c r="F117" s="157">
        <f>STDEV(F109:F114)/F116</f>
        <v>0.12247323378074504</v>
      </c>
    </row>
    <row r="118" spans="1:9" ht="27" customHeight="1" thickBot="1" x14ac:dyDescent="0.45">
      <c r="A118" s="471" t="s">
        <v>53</v>
      </c>
      <c r="B118" s="472"/>
      <c r="C118" s="158"/>
      <c r="D118" s="461"/>
      <c r="E118" s="159" t="s">
        <v>7</v>
      </c>
      <c r="F118" s="160">
        <f>COUNT(F109:F114)</f>
        <v>6</v>
      </c>
      <c r="I118" s="139"/>
    </row>
    <row r="119" spans="1:9" ht="19.5" customHeight="1" thickBot="1" x14ac:dyDescent="0.35">
      <c r="A119" s="473"/>
      <c r="B119" s="474"/>
      <c r="C119" s="108"/>
      <c r="D119" s="108"/>
      <c r="E119" s="108"/>
      <c r="F119" s="252"/>
      <c r="G119" s="108"/>
      <c r="H119" s="108"/>
    </row>
    <row r="120" spans="1:9" ht="18.75" x14ac:dyDescent="0.3">
      <c r="A120" s="28"/>
      <c r="B120" s="28"/>
      <c r="C120" s="108"/>
      <c r="D120" s="108"/>
      <c r="E120" s="108"/>
      <c r="F120" s="252"/>
      <c r="G120" s="108"/>
      <c r="H120" s="108"/>
    </row>
    <row r="121" spans="1:9" ht="26.25" customHeight="1" x14ac:dyDescent="0.4">
      <c r="A121" s="164" t="s">
        <v>114</v>
      </c>
      <c r="B121" s="119" t="s">
        <v>98</v>
      </c>
      <c r="C121" s="475" t="str">
        <f>B20</f>
        <v xml:space="preserve">ATAZANAVIR </v>
      </c>
      <c r="D121" s="475"/>
      <c r="E121" s="108" t="s">
        <v>99</v>
      </c>
      <c r="F121" s="108"/>
      <c r="G121" s="109">
        <f>F116</f>
        <v>0.86622186901702225</v>
      </c>
      <c r="H121" s="108"/>
    </row>
    <row r="122" spans="1:9" ht="18.75" x14ac:dyDescent="0.3">
      <c r="A122" s="28"/>
      <c r="B122" s="28"/>
      <c r="C122" s="108"/>
      <c r="D122" s="108"/>
      <c r="E122" s="108"/>
      <c r="F122" s="252"/>
      <c r="G122" s="108"/>
      <c r="H122" s="108"/>
    </row>
    <row r="123" spans="1:9" ht="26.25" customHeight="1" x14ac:dyDescent="0.4">
      <c r="A123" s="15" t="s">
        <v>116</v>
      </c>
      <c r="B123" s="15" t="s">
        <v>128</v>
      </c>
      <c r="D123" s="455" t="s">
        <v>131</v>
      </c>
    </row>
    <row r="124" spans="1:9" ht="19.5" customHeight="1" thickBot="1" x14ac:dyDescent="0.35">
      <c r="A124" s="79"/>
      <c r="B124" s="79"/>
      <c r="C124" s="79"/>
      <c r="D124" s="79"/>
      <c r="E124" s="79"/>
    </row>
    <row r="125" spans="1:9" ht="26.25" customHeight="1" x14ac:dyDescent="0.4">
      <c r="A125" s="30" t="s">
        <v>93</v>
      </c>
      <c r="B125" s="462">
        <v>1000</v>
      </c>
      <c r="C125" s="438" t="s">
        <v>115</v>
      </c>
      <c r="D125" s="143" t="s">
        <v>38</v>
      </c>
      <c r="E125" s="408" t="s">
        <v>95</v>
      </c>
      <c r="F125" s="145" t="s">
        <v>96</v>
      </c>
    </row>
    <row r="126" spans="1:9" ht="26.25" customHeight="1" x14ac:dyDescent="0.4">
      <c r="A126" s="32" t="s">
        <v>97</v>
      </c>
      <c r="B126" s="463">
        <v>1</v>
      </c>
      <c r="C126" s="146">
        <v>1</v>
      </c>
      <c r="D126" s="464">
        <v>38291160</v>
      </c>
      <c r="E126" s="410">
        <f>IF(ISBLANK(D126),"-",D126/$D$104*$D$101*$B$134)</f>
        <v>271.35507889444796</v>
      </c>
      <c r="F126" s="411">
        <f t="shared" ref="F126:F131" si="3">IF(ISBLANK(D126), "-", E126/$B$56)</f>
        <v>0.90451692964815988</v>
      </c>
    </row>
    <row r="127" spans="1:9" ht="26.25" customHeight="1" x14ac:dyDescent="0.4">
      <c r="A127" s="32" t="s">
        <v>70</v>
      </c>
      <c r="B127" s="463">
        <v>1</v>
      </c>
      <c r="C127" s="146">
        <v>2</v>
      </c>
      <c r="D127" s="464">
        <v>41608164</v>
      </c>
      <c r="E127" s="413">
        <f t="shared" ref="E127:E131" si="4">IF(ISBLANK(D127),"-",D127/$D$104*$D$101*$B$134)</f>
        <v>294.86144125362426</v>
      </c>
      <c r="F127" s="414">
        <f t="shared" si="3"/>
        <v>0.98287147084541426</v>
      </c>
    </row>
    <row r="128" spans="1:9" ht="26.25" customHeight="1" x14ac:dyDescent="0.4">
      <c r="A128" s="32" t="s">
        <v>71</v>
      </c>
      <c r="B128" s="463">
        <v>1</v>
      </c>
      <c r="C128" s="146">
        <v>3</v>
      </c>
      <c r="D128" s="464">
        <v>42913302</v>
      </c>
      <c r="E128" s="413">
        <f t="shared" si="4"/>
        <v>304.11046439520948</v>
      </c>
      <c r="F128" s="414">
        <f t="shared" si="3"/>
        <v>1.0137015479840317</v>
      </c>
    </row>
    <row r="129" spans="1:9" ht="26.25" customHeight="1" x14ac:dyDescent="0.4">
      <c r="A129" s="32" t="s">
        <v>72</v>
      </c>
      <c r="B129" s="463">
        <v>1</v>
      </c>
      <c r="C129" s="146">
        <v>4</v>
      </c>
      <c r="D129" s="464">
        <v>42091625</v>
      </c>
      <c r="E129" s="413">
        <f t="shared" si="4"/>
        <v>298.2875479006255</v>
      </c>
      <c r="F129" s="414">
        <f t="shared" si="3"/>
        <v>0.99429182633541835</v>
      </c>
    </row>
    <row r="130" spans="1:9" ht="26.25" customHeight="1" x14ac:dyDescent="0.4">
      <c r="A130" s="32" t="s">
        <v>73</v>
      </c>
      <c r="B130" s="463">
        <v>1</v>
      </c>
      <c r="C130" s="146">
        <v>5</v>
      </c>
      <c r="D130" s="464">
        <v>41402260</v>
      </c>
      <c r="E130" s="413">
        <f t="shared" si="4"/>
        <v>293.40227688867208</v>
      </c>
      <c r="F130" s="414">
        <f t="shared" si="3"/>
        <v>0.97800758962890688</v>
      </c>
    </row>
    <row r="131" spans="1:9" ht="26.25" customHeight="1" x14ac:dyDescent="0.4">
      <c r="A131" s="32" t="s">
        <v>75</v>
      </c>
      <c r="B131" s="463">
        <v>1</v>
      </c>
      <c r="C131" s="150">
        <v>6</v>
      </c>
      <c r="D131" s="465">
        <v>37474265</v>
      </c>
      <c r="E131" s="416">
        <f t="shared" si="4"/>
        <v>265.56605063901037</v>
      </c>
      <c r="F131" s="417">
        <f t="shared" si="3"/>
        <v>0.88522016879670129</v>
      </c>
    </row>
    <row r="132" spans="1:9" ht="26.25" customHeight="1" x14ac:dyDescent="0.4">
      <c r="A132" s="32" t="s">
        <v>76</v>
      </c>
      <c r="B132" s="463">
        <v>1</v>
      </c>
      <c r="C132" s="146"/>
      <c r="D132" s="252"/>
      <c r="E132" s="108"/>
      <c r="F132" s="153"/>
    </row>
    <row r="133" spans="1:9" ht="26.25" customHeight="1" x14ac:dyDescent="0.4">
      <c r="A133" s="32" t="s">
        <v>77</v>
      </c>
      <c r="B133" s="463">
        <v>1</v>
      </c>
      <c r="C133" s="146"/>
      <c r="D133" s="418"/>
      <c r="E133" s="154" t="s">
        <v>46</v>
      </c>
      <c r="F133" s="155">
        <f>AVERAGE(F126:F131)</f>
        <v>0.95976825553977196</v>
      </c>
    </row>
    <row r="134" spans="1:9" ht="27" customHeight="1" thickBot="1" x14ac:dyDescent="0.45">
      <c r="A134" s="32" t="s">
        <v>78</v>
      </c>
      <c r="B134" s="466">
        <f>(B133/B132)*(B131/B130)*(B129/B128)*(B127/B126)*B125</f>
        <v>1000</v>
      </c>
      <c r="C134" s="156"/>
      <c r="D134" s="460"/>
      <c r="E134" s="119" t="s">
        <v>59</v>
      </c>
      <c r="F134" s="157">
        <f>STDEV(F126:F131)/F133</f>
        <v>5.4294305876785687E-2</v>
      </c>
    </row>
    <row r="135" spans="1:9" ht="27" customHeight="1" thickBot="1" x14ac:dyDescent="0.45">
      <c r="A135" s="471" t="s">
        <v>53</v>
      </c>
      <c r="B135" s="472"/>
      <c r="C135" s="158"/>
      <c r="D135" s="461"/>
      <c r="E135" s="159" t="s">
        <v>7</v>
      </c>
      <c r="F135" s="160">
        <f>COUNT(F126:F131)</f>
        <v>6</v>
      </c>
      <c r="I135" s="139"/>
    </row>
    <row r="136" spans="1:9" ht="19.5" customHeight="1" thickBot="1" x14ac:dyDescent="0.35">
      <c r="A136" s="473"/>
      <c r="B136" s="474"/>
      <c r="C136" s="108"/>
      <c r="D136" s="108"/>
      <c r="E136" s="108"/>
      <c r="F136" s="252"/>
      <c r="G136" s="108"/>
      <c r="H136" s="108"/>
    </row>
    <row r="137" spans="1:9" ht="18.75" x14ac:dyDescent="0.3">
      <c r="A137" s="28"/>
      <c r="B137" s="28"/>
      <c r="C137" s="108"/>
      <c r="D137" s="108"/>
      <c r="E137" s="108"/>
      <c r="F137" s="252"/>
      <c r="G137" s="108"/>
      <c r="H137" s="108"/>
    </row>
    <row r="138" spans="1:9" ht="26.25" customHeight="1" x14ac:dyDescent="0.4">
      <c r="A138" s="164" t="s">
        <v>114</v>
      </c>
      <c r="B138" s="119" t="s">
        <v>98</v>
      </c>
      <c r="C138" s="475" t="str">
        <f>B20</f>
        <v xml:space="preserve">ATAZANAVIR </v>
      </c>
      <c r="D138" s="475"/>
      <c r="E138" s="108" t="s">
        <v>99</v>
      </c>
      <c r="F138" s="108"/>
      <c r="G138" s="109">
        <f>F133</f>
        <v>0.95976825553977196</v>
      </c>
      <c r="H138" s="108"/>
    </row>
    <row r="139" spans="1:9" ht="19.5" customHeight="1" thickBot="1" x14ac:dyDescent="0.35">
      <c r="A139" s="439"/>
      <c r="B139" s="439"/>
      <c r="C139" s="162"/>
      <c r="D139" s="162"/>
      <c r="E139" s="162"/>
      <c r="F139" s="162"/>
      <c r="G139" s="162"/>
      <c r="H139" s="162"/>
    </row>
    <row r="140" spans="1:9" ht="18.75" x14ac:dyDescent="0.3">
      <c r="B140" s="476" t="s">
        <v>8</v>
      </c>
      <c r="C140" s="476"/>
      <c r="E140" s="437" t="s">
        <v>9</v>
      </c>
      <c r="F140" s="163"/>
      <c r="G140" s="476" t="s">
        <v>10</v>
      </c>
      <c r="H140" s="476"/>
    </row>
    <row r="141" spans="1:9" ht="83.1" customHeight="1" x14ac:dyDescent="0.3">
      <c r="A141" s="164" t="s">
        <v>11</v>
      </c>
      <c r="B141" s="467"/>
      <c r="C141" s="467"/>
      <c r="E141" s="166"/>
      <c r="F141" s="108"/>
      <c r="G141" s="166"/>
      <c r="H141" s="166"/>
    </row>
    <row r="142" spans="1:9" ht="83.1" customHeight="1" x14ac:dyDescent="0.3">
      <c r="A142" s="164" t="s">
        <v>12</v>
      </c>
      <c r="B142" s="468"/>
      <c r="C142" s="468"/>
      <c r="E142" s="167"/>
      <c r="F142" s="108"/>
      <c r="G142" s="168"/>
      <c r="H142" s="168"/>
    </row>
    <row r="143" spans="1:9" ht="18.75" x14ac:dyDescent="0.3">
      <c r="A143" s="252"/>
      <c r="B143" s="252"/>
      <c r="C143" s="252"/>
      <c r="D143" s="252"/>
      <c r="E143" s="252"/>
      <c r="F143" s="104"/>
      <c r="G143" s="252"/>
      <c r="H143" s="252"/>
    </row>
    <row r="144" spans="1:9" ht="18.75" x14ac:dyDescent="0.3">
      <c r="A144" s="252"/>
      <c r="B144" s="252"/>
      <c r="C144" s="252"/>
      <c r="D144" s="252"/>
      <c r="E144" s="252"/>
      <c r="F144" s="104"/>
      <c r="G144" s="252"/>
      <c r="H144" s="252"/>
    </row>
    <row r="145" spans="1:8" ht="18.75" x14ac:dyDescent="0.3">
      <c r="A145" s="252"/>
      <c r="B145" s="252"/>
      <c r="C145" s="252"/>
      <c r="D145" s="252"/>
      <c r="E145" s="252"/>
      <c r="F145" s="104"/>
      <c r="G145" s="252"/>
      <c r="H145" s="252"/>
    </row>
    <row r="146" spans="1:8" ht="18.75" x14ac:dyDescent="0.3">
      <c r="A146" s="252"/>
      <c r="B146" s="252"/>
      <c r="C146" s="252"/>
      <c r="D146" s="252"/>
      <c r="E146" s="252"/>
      <c r="F146" s="104"/>
      <c r="G146" s="252"/>
      <c r="H146" s="252"/>
    </row>
    <row r="147" spans="1:8" ht="18.75" x14ac:dyDescent="0.3">
      <c r="A147" s="252"/>
      <c r="B147" s="252"/>
      <c r="C147" s="252"/>
      <c r="D147" s="252"/>
      <c r="E147" s="252"/>
      <c r="F147" s="104"/>
      <c r="G147" s="252"/>
      <c r="H147" s="252"/>
    </row>
    <row r="148" spans="1:8" ht="18.75" x14ac:dyDescent="0.3">
      <c r="A148" s="252"/>
      <c r="B148" s="252"/>
      <c r="C148" s="252"/>
      <c r="D148" s="252"/>
      <c r="E148" s="252"/>
      <c r="F148" s="104"/>
      <c r="G148" s="252"/>
      <c r="H148" s="252"/>
    </row>
    <row r="149" spans="1:8" ht="18.75" x14ac:dyDescent="0.3">
      <c r="A149" s="252"/>
      <c r="B149" s="252"/>
      <c r="C149" s="252"/>
      <c r="D149" s="252"/>
      <c r="E149" s="252"/>
      <c r="F149" s="104"/>
      <c r="G149" s="252"/>
      <c r="H149" s="252"/>
    </row>
    <row r="150" spans="1:8" ht="18.75" x14ac:dyDescent="0.3">
      <c r="A150" s="252"/>
      <c r="B150" s="252"/>
      <c r="C150" s="252"/>
      <c r="D150" s="252"/>
      <c r="E150" s="252"/>
      <c r="F150" s="104"/>
      <c r="G150" s="252"/>
      <c r="H150" s="252"/>
    </row>
    <row r="151" spans="1:8" ht="18.75" x14ac:dyDescent="0.3">
      <c r="A151" s="252"/>
      <c r="B151" s="252"/>
      <c r="C151" s="252"/>
      <c r="D151" s="252"/>
      <c r="E151" s="252"/>
      <c r="F151" s="104"/>
      <c r="G151" s="252"/>
      <c r="H151" s="252"/>
    </row>
    <row r="250" spans="1:1" x14ac:dyDescent="0.25">
      <c r="A250" s="253">
        <v>5</v>
      </c>
    </row>
  </sheetData>
  <mergeCells count="31"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76:D76"/>
    <mergeCell ref="C31:H31"/>
    <mergeCell ref="C32:H32"/>
    <mergeCell ref="D36:E36"/>
    <mergeCell ref="F36:G36"/>
    <mergeCell ref="C64:C67"/>
    <mergeCell ref="D64:D67"/>
    <mergeCell ref="C68:C71"/>
    <mergeCell ref="D68:D71"/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12" sqref="D12"/>
    </sheetView>
  </sheetViews>
  <sheetFormatPr defaultRowHeight="13.5" x14ac:dyDescent="0.25"/>
  <cols>
    <col min="1" max="1" width="27.5703125" style="529" customWidth="1"/>
    <col min="2" max="2" width="20.42578125" style="529" customWidth="1"/>
    <col min="3" max="3" width="31.85546875" style="529" customWidth="1"/>
    <col min="4" max="4" width="25.85546875" style="529" customWidth="1"/>
    <col min="5" max="5" width="25.7109375" style="529" customWidth="1"/>
    <col min="6" max="6" width="23.140625" style="529" customWidth="1"/>
    <col min="7" max="7" width="28.42578125" style="529" customWidth="1"/>
    <col min="8" max="8" width="21.5703125" style="529" customWidth="1"/>
    <col min="9" max="9" width="9.140625" style="529" customWidth="1"/>
    <col min="10" max="16384" width="9.140625" style="530"/>
  </cols>
  <sheetData>
    <row r="1" spans="1:6" s="530" customFormat="1" ht="18.75" x14ac:dyDescent="0.3">
      <c r="A1" s="528" t="s">
        <v>156</v>
      </c>
      <c r="B1" s="528"/>
      <c r="C1" s="528"/>
      <c r="D1" s="528"/>
      <c r="E1" s="528"/>
      <c r="F1" s="529"/>
    </row>
    <row r="2" spans="1:6" s="530" customFormat="1" ht="16.5" x14ac:dyDescent="0.3">
      <c r="A2" s="531" t="s">
        <v>0</v>
      </c>
      <c r="B2" s="532" t="s">
        <v>157</v>
      </c>
      <c r="C2" s="529"/>
      <c r="D2" s="529"/>
      <c r="E2" s="529"/>
      <c r="F2" s="529"/>
    </row>
    <row r="3" spans="1:6" s="530" customFormat="1" ht="16.5" x14ac:dyDescent="0.3">
      <c r="A3" s="533" t="s">
        <v>136</v>
      </c>
      <c r="B3" s="533"/>
      <c r="C3" s="529"/>
      <c r="D3" s="534"/>
      <c r="E3" s="535"/>
      <c r="F3" s="529"/>
    </row>
    <row r="4" spans="1:6" s="530" customFormat="1" ht="16.5" x14ac:dyDescent="0.3">
      <c r="A4" s="536" t="s">
        <v>1</v>
      </c>
      <c r="B4" s="533" t="s">
        <v>120</v>
      </c>
      <c r="C4" s="535"/>
      <c r="D4" s="535"/>
      <c r="E4" s="535"/>
      <c r="F4" s="529"/>
    </row>
    <row r="5" spans="1:6" s="530" customFormat="1" ht="16.5" x14ac:dyDescent="0.3">
      <c r="A5" s="536" t="s">
        <v>3</v>
      </c>
      <c r="B5" s="537">
        <v>99.3</v>
      </c>
      <c r="C5" s="535"/>
      <c r="D5" s="535"/>
      <c r="E5" s="535"/>
      <c r="F5" s="529"/>
    </row>
    <row r="6" spans="1:6" s="530" customFormat="1" ht="16.5" x14ac:dyDescent="0.3">
      <c r="A6" s="533" t="s">
        <v>137</v>
      </c>
      <c r="B6" s="537">
        <v>16.079999999999998</v>
      </c>
      <c r="C6" s="535"/>
      <c r="D6" s="535"/>
      <c r="E6" s="535"/>
      <c r="F6" s="529"/>
    </row>
    <row r="7" spans="1:6" s="530" customFormat="1" ht="16.5" x14ac:dyDescent="0.3">
      <c r="A7" s="533" t="s">
        <v>138</v>
      </c>
      <c r="B7" s="538">
        <f>B6/50</f>
        <v>0.32159999999999994</v>
      </c>
      <c r="C7" s="535"/>
      <c r="D7" s="535"/>
      <c r="E7" s="535"/>
      <c r="F7" s="529"/>
    </row>
    <row r="8" spans="1:6" s="530" customFormat="1" ht="16.5" x14ac:dyDescent="0.3">
      <c r="A8" s="539" t="s">
        <v>139</v>
      </c>
      <c r="B8" s="540" t="s">
        <v>140</v>
      </c>
      <c r="C8" s="539" t="s">
        <v>141</v>
      </c>
      <c r="D8" s="539" t="s">
        <v>142</v>
      </c>
      <c r="E8" s="539" t="s">
        <v>143</v>
      </c>
      <c r="F8" s="529"/>
    </row>
    <row r="9" spans="1:6" s="530" customFormat="1" ht="16.5" x14ac:dyDescent="0.3">
      <c r="A9" s="541">
        <v>1</v>
      </c>
      <c r="B9" s="542">
        <v>39824625</v>
      </c>
      <c r="C9" s="542">
        <v>3290</v>
      </c>
      <c r="D9" s="543">
        <v>0.94</v>
      </c>
      <c r="E9" s="544">
        <v>4.12</v>
      </c>
      <c r="F9" s="529"/>
    </row>
    <row r="10" spans="1:6" s="530" customFormat="1" ht="16.5" x14ac:dyDescent="0.3">
      <c r="A10" s="541">
        <v>2</v>
      </c>
      <c r="B10" s="542">
        <v>39798905</v>
      </c>
      <c r="C10" s="542">
        <v>3346</v>
      </c>
      <c r="D10" s="543">
        <v>0.95</v>
      </c>
      <c r="E10" s="543">
        <v>4.12</v>
      </c>
      <c r="F10" s="529"/>
    </row>
    <row r="11" spans="1:6" s="530" customFormat="1" ht="16.5" x14ac:dyDescent="0.3">
      <c r="A11" s="541">
        <v>3</v>
      </c>
      <c r="B11" s="542">
        <v>39787043</v>
      </c>
      <c r="C11" s="542">
        <v>3352</v>
      </c>
      <c r="D11" s="543">
        <v>0.94</v>
      </c>
      <c r="E11" s="543">
        <v>4.12</v>
      </c>
      <c r="F11" s="529"/>
    </row>
    <row r="12" spans="1:6" s="530" customFormat="1" ht="16.5" x14ac:dyDescent="0.3">
      <c r="A12" s="541">
        <v>4</v>
      </c>
      <c r="B12" s="542">
        <v>39787614</v>
      </c>
      <c r="C12" s="542">
        <v>3327</v>
      </c>
      <c r="D12" s="543">
        <v>0.94</v>
      </c>
      <c r="E12" s="543">
        <v>4.12</v>
      </c>
      <c r="F12" s="529"/>
    </row>
    <row r="13" spans="1:6" s="530" customFormat="1" ht="16.5" x14ac:dyDescent="0.3">
      <c r="A13" s="541">
        <v>5</v>
      </c>
      <c r="B13" s="542">
        <v>39780857</v>
      </c>
      <c r="C13" s="542">
        <v>3360</v>
      </c>
      <c r="D13" s="543">
        <v>0.94</v>
      </c>
      <c r="E13" s="543">
        <v>4.12</v>
      </c>
      <c r="F13" s="529"/>
    </row>
    <row r="14" spans="1:6" s="530" customFormat="1" ht="16.5" x14ac:dyDescent="0.3">
      <c r="A14" s="541">
        <v>6</v>
      </c>
      <c r="B14" s="545">
        <v>39650703</v>
      </c>
      <c r="C14" s="545">
        <v>3352</v>
      </c>
      <c r="D14" s="546">
        <v>0.96</v>
      </c>
      <c r="E14" s="546">
        <v>4.12</v>
      </c>
      <c r="F14" s="529"/>
    </row>
    <row r="15" spans="1:6" s="530" customFormat="1" ht="16.5" x14ac:dyDescent="0.3">
      <c r="A15" s="547" t="s">
        <v>144</v>
      </c>
      <c r="B15" s="548">
        <f>AVERAGE(B9:B14)</f>
        <v>39771624.5</v>
      </c>
      <c r="C15" s="549">
        <f>AVERAGE(C9:C14)</f>
        <v>3337.8333333333335</v>
      </c>
      <c r="D15" s="550">
        <f>AVERAGE(D9:D14)</f>
        <v>0.94499999999999995</v>
      </c>
      <c r="E15" s="550">
        <f>AVERAGE(E9:E14)</f>
        <v>4.12</v>
      </c>
      <c r="F15" s="529"/>
    </row>
    <row r="16" spans="1:6" s="530" customFormat="1" ht="16.5" x14ac:dyDescent="0.3">
      <c r="A16" s="551" t="s">
        <v>145</v>
      </c>
      <c r="B16" s="552">
        <f>(STDEV(B9:B14)/B15)</f>
        <v>1.5398829496750281E-3</v>
      </c>
      <c r="C16" s="553"/>
      <c r="D16" s="553"/>
      <c r="E16" s="554"/>
      <c r="F16" s="529"/>
    </row>
    <row r="17" spans="1:6" s="529" customFormat="1" ht="16.5" x14ac:dyDescent="0.3">
      <c r="A17" s="555" t="s">
        <v>7</v>
      </c>
      <c r="B17" s="556">
        <f>COUNT(B9:B14)</f>
        <v>6</v>
      </c>
      <c r="C17" s="557"/>
      <c r="D17" s="558"/>
      <c r="E17" s="559"/>
    </row>
    <row r="18" spans="1:6" s="529" customFormat="1" ht="16.5" x14ac:dyDescent="0.3">
      <c r="A18" s="536" t="s">
        <v>146</v>
      </c>
      <c r="B18" s="560" t="s">
        <v>147</v>
      </c>
      <c r="C18" s="561"/>
      <c r="D18" s="561"/>
      <c r="E18" s="561"/>
    </row>
    <row r="19" spans="1:6" s="530" customFormat="1" ht="16.5" x14ac:dyDescent="0.3">
      <c r="A19" s="536"/>
      <c r="B19" s="560" t="s">
        <v>148</v>
      </c>
      <c r="C19" s="561"/>
      <c r="D19" s="561"/>
      <c r="E19" s="561"/>
      <c r="F19" s="529"/>
    </row>
    <row r="20" spans="1:6" s="530" customFormat="1" ht="16.5" x14ac:dyDescent="0.3">
      <c r="A20" s="536"/>
      <c r="B20" s="560" t="s">
        <v>149</v>
      </c>
      <c r="C20" s="561"/>
      <c r="D20" s="561"/>
      <c r="E20" s="561"/>
      <c r="F20" s="529"/>
    </row>
    <row r="21" spans="1:6" s="530" customFormat="1" ht="15.75" x14ac:dyDescent="0.25">
      <c r="A21" s="535" t="s">
        <v>150</v>
      </c>
      <c r="B21" s="535"/>
      <c r="C21" s="535"/>
      <c r="D21" s="535"/>
      <c r="E21" s="535"/>
      <c r="F21" s="529"/>
    </row>
    <row r="22" spans="1:6" s="530" customFormat="1" ht="16.5" x14ac:dyDescent="0.3">
      <c r="A22" s="531" t="s">
        <v>0</v>
      </c>
      <c r="B22" s="532" t="s">
        <v>158</v>
      </c>
      <c r="C22" s="529"/>
      <c r="D22" s="529"/>
      <c r="E22" s="529"/>
      <c r="F22" s="529"/>
    </row>
    <row r="23" spans="1:6" s="530" customFormat="1" ht="16.5" x14ac:dyDescent="0.3">
      <c r="A23" s="536" t="s">
        <v>1</v>
      </c>
      <c r="B23" s="533" t="s">
        <v>125</v>
      </c>
      <c r="C23" s="535"/>
      <c r="D23" s="535"/>
      <c r="E23" s="535"/>
      <c r="F23" s="529"/>
    </row>
    <row r="24" spans="1:6" s="530" customFormat="1" ht="16.5" x14ac:dyDescent="0.3">
      <c r="A24" s="536" t="s">
        <v>3</v>
      </c>
      <c r="B24" s="537">
        <v>99.3</v>
      </c>
      <c r="C24" s="535"/>
      <c r="D24" s="535"/>
      <c r="E24" s="535"/>
      <c r="F24" s="529"/>
    </row>
    <row r="25" spans="1:6" s="530" customFormat="1" ht="16.5" x14ac:dyDescent="0.3">
      <c r="A25" s="533" t="s">
        <v>137</v>
      </c>
      <c r="B25" s="537">
        <v>11.77</v>
      </c>
      <c r="C25" s="535"/>
      <c r="D25" s="535"/>
      <c r="E25" s="535"/>
      <c r="F25" s="529"/>
    </row>
    <row r="26" spans="1:6" s="530" customFormat="1" ht="16.5" x14ac:dyDescent="0.3">
      <c r="A26" s="533" t="s">
        <v>138</v>
      </c>
      <c r="B26" s="538">
        <f>B25/100</f>
        <v>0.1177</v>
      </c>
      <c r="C26" s="535"/>
      <c r="D26" s="535"/>
      <c r="E26" s="535"/>
      <c r="F26" s="529"/>
    </row>
    <row r="27" spans="1:6" s="530" customFormat="1" ht="16.5" x14ac:dyDescent="0.3">
      <c r="A27" s="539" t="s">
        <v>139</v>
      </c>
      <c r="B27" s="540" t="s">
        <v>140</v>
      </c>
      <c r="C27" s="539" t="s">
        <v>141</v>
      </c>
      <c r="D27" s="539" t="s">
        <v>142</v>
      </c>
      <c r="E27" s="539" t="s">
        <v>143</v>
      </c>
      <c r="F27" s="529"/>
    </row>
    <row r="28" spans="1:6" s="530" customFormat="1" ht="16.5" x14ac:dyDescent="0.3">
      <c r="A28" s="541">
        <v>1</v>
      </c>
      <c r="B28" s="542">
        <v>53214981</v>
      </c>
      <c r="C28" s="542">
        <v>7469</v>
      </c>
      <c r="D28" s="543">
        <v>1.04</v>
      </c>
      <c r="E28" s="544">
        <v>7.07</v>
      </c>
      <c r="F28" s="529"/>
    </row>
    <row r="29" spans="1:6" s="530" customFormat="1" ht="16.5" x14ac:dyDescent="0.3">
      <c r="A29" s="541">
        <v>2</v>
      </c>
      <c r="B29" s="542">
        <v>53209643</v>
      </c>
      <c r="C29" s="542">
        <v>7483</v>
      </c>
      <c r="D29" s="543">
        <v>1.06</v>
      </c>
      <c r="E29" s="543">
        <v>7.05</v>
      </c>
      <c r="F29" s="529"/>
    </row>
    <row r="30" spans="1:6" s="530" customFormat="1" ht="16.5" x14ac:dyDescent="0.3">
      <c r="A30" s="541">
        <v>3</v>
      </c>
      <c r="B30" s="542">
        <v>53432706</v>
      </c>
      <c r="C30" s="542">
        <v>7493</v>
      </c>
      <c r="D30" s="543">
        <v>1.06</v>
      </c>
      <c r="E30" s="543">
        <v>7.07</v>
      </c>
      <c r="F30" s="529"/>
    </row>
    <row r="31" spans="1:6" s="530" customFormat="1" ht="16.5" x14ac:dyDescent="0.3">
      <c r="A31" s="541">
        <v>4</v>
      </c>
      <c r="B31" s="542">
        <v>53133704</v>
      </c>
      <c r="C31" s="542">
        <v>7454</v>
      </c>
      <c r="D31" s="543">
        <v>1.05</v>
      </c>
      <c r="E31" s="543">
        <v>7.08</v>
      </c>
      <c r="F31" s="529"/>
    </row>
    <row r="32" spans="1:6" s="530" customFormat="1" ht="16.5" x14ac:dyDescent="0.3">
      <c r="A32" s="541">
        <v>5</v>
      </c>
      <c r="B32" s="542">
        <v>53035333</v>
      </c>
      <c r="C32" s="542">
        <v>7425</v>
      </c>
      <c r="D32" s="543">
        <v>1.05</v>
      </c>
      <c r="E32" s="543">
        <v>7.07</v>
      </c>
      <c r="F32" s="529"/>
    </row>
    <row r="33" spans="1:7" ht="16.5" customHeight="1" x14ac:dyDescent="0.3">
      <c r="A33" s="541">
        <v>6</v>
      </c>
      <c r="B33" s="545">
        <v>53377391</v>
      </c>
      <c r="C33" s="545">
        <v>7393</v>
      </c>
      <c r="D33" s="546">
        <v>1.05</v>
      </c>
      <c r="E33" s="546">
        <v>7.08</v>
      </c>
    </row>
    <row r="34" spans="1:7" ht="16.5" customHeight="1" x14ac:dyDescent="0.3">
      <c r="A34" s="547" t="s">
        <v>144</v>
      </c>
      <c r="B34" s="548">
        <f>AVERAGE(B28:B33)</f>
        <v>53233959.666666664</v>
      </c>
      <c r="C34" s="549">
        <f>AVERAGE(C28:C33)</f>
        <v>7452.833333333333</v>
      </c>
      <c r="D34" s="550">
        <f>AVERAGE(D28:D33)</f>
        <v>1.0516666666666665</v>
      </c>
      <c r="E34" s="550">
        <f>AVERAGE(E28:E33)</f>
        <v>7.07</v>
      </c>
    </row>
    <row r="35" spans="1:7" ht="16.5" customHeight="1" x14ac:dyDescent="0.3">
      <c r="A35" s="551" t="s">
        <v>145</v>
      </c>
      <c r="B35" s="552">
        <f>(STDEV(B28:B33)/B34)</f>
        <v>2.7929436522954793E-3</v>
      </c>
      <c r="C35" s="553"/>
      <c r="D35" s="553"/>
      <c r="E35" s="554"/>
    </row>
    <row r="36" spans="1:7" s="529" customFormat="1" ht="16.5" customHeight="1" x14ac:dyDescent="0.3">
      <c r="A36" s="555" t="s">
        <v>7</v>
      </c>
      <c r="B36" s="556">
        <f>COUNT(B28:B33)</f>
        <v>6</v>
      </c>
      <c r="C36" s="557"/>
      <c r="D36" s="558"/>
      <c r="E36" s="559"/>
    </row>
    <row r="37" spans="1:7" s="529" customFormat="1" ht="16.5" customHeight="1" x14ac:dyDescent="0.3">
      <c r="A37" s="536" t="s">
        <v>146</v>
      </c>
      <c r="B37" s="560" t="s">
        <v>147</v>
      </c>
      <c r="C37" s="561"/>
      <c r="D37" s="561"/>
      <c r="E37" s="561"/>
    </row>
    <row r="38" spans="1:7" ht="16.5" customHeight="1" x14ac:dyDescent="0.3">
      <c r="A38" s="536"/>
      <c r="B38" s="560" t="s">
        <v>148</v>
      </c>
      <c r="C38" s="561"/>
      <c r="D38" s="561"/>
      <c r="E38" s="561"/>
    </row>
    <row r="39" spans="1:7" ht="16.5" customHeight="1" x14ac:dyDescent="0.3">
      <c r="A39" s="536"/>
      <c r="B39" s="560" t="s">
        <v>149</v>
      </c>
      <c r="C39" s="561"/>
      <c r="D39" s="561"/>
      <c r="E39" s="561"/>
    </row>
    <row r="40" spans="1:7" ht="16.5" customHeight="1" x14ac:dyDescent="0.3">
      <c r="A40" s="536" t="s">
        <v>150</v>
      </c>
      <c r="C40" s="561"/>
      <c r="D40" s="561"/>
      <c r="E40" s="561"/>
    </row>
    <row r="41" spans="1:7" ht="14.25" customHeight="1" thickBot="1" x14ac:dyDescent="0.35">
      <c r="A41" s="536"/>
      <c r="B41" s="560"/>
      <c r="C41" s="561"/>
      <c r="D41" s="561"/>
      <c r="E41" s="561"/>
    </row>
    <row r="42" spans="1:7" ht="15" customHeight="1" x14ac:dyDescent="0.3">
      <c r="B42" s="562" t="s">
        <v>8</v>
      </c>
      <c r="C42" s="562"/>
      <c r="E42" s="563" t="s">
        <v>9</v>
      </c>
      <c r="F42" s="564"/>
      <c r="G42" s="563" t="s">
        <v>10</v>
      </c>
    </row>
    <row r="43" spans="1:7" ht="15" customHeight="1" x14ac:dyDescent="0.3">
      <c r="A43" s="565" t="s">
        <v>11</v>
      </c>
      <c r="B43" s="566"/>
      <c r="C43" s="566"/>
      <c r="E43" s="566"/>
      <c r="G43" s="566"/>
    </row>
    <row r="44" spans="1:7" ht="15" customHeight="1" x14ac:dyDescent="0.3">
      <c r="A44" s="565" t="s">
        <v>12</v>
      </c>
      <c r="B44" s="567"/>
      <c r="C44" s="567"/>
      <c r="E44" s="567"/>
      <c r="G44" s="568"/>
    </row>
  </sheetData>
  <mergeCells count="2">
    <mergeCell ref="A1:E1"/>
    <mergeCell ref="B42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SST</vt:lpstr>
      <vt:lpstr>ritonavir</vt:lpstr>
      <vt:lpstr>Uniformity</vt:lpstr>
      <vt:lpstr>atazanavir S2</vt:lpstr>
      <vt:lpstr>RITONAVIR 2</vt:lpstr>
      <vt:lpstr>ATAZANAVIR 2</vt:lpstr>
      <vt:lpstr>SST 2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2016-04-08T08:32:53Z</dcterms:modified>
</cp:coreProperties>
</file>