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tdf" sheetId="10" r:id="rId1"/>
    <sheet name="Uniformity  " sheetId="11" r:id="rId2"/>
    <sheet name="Tenofovir" sheetId="3" r:id="rId3"/>
  </sheets>
  <definedNames>
    <definedName name="_xlnm.Print_Area" localSheetId="2">Tenofovir!$A$1:$I$125</definedName>
    <definedName name="_xlnm.Print_Area" localSheetId="1">'Uniformity  '!$A$1:$N$54</definedName>
  </definedNames>
  <calcPr calcId="145621"/>
</workbook>
</file>

<file path=xl/calcChain.xml><?xml version="1.0" encoding="utf-8"?>
<calcChain xmlns="http://schemas.openxmlformats.org/spreadsheetml/2006/main">
  <c r="B57" i="3" l="1"/>
  <c r="C46" i="11"/>
  <c r="C49" i="11" s="1"/>
  <c r="C45" i="11"/>
  <c r="C19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B80" i="3"/>
  <c r="D25" i="11" l="1"/>
  <c r="D33" i="11"/>
  <c r="D41" i="11"/>
  <c r="D28" i="11"/>
  <c r="D36" i="11"/>
  <c r="D29" i="11"/>
  <c r="D37" i="11"/>
  <c r="D24" i="11"/>
  <c r="D32" i="11"/>
  <c r="D40" i="11"/>
  <c r="D49" i="11"/>
  <c r="C50" i="11"/>
  <c r="D26" i="11"/>
  <c r="D30" i="11"/>
  <c r="D34" i="11"/>
  <c r="D38" i="11"/>
  <c r="D42" i="11"/>
  <c r="B49" i="11"/>
  <c r="D50" i="11"/>
  <c r="D27" i="11"/>
  <c r="D31" i="11"/>
  <c r="D35" i="11"/>
  <c r="D39" i="11"/>
  <c r="D43" i="11"/>
  <c r="J94" i="3" l="1"/>
  <c r="C120" i="3" l="1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3" l="1"/>
  <c r="D101" i="3"/>
  <c r="D102" i="3" s="1"/>
  <c r="I39" i="3"/>
  <c r="D49" i="3"/>
  <c r="F44" i="3"/>
  <c r="F45" i="3" s="1"/>
  <c r="G40" i="3" s="1"/>
  <c r="D45" i="3"/>
  <c r="E38" i="3" s="1"/>
  <c r="F98" i="3"/>
  <c r="F99" i="3" s="1"/>
  <c r="B69" i="3"/>
  <c r="D97" i="3"/>
  <c r="D98" i="3" s="1"/>
  <c r="D99" i="3" s="1"/>
  <c r="G41" i="3" l="1"/>
  <c r="E41" i="3"/>
  <c r="D46" i="3"/>
  <c r="E39" i="3"/>
  <c r="E40" i="3"/>
  <c r="F46" i="3"/>
  <c r="G39" i="3"/>
  <c r="G38" i="3"/>
  <c r="E94" i="3"/>
  <c r="E93" i="3"/>
  <c r="E91" i="3"/>
  <c r="E92" i="3"/>
  <c r="G94" i="3"/>
  <c r="G93" i="3"/>
  <c r="G92" i="3"/>
  <c r="G91" i="3"/>
  <c r="G95" i="3" l="1"/>
  <c r="E42" i="3"/>
  <c r="G42" i="3"/>
  <c r="D52" i="3"/>
  <c r="D50" i="3"/>
  <c r="G68" i="3" s="1"/>
  <c r="H68" i="3" s="1"/>
  <c r="D51" i="3"/>
  <c r="E95" i="3"/>
  <c r="D105" i="3"/>
  <c r="D103" i="3"/>
  <c r="G63" i="3" l="1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<sst xmlns="http://schemas.openxmlformats.org/spreadsheetml/2006/main" count="233" uniqueCount="131">
  <si>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</si>
  <si>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</si>
  <si>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</si>
  <si>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</si>
  <si>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</si>
  <si>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</si>
  <si>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</si>
  <si>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</si>
  <si>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</si>
  <si>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</si>
  <si>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</si>
  <si>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</si>
  <si>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</si>
  <si>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</si>
  <si>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</si>
  <si>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</si>
  <si>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</si>
  <si>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</si>
  <si>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</si>
  <si>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</si>
  <si>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</si>
  <si>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</si>
  <si>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</si>
  <si>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</si>
  <si>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</si>
  <si>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</si>
  <si>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</si>
  <si>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</si>
  <si>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</si>
  <si>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</si>
  <si>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</si>
  <si>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</si>
  <si>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</si>
  <si>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</si>
  <si>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</si>
  <si>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</si>
  <si>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</si>
  <si>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</si>
  <si>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</si>
  <si>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</si>
  <si>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</si>
  <si>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</si>
  <si>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</si>
  <si>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</si>
  <si>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</si>
  <si>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</si>
  <si>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</si>
  <si>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</si>
  <si>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</si>
  <si>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</si>
  <si>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</si>
  <si>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</si>
  <si>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</si>
  <si>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</si>
  <si>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</si>
  <si>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</si>
  <si>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</si>
  <si>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</si>
  <si>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</si>
  <si>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</si>
  <si>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</si>
  <si>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</si>
  <si>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</si>
  <si>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</si>
  <si>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</si>
  <si>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</si>
  <si>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</si>
  <si>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</si>
  <si>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</si>
  <si>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</si>
  <si>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</si>
  <si>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</si>
  <si>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</si>
  <si>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</si>
  <si>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</si>
  <si>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</si>
  <si>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</si>
  <si>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</si>
  <si>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</si>
  <si>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</si>
  <si>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</si>
  <si>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</si>
  <si>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</si>
  <si>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</si>
  <si>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</si>
  <si>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</si>
  <si>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</si>
  <si>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</si>
  <si>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</si>
  <si>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</si>
  <si>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</si>
  <si>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</si>
  <si>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</si>
  <si>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</si>
  <si>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</si>
  <si>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</si>
  <si>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</si>
  <si>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</si>
  <si>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</si>
  <si>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</si>
  <si>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</si>
  <si>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</si>
  <si>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</si>
  <si>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</si>
  <si>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</si>
  <si>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</si>
  <si>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</si>
  <si>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</si>
  <si>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</si>
  <si>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</si>
  <si>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</si>
  <si>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</si>
  <si>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</si>
  <si>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</si>
  <si>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</si>
  <si>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</si>
  <si>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</si>
  <si>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2016-01-27 14:21:54</t>
  </si>
  <si>
    <t xml:space="preserve">TENOFOVIR LAMIVUDINE EFAVIRENZ </t>
  </si>
  <si>
    <t>Tenofovir disoproxil fumarate</t>
  </si>
  <si>
    <t>T11 7</t>
  </si>
  <si>
    <t>TENOFOVIR 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</si>
  <si>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</si>
  <si>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</si>
  <si>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</si>
  <si>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</si>
  <si>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TENOFOVIR DISOPROXIL FUMARATE</t>
  </si>
  <si>
    <t>NDQB201601713</t>
  </si>
  <si>
    <t>Tenofovir Disoproxil Fumarate 300mg</t>
  </si>
  <si>
    <t>Each film-coated tablet contains  Tenofovir Disoproxil Fumarate 300mg equivalent to tenofovir disoproxil 245mg</t>
  </si>
  <si>
    <t>Each tablet contains Tenofovir disoproxil fumarate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</si>
</sst>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7" fillId="2" borderId="0"/>
    <xf numFmtId="0" fontId="17" fillId="2" borderId="0"/>
    <xf numFmtId="0" fontId="17" fillId="2" borderId="0"/>
    <xf numFmtId="0" fontId="23" fillId="2" borderId="0"/>
    <xf numFmtId="0" fontId="23" fillId="2" borderId="0"/>
    <xf numFmtId="0" fontId="23" fillId="2" borderId="0"/>
  </cellStyleXfs>
  <cellXfs count="337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1" fontId="4" fillId="2" borderId="31" xfId="0" applyNumberFormat="1" applyFont="1" applyFill="1" applyBorder="1" applyAlignment="1">
      <alignment horizontal="center"/>
    </xf>
    <xf numFmtId="171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1" fontId="4" fillId="2" borderId="35" xfId="0" applyNumberFormat="1" applyFont="1" applyFill="1" applyBorder="1" applyAlignment="1">
      <alignment horizontal="center"/>
    </xf>
    <xf numFmtId="171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1" fontId="5" fillId="6" borderId="38" xfId="0" applyNumberFormat="1" applyFont="1" applyFill="1" applyBorder="1" applyAlignment="1">
      <alignment horizontal="center"/>
    </xf>
    <xf numFmtId="171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1" fontId="5" fillId="7" borderId="13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10" fontId="4" fillId="2" borderId="14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10" fontId="4" fillId="2" borderId="22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10" fontId="6" fillId="7" borderId="33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1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1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1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1" fontId="6" fillId="3" borderId="31" xfId="0" applyNumberFormat="1" applyFont="1" applyFill="1" applyBorder="1" applyAlignment="1" applyProtection="1">
      <alignment horizontal="center"/>
      <protection locked="0"/>
    </xf>
    <xf numFmtId="10" fontId="4" fillId="2" borderId="30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1" fontId="6" fillId="3" borderId="35" xfId="0" applyNumberFormat="1" applyFont="1" applyFill="1" applyBorder="1" applyAlignment="1" applyProtection="1">
      <alignment horizontal="center"/>
      <protection locked="0"/>
    </xf>
    <xf numFmtId="10" fontId="4" fillId="2" borderId="36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7" borderId="27" xfId="0" applyNumberFormat="1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4" fillId="2" borderId="56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7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2" fontId="6" fillId="7" borderId="27" xfId="0" applyNumberFormat="1" applyFont="1" applyFill="1" applyBorder="1" applyAlignment="1">
      <alignment horizontal="center"/>
    </xf>
    <xf numFmtId="0" fontId="7" fillId="2" borderId="0" xfId="0" applyFont="1" applyFill="1"/>
    <xf numFmtId="0" fontId="6" fillId="3" borderId="29" xfId="0" applyFont="1" applyFill="1" applyBorder="1" applyAlignment="1" applyProtection="1">
      <alignment horizontal="center"/>
      <protection locked="0"/>
    </xf>
    <xf numFmtId="0" fontId="6" fillId="3" borderId="23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24" fillId="2" borderId="0" xfId="4" applyFont="1" applyFill="1"/>
    <xf numFmtId="0" fontId="25" fillId="2" borderId="0" xfId="4" applyFont="1" applyFill="1"/>
    <xf numFmtId="0" fontId="25" fillId="2" borderId="0" xfId="4" applyFont="1" applyFill="1" applyAlignment="1">
      <alignment horizontal="right"/>
    </xf>
    <xf numFmtId="0" fontId="27" fillId="2" borderId="0" xfId="4" applyFont="1" applyFill="1"/>
    <xf numFmtId="0" fontId="27" fillId="2" borderId="0" xfId="4" applyFont="1" applyFill="1" applyAlignment="1">
      <alignment horizontal="left"/>
    </xf>
    <xf numFmtId="0" fontId="18" fillId="2" borderId="0" xfId="4" applyFont="1" applyFill="1" applyAlignment="1">
      <alignment horizontal="left"/>
    </xf>
    <xf numFmtId="0" fontId="18" fillId="2" borderId="0" xfId="4" applyFont="1" applyFill="1" applyAlignment="1">
      <alignment horizontal="center"/>
    </xf>
    <xf numFmtId="0" fontId="19" fillId="2" borderId="0" xfId="4" applyFont="1" applyFill="1"/>
    <xf numFmtId="0" fontId="18" fillId="2" borderId="0" xfId="4" applyFont="1" applyFill="1"/>
    <xf numFmtId="2" fontId="18" fillId="2" borderId="0" xfId="4" applyNumberFormat="1" applyFont="1" applyFill="1" applyAlignment="1">
      <alignment horizontal="center"/>
    </xf>
    <xf numFmtId="164" fontId="18" fillId="2" borderId="0" xfId="4" applyNumberFormat="1" applyFont="1" applyFill="1" applyAlignment="1">
      <alignment horizontal="center"/>
    </xf>
    <xf numFmtId="0" fontId="18" fillId="2" borderId="1" xfId="4" applyFont="1" applyFill="1" applyBorder="1" applyAlignment="1">
      <alignment horizontal="center"/>
    </xf>
    <xf numFmtId="0" fontId="18" fillId="2" borderId="2" xfId="4" applyFont="1" applyFill="1" applyBorder="1" applyAlignment="1">
      <alignment horizontal="center"/>
    </xf>
    <xf numFmtId="0" fontId="18" fillId="2" borderId="4" xfId="4" applyFont="1" applyFill="1" applyBorder="1" applyAlignment="1">
      <alignment horizontal="center"/>
    </xf>
    <xf numFmtId="0" fontId="19" fillId="2" borderId="3" xfId="4" applyFont="1" applyFill="1" applyBorder="1" applyAlignment="1">
      <alignment horizontal="center"/>
    </xf>
    <xf numFmtId="0" fontId="20" fillId="3" borderId="3" xfId="4" applyFont="1" applyFill="1" applyBorder="1" applyAlignment="1" applyProtection="1">
      <alignment horizontal="center"/>
      <protection locked="0"/>
    </xf>
    <xf numFmtId="2" fontId="20" fillId="3" borderId="31" xfId="4" applyNumberFormat="1" applyFont="1" applyFill="1" applyBorder="1" applyAlignment="1" applyProtection="1">
      <alignment horizontal="center"/>
      <protection locked="0"/>
    </xf>
    <xf numFmtId="2" fontId="20" fillId="3" borderId="59" xfId="4" applyNumberFormat="1" applyFont="1" applyFill="1" applyBorder="1" applyAlignment="1" applyProtection="1">
      <alignment horizontal="center"/>
      <protection locked="0"/>
    </xf>
    <xf numFmtId="2" fontId="20" fillId="3" borderId="60" xfId="4" applyNumberFormat="1" applyFont="1" applyFill="1" applyBorder="1" applyAlignment="1" applyProtection="1">
      <alignment horizontal="center"/>
      <protection locked="0"/>
    </xf>
    <xf numFmtId="0" fontId="20" fillId="3" borderId="5" xfId="4" applyFont="1" applyFill="1" applyBorder="1" applyAlignment="1" applyProtection="1">
      <alignment horizontal="center"/>
      <protection locked="0"/>
    </xf>
    <xf numFmtId="2" fontId="20" fillId="3" borderId="35" xfId="4" applyNumberFormat="1" applyFont="1" applyFill="1" applyBorder="1" applyAlignment="1" applyProtection="1">
      <alignment horizontal="center"/>
      <protection locked="0"/>
    </xf>
    <xf numFmtId="2" fontId="20" fillId="3" borderId="61" xfId="4" applyNumberFormat="1" applyFont="1" applyFill="1" applyBorder="1" applyAlignment="1" applyProtection="1">
      <alignment horizontal="center"/>
      <protection locked="0"/>
    </xf>
    <xf numFmtId="0" fontId="19" fillId="2" borderId="4" xfId="4" applyFont="1" applyFill="1" applyBorder="1"/>
    <xf numFmtId="1" fontId="18" fillId="4" borderId="2" xfId="4" applyNumberFormat="1" applyFont="1" applyFill="1" applyBorder="1" applyAlignment="1">
      <alignment horizontal="center"/>
    </xf>
    <xf numFmtId="1" fontId="18" fillId="4" borderId="1" xfId="4" applyNumberFormat="1" applyFont="1" applyFill="1" applyBorder="1" applyAlignment="1">
      <alignment horizontal="center"/>
    </xf>
    <xf numFmtId="2" fontId="18" fillId="4" borderId="1" xfId="4" applyNumberFormat="1" applyFont="1" applyFill="1" applyBorder="1" applyAlignment="1">
      <alignment horizontal="center"/>
    </xf>
    <xf numFmtId="2" fontId="18" fillId="4" borderId="5" xfId="4" applyNumberFormat="1" applyFont="1" applyFill="1" applyBorder="1" applyAlignment="1">
      <alignment horizontal="center"/>
    </xf>
    <xf numFmtId="0" fontId="19" fillId="2" borderId="3" xfId="4" applyFont="1" applyFill="1" applyBorder="1"/>
    <xf numFmtId="10" fontId="18" fillId="5" borderId="1" xfId="4" applyNumberFormat="1" applyFont="1" applyFill="1" applyBorder="1" applyAlignment="1">
      <alignment horizontal="center"/>
    </xf>
    <xf numFmtId="165" fontId="18" fillId="2" borderId="0" xfId="4" applyNumberFormat="1" applyFont="1" applyFill="1" applyAlignment="1">
      <alignment horizontal="center"/>
    </xf>
    <xf numFmtId="0" fontId="19" fillId="2" borderId="6" xfId="4" applyFont="1" applyFill="1" applyBorder="1"/>
    <xf numFmtId="0" fontId="19" fillId="2" borderId="5" xfId="4" applyFont="1" applyFill="1" applyBorder="1"/>
    <xf numFmtId="0" fontId="18" fillId="4" borderId="1" xfId="4" applyFont="1" applyFill="1" applyBorder="1" applyAlignment="1">
      <alignment horizontal="center"/>
    </xf>
    <xf numFmtId="0" fontId="18" fillId="2" borderId="7" xfId="4" applyFont="1" applyFill="1" applyBorder="1" applyAlignment="1">
      <alignment horizontal="center"/>
    </xf>
    <xf numFmtId="0" fontId="19" fillId="2" borderId="7" xfId="4" applyFont="1" applyFill="1" applyBorder="1"/>
    <xf numFmtId="0" fontId="19" fillId="2" borderId="8" xfId="4" applyFont="1" applyFill="1" applyBorder="1"/>
    <xf numFmtId="0" fontId="19" fillId="2" borderId="0" xfId="4" applyFont="1" applyFill="1" applyAlignment="1" applyProtection="1">
      <alignment horizontal="left"/>
      <protection locked="0"/>
    </xf>
    <xf numFmtId="0" fontId="19" fillId="2" borderId="0" xfId="4" applyFont="1" applyFill="1" applyProtection="1">
      <protection locked="0"/>
    </xf>
    <xf numFmtId="2" fontId="20" fillId="3" borderId="3" xfId="4" applyNumberFormat="1" applyFont="1" applyFill="1" applyBorder="1" applyAlignment="1" applyProtection="1">
      <alignment horizontal="center"/>
      <protection locked="0"/>
    </xf>
    <xf numFmtId="2" fontId="20" fillId="3" borderId="4" xfId="4" applyNumberFormat="1" applyFont="1" applyFill="1" applyBorder="1" applyAlignment="1" applyProtection="1">
      <alignment horizontal="center"/>
      <protection locked="0"/>
    </xf>
    <xf numFmtId="2" fontId="20" fillId="3" borderId="5" xfId="4" applyNumberFormat="1" applyFont="1" applyFill="1" applyBorder="1" applyAlignment="1" applyProtection="1">
      <alignment horizontal="center"/>
      <protection locked="0"/>
    </xf>
    <xf numFmtId="0" fontId="25" fillId="2" borderId="9" xfId="4" applyFont="1" applyFill="1" applyBorder="1"/>
    <xf numFmtId="0" fontId="25" fillId="2" borderId="0" xfId="4" applyFont="1" applyFill="1" applyAlignment="1">
      <alignment horizontal="center"/>
    </xf>
    <xf numFmtId="10" fontId="25" fillId="2" borderId="9" xfId="4" applyNumberFormat="1" applyFont="1" applyFill="1" applyBorder="1"/>
    <xf numFmtId="0" fontId="23" fillId="2" borderId="0" xfId="4" applyFill="1"/>
    <xf numFmtId="0" fontId="24" fillId="2" borderId="10" xfId="4" applyFont="1" applyFill="1" applyBorder="1" applyAlignment="1">
      <alignment horizontal="center"/>
    </xf>
    <xf numFmtId="0" fontId="25" fillId="2" borderId="10" xfId="4" applyFont="1" applyFill="1" applyBorder="1" applyAlignment="1">
      <alignment horizontal="center"/>
    </xf>
    <xf numFmtId="0" fontId="24" fillId="2" borderId="0" xfId="4" applyFont="1" applyFill="1" applyAlignment="1">
      <alignment horizontal="right"/>
    </xf>
    <xf numFmtId="0" fontId="25" fillId="2" borderId="7" xfId="4" applyFont="1" applyFill="1" applyBorder="1"/>
    <xf numFmtId="0" fontId="24" fillId="2" borderId="11" xfId="4" applyFont="1" applyFill="1" applyBorder="1"/>
    <xf numFmtId="0" fontId="25" fillId="2" borderId="11" xfId="4" applyFont="1" applyFill="1" applyBorder="1"/>
    <xf numFmtId="0" fontId="24" fillId="2" borderId="0" xfId="6" applyFont="1" applyFill="1"/>
    <xf numFmtId="0" fontId="28" fillId="2" borderId="0" xfId="6" applyFont="1" applyFill="1" applyAlignment="1">
      <alignment wrapText="1"/>
    </xf>
    <xf numFmtId="0" fontId="27" fillId="2" borderId="0" xfId="6" applyFont="1" applyFill="1"/>
    <xf numFmtId="0" fontId="19" fillId="2" borderId="0" xfId="6" applyFont="1" applyFill="1"/>
    <xf numFmtId="167" fontId="19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right"/>
    </xf>
    <xf numFmtId="167" fontId="19" fillId="2" borderId="0" xfId="6" applyNumberFormat="1" applyFont="1" applyFill="1"/>
    <xf numFmtId="0" fontId="27" fillId="2" borderId="0" xfId="6" applyFont="1" applyFill="1" applyAlignment="1">
      <alignment horizontal="left"/>
    </xf>
    <xf numFmtId="0" fontId="29" fillId="2" borderId="0" xfId="6" applyFont="1" applyFill="1"/>
    <xf numFmtId="164" fontId="24" fillId="2" borderId="0" xfId="6" applyNumberFormat="1" applyFont="1" applyFill="1"/>
    <xf numFmtId="164" fontId="18" fillId="2" borderId="12" xfId="6" applyNumberFormat="1" applyFont="1" applyFill="1" applyBorder="1" applyAlignment="1">
      <alignment horizontal="center" wrapText="1"/>
    </xf>
    <xf numFmtId="0" fontId="18" fillId="2" borderId="12" xfId="6" applyFont="1" applyFill="1" applyBorder="1" applyAlignment="1">
      <alignment horizontal="center" wrapText="1"/>
    </xf>
    <xf numFmtId="0" fontId="25" fillId="2" borderId="0" xfId="6" applyFont="1" applyFill="1" applyAlignment="1">
      <alignment horizontal="center"/>
    </xf>
    <xf numFmtId="2" fontId="19" fillId="3" borderId="14" xfId="6" applyNumberFormat="1" applyFont="1" applyFill="1" applyBorder="1" applyProtection="1">
      <protection locked="0"/>
    </xf>
    <xf numFmtId="10" fontId="19" fillId="2" borderId="13" xfId="6" applyNumberFormat="1" applyFont="1" applyFill="1" applyBorder="1" applyAlignment="1">
      <alignment horizontal="center"/>
    </xf>
    <xf numFmtId="10" fontId="19" fillId="2" borderId="0" xfId="6" applyNumberFormat="1" applyFont="1" applyFill="1" applyAlignment="1">
      <alignment horizontal="center"/>
    </xf>
    <xf numFmtId="10" fontId="19" fillId="2" borderId="14" xfId="6" applyNumberFormat="1" applyFont="1" applyFill="1" applyBorder="1" applyAlignment="1">
      <alignment horizontal="center"/>
    </xf>
    <xf numFmtId="2" fontId="19" fillId="3" borderId="15" xfId="6" applyNumberFormat="1" applyFont="1" applyFill="1" applyBorder="1" applyProtection="1">
      <protection locked="0"/>
    </xf>
    <xf numFmtId="10" fontId="19" fillId="2" borderId="15" xfId="6" applyNumberFormat="1" applyFont="1" applyFill="1" applyBorder="1" applyAlignment="1">
      <alignment horizontal="center"/>
    </xf>
    <xf numFmtId="166" fontId="25" fillId="2" borderId="0" xfId="6" applyNumberFormat="1" applyFont="1" applyFill="1" applyAlignment="1">
      <alignment horizontal="center"/>
    </xf>
    <xf numFmtId="10" fontId="25" fillId="2" borderId="0" xfId="6" applyNumberFormat="1" applyFont="1" applyFill="1" applyAlignment="1">
      <alignment horizontal="center"/>
    </xf>
    <xf numFmtId="0" fontId="19" fillId="2" borderId="12" xfId="6" applyFont="1" applyFill="1" applyBorder="1" applyAlignment="1">
      <alignment horizontal="right" vertical="center"/>
    </xf>
    <xf numFmtId="166" fontId="19" fillId="2" borderId="12" xfId="6" applyNumberFormat="1" applyFont="1" applyFill="1" applyBorder="1" applyAlignment="1">
      <alignment horizontal="center" vertical="center"/>
    </xf>
    <xf numFmtId="166" fontId="19" fillId="2" borderId="0" xfId="6" applyNumberFormat="1" applyFont="1" applyFill="1" applyAlignment="1">
      <alignment horizontal="center"/>
    </xf>
    <xf numFmtId="164" fontId="18" fillId="2" borderId="12" xfId="6" applyNumberFormat="1" applyFont="1" applyFill="1" applyBorder="1" applyAlignment="1">
      <alignment horizontal="center" vertical="center"/>
    </xf>
    <xf numFmtId="2" fontId="30" fillId="2" borderId="0" xfId="6" applyNumberFormat="1" applyFont="1" applyFill="1" applyAlignment="1">
      <alignment horizontal="right"/>
    </xf>
    <xf numFmtId="2" fontId="18" fillId="2" borderId="0" xfId="6" applyNumberFormat="1" applyFont="1" applyFill="1"/>
    <xf numFmtId="2" fontId="30" fillId="2" borderId="0" xfId="6" applyNumberFormat="1" applyFont="1" applyFill="1"/>
    <xf numFmtId="0" fontId="18" fillId="2" borderId="12" xfId="6" applyFont="1" applyFill="1" applyBorder="1" applyAlignment="1">
      <alignment horizontal="center" vertical="center"/>
    </xf>
    <xf numFmtId="10" fontId="25" fillId="2" borderId="0" xfId="6" applyNumberFormat="1" applyFont="1" applyFill="1"/>
    <xf numFmtId="165" fontId="18" fillId="2" borderId="16" xfId="6" applyNumberFormat="1" applyFont="1" applyFill="1" applyBorder="1" applyAlignment="1">
      <alignment horizontal="center"/>
    </xf>
    <xf numFmtId="2" fontId="18" fillId="2" borderId="12" xfId="6" applyNumberFormat="1" applyFont="1" applyFill="1" applyBorder="1" applyAlignment="1">
      <alignment horizontal="center" vertical="center"/>
    </xf>
    <xf numFmtId="165" fontId="18" fillId="2" borderId="17" xfId="6" applyNumberFormat="1" applyFont="1" applyFill="1" applyBorder="1" applyAlignment="1">
      <alignment horizontal="center"/>
    </xf>
    <xf numFmtId="0" fontId="19" fillId="2" borderId="9" xfId="6" applyFont="1" applyFill="1" applyBorder="1"/>
    <xf numFmtId="0" fontId="19" fillId="2" borderId="0" xfId="6" applyFont="1" applyFill="1" applyAlignment="1">
      <alignment horizontal="center"/>
    </xf>
    <xf numFmtId="10" fontId="19" fillId="2" borderId="9" xfId="6" applyNumberFormat="1" applyFont="1" applyFill="1" applyBorder="1"/>
    <xf numFmtId="0" fontId="18" fillId="2" borderId="10" xfId="6" applyFont="1" applyFill="1" applyBorder="1"/>
    <xf numFmtId="0" fontId="18" fillId="2" borderId="1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/>
    </xf>
    <xf numFmtId="0" fontId="19" fillId="2" borderId="7" xfId="6" applyFont="1" applyFill="1" applyBorder="1"/>
    <xf numFmtId="0" fontId="18" fillId="2" borderId="11" xfId="6" applyFont="1" applyFill="1" applyBorder="1"/>
    <xf numFmtId="0" fontId="18" fillId="2" borderId="0" xfId="6" applyFont="1" applyFill="1"/>
    <xf numFmtId="0" fontId="19" fillId="2" borderId="11" xfId="6" applyFont="1" applyFill="1" applyBorder="1"/>
    <xf numFmtId="0" fontId="23" fillId="2" borderId="0" xfId="6" applyFill="1"/>
    <xf numFmtId="0" fontId="26" fillId="2" borderId="0" xfId="4" applyFont="1" applyFill="1" applyAlignment="1">
      <alignment horizontal="center"/>
    </xf>
    <xf numFmtId="0" fontId="18" fillId="3" borderId="0" xfId="4" applyFont="1" applyFill="1" applyAlignment="1" applyProtection="1">
      <alignment horizontal="left" wrapText="1"/>
      <protection locked="0"/>
    </xf>
    <xf numFmtId="0" fontId="24" fillId="2" borderId="10" xfId="4" applyFont="1" applyFill="1" applyBorder="1" applyAlignment="1">
      <alignment horizontal="center"/>
    </xf>
    <xf numFmtId="0" fontId="18" fillId="2" borderId="0" xfId="6" applyFont="1" applyFill="1" applyAlignment="1">
      <alignment horizontal="right"/>
    </xf>
    <xf numFmtId="0" fontId="27" fillId="2" borderId="0" xfId="6" applyFont="1" applyFill="1" applyAlignment="1">
      <alignment horizontal="center"/>
    </xf>
    <xf numFmtId="164" fontId="24" fillId="2" borderId="0" xfId="6" applyNumberFormat="1" applyFont="1" applyFill="1" applyAlignment="1">
      <alignment horizontal="center"/>
    </xf>
    <xf numFmtId="166" fontId="18" fillId="2" borderId="13" xfId="6" applyNumberFormat="1" applyFont="1" applyFill="1" applyBorder="1" applyAlignment="1">
      <alignment horizontal="center" vertical="center"/>
    </xf>
    <xf numFmtId="166" fontId="18" fillId="2" borderId="15" xfId="6" applyNumberFormat="1" applyFont="1" applyFill="1" applyBorder="1" applyAlignment="1">
      <alignment horizontal="center" vertical="center"/>
    </xf>
    <xf numFmtId="0" fontId="28" fillId="2" borderId="18" xfId="6" applyFont="1" applyFill="1" applyBorder="1" applyAlignment="1">
      <alignment horizontal="center" wrapText="1"/>
    </xf>
    <xf numFmtId="0" fontId="28" fillId="2" borderId="19" xfId="6" applyFont="1" applyFill="1" applyBorder="1" applyAlignment="1">
      <alignment horizontal="center" wrapText="1"/>
    </xf>
    <xf numFmtId="0" fontId="28" fillId="2" borderId="20" xfId="6" applyFont="1" applyFill="1" applyBorder="1" applyAlignment="1">
      <alignment horizontal="center" wrapText="1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5" fillId="2" borderId="9" xfId="0" applyFont="1" applyFill="1" applyBorder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5" fillId="2" borderId="40" xfId="0" applyFont="1" applyFill="1" applyBorder="1" applyAlignment="1">
      <alignment horizontal="center"/>
    </xf>
    <xf numFmtId="0" fontId="21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 wrapText="1"/>
      <protection locked="0"/>
    </xf>
    <xf numFmtId="0" fontId="22" fillId="3" borderId="0" xfId="0" applyFont="1" applyFill="1" applyAlignment="1" applyProtection="1">
      <alignment horizontal="left" wrapText="1"/>
      <protection locked="0"/>
    </xf>
  </cellXfs>
  <cellStyles count="7">
    <cellStyle name="Normal" xfId="0" builtinId="0"/>
    <cellStyle name="Normal 2" xfId="1"/>
    <cellStyle name="Normal 2 2" xfId="4"/>
    <cellStyle name="Normal 3" xfId="2"/>
    <cellStyle name="Normal 3 2" xfId="5"/>
    <cellStyle name="Normal 4" xfId="3"/>
    <cellStyle name="Normal 4 2" xfId="6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51" sqref="E51"/>
    </sheetView>
  </sheetViews>
  <sheetFormatPr defaultRowHeight="13.5" x14ac:dyDescent="0.25"/>
  <cols>
    <col min="1" max="1" width="27.5703125" style="191" customWidth="1"/>
    <col min="2" max="2" width="20.42578125" style="191" customWidth="1"/>
    <col min="3" max="3" width="31.85546875" style="191" customWidth="1"/>
    <col min="4" max="4" width="25.85546875" style="191" customWidth="1"/>
    <col min="5" max="5" width="25.7109375" style="191" customWidth="1"/>
    <col min="6" max="6" width="23.140625" style="191" customWidth="1"/>
    <col min="7" max="7" width="28.42578125" style="191" customWidth="1"/>
    <col min="8" max="8" width="21.5703125" style="191" customWidth="1"/>
    <col min="9" max="9" width="9.140625" style="191" customWidth="1"/>
    <col min="10" max="16384" width="9.140625" style="234"/>
  </cols>
  <sheetData>
    <row r="14" spans="1:6" ht="15" customHeight="1" x14ac:dyDescent="0.3">
      <c r="A14" s="190"/>
      <c r="C14" s="192"/>
      <c r="F14" s="192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193" t="s">
        <v>1</v>
      </c>
      <c r="B16" s="194" t="s">
        <v>2</v>
      </c>
    </row>
    <row r="17" spans="1:5" ht="16.5" customHeight="1" x14ac:dyDescent="0.3">
      <c r="A17" s="195" t="s">
        <v>3</v>
      </c>
      <c r="B17" s="286" t="s">
        <v>121</v>
      </c>
      <c r="C17" s="286"/>
      <c r="D17" s="196"/>
      <c r="E17" s="197"/>
    </row>
    <row r="18" spans="1:5" ht="16.5" customHeight="1" x14ac:dyDescent="0.3">
      <c r="A18" s="198" t="s">
        <v>4</v>
      </c>
      <c r="B18" s="197" t="s">
        <v>119</v>
      </c>
      <c r="C18" s="197"/>
      <c r="D18" s="197"/>
      <c r="E18" s="197"/>
    </row>
    <row r="19" spans="1:5" ht="16.5" customHeight="1" x14ac:dyDescent="0.3">
      <c r="A19" s="198" t="s">
        <v>5</v>
      </c>
      <c r="B19" s="199">
        <v>99.8</v>
      </c>
      <c r="C19" s="197"/>
      <c r="D19" s="197"/>
      <c r="E19" s="197"/>
    </row>
    <row r="20" spans="1:5" ht="16.5" customHeight="1" x14ac:dyDescent="0.3">
      <c r="A20" s="195" t="s">
        <v>6</v>
      </c>
      <c r="B20" s="199">
        <v>15.3</v>
      </c>
      <c r="C20" s="197"/>
      <c r="D20" s="197"/>
      <c r="E20" s="197"/>
    </row>
    <row r="21" spans="1:5" ht="16.5" customHeight="1" x14ac:dyDescent="0.3">
      <c r="A21" s="195" t="s">
        <v>7</v>
      </c>
      <c r="B21" s="200">
        <f>B20/50*10/25</f>
        <v>0.12240000000000001</v>
      </c>
      <c r="C21" s="197"/>
      <c r="D21" s="197"/>
      <c r="E21" s="197"/>
    </row>
    <row r="22" spans="1:5" ht="15.75" customHeight="1" x14ac:dyDescent="0.25">
      <c r="A22" s="197"/>
      <c r="B22" s="197"/>
      <c r="C22" s="197"/>
      <c r="D22" s="197"/>
      <c r="E22" s="197"/>
    </row>
    <row r="23" spans="1:5" ht="16.5" customHeight="1" x14ac:dyDescent="0.3">
      <c r="A23" s="201" t="s">
        <v>9</v>
      </c>
      <c r="B23" s="202" t="s">
        <v>10</v>
      </c>
      <c r="C23" s="201" t="s">
        <v>11</v>
      </c>
      <c r="D23" s="201" t="s">
        <v>12</v>
      </c>
      <c r="E23" s="203" t="s">
        <v>13</v>
      </c>
    </row>
    <row r="24" spans="1:5" ht="16.5" customHeight="1" x14ac:dyDescent="0.3">
      <c r="A24" s="204">
        <v>1</v>
      </c>
      <c r="B24" s="205">
        <v>24646209</v>
      </c>
      <c r="C24" s="205">
        <v>63084.25</v>
      </c>
      <c r="D24" s="206">
        <v>1.04</v>
      </c>
      <c r="E24" s="207">
        <v>15.93</v>
      </c>
    </row>
    <row r="25" spans="1:5" ht="16.5" customHeight="1" x14ac:dyDescent="0.3">
      <c r="A25" s="204">
        <v>2</v>
      </c>
      <c r="B25" s="205">
        <v>24655788</v>
      </c>
      <c r="C25" s="205">
        <v>62111.24</v>
      </c>
      <c r="D25" s="206">
        <v>1.03</v>
      </c>
      <c r="E25" s="208">
        <v>15.95</v>
      </c>
    </row>
    <row r="26" spans="1:5" ht="16.5" customHeight="1" x14ac:dyDescent="0.3">
      <c r="A26" s="204">
        <v>3</v>
      </c>
      <c r="B26" s="205">
        <v>24743587</v>
      </c>
      <c r="C26" s="205">
        <v>64971.83</v>
      </c>
      <c r="D26" s="206">
        <v>1.05</v>
      </c>
      <c r="E26" s="208">
        <v>15.92</v>
      </c>
    </row>
    <row r="27" spans="1:5" ht="16.5" customHeight="1" x14ac:dyDescent="0.3">
      <c r="A27" s="204">
        <v>4</v>
      </c>
      <c r="B27" s="205">
        <v>24584669</v>
      </c>
      <c r="C27" s="205">
        <v>62580.19</v>
      </c>
      <c r="D27" s="206">
        <v>1.03</v>
      </c>
      <c r="E27" s="208">
        <v>15.92</v>
      </c>
    </row>
    <row r="28" spans="1:5" ht="16.5" customHeight="1" x14ac:dyDescent="0.3">
      <c r="A28" s="204">
        <v>5</v>
      </c>
      <c r="B28" s="205">
        <v>24605861</v>
      </c>
      <c r="C28" s="205">
        <v>63756.62</v>
      </c>
      <c r="D28" s="206">
        <v>1.05</v>
      </c>
      <c r="E28" s="208">
        <v>15.92</v>
      </c>
    </row>
    <row r="29" spans="1:5" ht="16.5" customHeight="1" x14ac:dyDescent="0.3">
      <c r="A29" s="204">
        <v>6</v>
      </c>
      <c r="B29" s="209">
        <v>24654036</v>
      </c>
      <c r="C29" s="209">
        <v>65248.84</v>
      </c>
      <c r="D29" s="210">
        <v>1.04</v>
      </c>
      <c r="E29" s="211">
        <v>15.92</v>
      </c>
    </row>
    <row r="30" spans="1:5" ht="16.5" customHeight="1" x14ac:dyDescent="0.3">
      <c r="A30" s="212" t="s">
        <v>14</v>
      </c>
      <c r="B30" s="213">
        <f>AVERAGE(B24:B29)</f>
        <v>24648358.333333332</v>
      </c>
      <c r="C30" s="214">
        <f>AVERAGE(C24:C29)</f>
        <v>63625.494999999995</v>
      </c>
      <c r="D30" s="215">
        <f>AVERAGE(D24:D29)</f>
        <v>1.04</v>
      </c>
      <c r="E30" s="216">
        <f>AVERAGE(E24:E29)</f>
        <v>15.926666666666668</v>
      </c>
    </row>
    <row r="31" spans="1:5" ht="16.5" customHeight="1" x14ac:dyDescent="0.3">
      <c r="A31" s="217" t="s">
        <v>15</v>
      </c>
      <c r="B31" s="218">
        <f>(STDEV(B24:B29)/B30)</f>
        <v>2.22384245191226E-3</v>
      </c>
      <c r="C31" s="219"/>
      <c r="D31" s="219"/>
      <c r="E31" s="220"/>
    </row>
    <row r="32" spans="1:5" s="191" customFormat="1" ht="16.5" customHeight="1" x14ac:dyDescent="0.3">
      <c r="A32" s="221" t="s">
        <v>16</v>
      </c>
      <c r="B32" s="222">
        <f>COUNT(B24:B29)</f>
        <v>6</v>
      </c>
      <c r="C32" s="223"/>
      <c r="D32" s="224"/>
      <c r="E32" s="225"/>
    </row>
    <row r="33" spans="1:5" s="191" customFormat="1" ht="15.75" customHeight="1" x14ac:dyDescent="0.25">
      <c r="A33" s="197"/>
      <c r="B33" s="197"/>
      <c r="C33" s="197"/>
      <c r="D33" s="197"/>
      <c r="E33" s="197"/>
    </row>
    <row r="34" spans="1:5" s="191" customFormat="1" ht="16.5" customHeight="1" x14ac:dyDescent="0.3">
      <c r="A34" s="198" t="s">
        <v>17</v>
      </c>
      <c r="B34" s="226" t="s">
        <v>122</v>
      </c>
      <c r="C34" s="227"/>
      <c r="D34" s="227"/>
      <c r="E34" s="227"/>
    </row>
    <row r="35" spans="1:5" ht="16.5" customHeight="1" x14ac:dyDescent="0.3">
      <c r="A35" s="198"/>
      <c r="B35" s="226" t="s">
        <v>123</v>
      </c>
      <c r="C35" s="227"/>
      <c r="D35" s="227"/>
      <c r="E35" s="227"/>
    </row>
    <row r="36" spans="1:5" ht="16.5" customHeight="1" x14ac:dyDescent="0.3">
      <c r="A36" s="198"/>
      <c r="B36" s="226" t="s">
        <v>124</v>
      </c>
      <c r="C36" s="227"/>
      <c r="D36" s="227"/>
      <c r="E36" s="227"/>
    </row>
    <row r="37" spans="1:5" ht="15.75" customHeight="1" x14ac:dyDescent="0.25">
      <c r="A37" s="197"/>
      <c r="B37" s="197"/>
      <c r="C37" s="197"/>
      <c r="D37" s="197"/>
      <c r="E37" s="197"/>
    </row>
    <row r="38" spans="1:5" ht="16.5" customHeight="1" x14ac:dyDescent="0.3">
      <c r="A38" s="193" t="s">
        <v>1</v>
      </c>
      <c r="B38" s="194" t="s">
        <v>125</v>
      </c>
    </row>
    <row r="39" spans="1:5" ht="16.5" customHeight="1" x14ac:dyDescent="0.3">
      <c r="A39" s="198" t="s">
        <v>4</v>
      </c>
      <c r="B39" s="197" t="s">
        <v>119</v>
      </c>
      <c r="C39" s="197"/>
      <c r="D39" s="197"/>
      <c r="E39" s="197"/>
    </row>
    <row r="40" spans="1:5" ht="16.5" customHeight="1" x14ac:dyDescent="0.3">
      <c r="A40" s="198" t="s">
        <v>5</v>
      </c>
      <c r="B40" s="199">
        <v>99.8</v>
      </c>
      <c r="C40" s="197"/>
      <c r="D40" s="197"/>
      <c r="E40" s="197"/>
    </row>
    <row r="41" spans="1:5" ht="16.5" customHeight="1" x14ac:dyDescent="0.3">
      <c r="A41" s="195" t="s">
        <v>6</v>
      </c>
      <c r="B41" s="199">
        <v>13.4</v>
      </c>
      <c r="C41" s="197"/>
      <c r="D41" s="197"/>
      <c r="E41" s="197"/>
    </row>
    <row r="42" spans="1:5" ht="16.5" customHeight="1" x14ac:dyDescent="0.3">
      <c r="A42" s="195" t="s">
        <v>7</v>
      </c>
      <c r="B42" s="200">
        <f>B41/50</f>
        <v>0.26800000000000002</v>
      </c>
      <c r="C42" s="197"/>
      <c r="D42" s="197"/>
      <c r="E42" s="197"/>
    </row>
    <row r="43" spans="1:5" ht="15.75" customHeight="1" x14ac:dyDescent="0.25">
      <c r="A43" s="197"/>
      <c r="B43" s="197"/>
      <c r="C43" s="197"/>
      <c r="D43" s="197"/>
      <c r="E43" s="197"/>
    </row>
    <row r="44" spans="1:5" ht="16.5" customHeight="1" x14ac:dyDescent="0.3">
      <c r="A44" s="201" t="s">
        <v>9</v>
      </c>
      <c r="B44" s="202" t="s">
        <v>10</v>
      </c>
      <c r="C44" s="201" t="s">
        <v>11</v>
      </c>
      <c r="D44" s="201" t="s">
        <v>12</v>
      </c>
      <c r="E44" s="201" t="s">
        <v>13</v>
      </c>
    </row>
    <row r="45" spans="1:5" ht="16.5" customHeight="1" x14ac:dyDescent="0.3">
      <c r="A45" s="204">
        <v>1</v>
      </c>
      <c r="B45" s="205">
        <v>28472934</v>
      </c>
      <c r="C45" s="205">
        <v>25676</v>
      </c>
      <c r="D45" s="228">
        <v>1.5</v>
      </c>
      <c r="E45" s="229">
        <v>10.1</v>
      </c>
    </row>
    <row r="46" spans="1:5" ht="16.5" customHeight="1" x14ac:dyDescent="0.3">
      <c r="A46" s="204">
        <v>2</v>
      </c>
      <c r="B46" s="205">
        <v>28140184</v>
      </c>
      <c r="C46" s="205">
        <v>23716.7</v>
      </c>
      <c r="D46" s="228">
        <v>1.5</v>
      </c>
      <c r="E46" s="228">
        <v>10</v>
      </c>
    </row>
    <row r="47" spans="1:5" ht="16.5" customHeight="1" x14ac:dyDescent="0.3">
      <c r="A47" s="204">
        <v>3</v>
      </c>
      <c r="B47" s="205">
        <v>28741023</v>
      </c>
      <c r="C47" s="205">
        <v>25494.2</v>
      </c>
      <c r="D47" s="228">
        <v>1.5</v>
      </c>
      <c r="E47" s="228">
        <v>10.1</v>
      </c>
    </row>
    <row r="48" spans="1:5" ht="16.5" customHeight="1" x14ac:dyDescent="0.3">
      <c r="A48" s="204">
        <v>4</v>
      </c>
      <c r="B48" s="205">
        <v>28627743</v>
      </c>
      <c r="C48" s="205">
        <v>24569.7</v>
      </c>
      <c r="D48" s="228">
        <v>1.5</v>
      </c>
      <c r="E48" s="228">
        <v>10.1</v>
      </c>
    </row>
    <row r="49" spans="1:7" ht="16.5" customHeight="1" x14ac:dyDescent="0.3">
      <c r="A49" s="204">
        <v>5</v>
      </c>
      <c r="B49" s="205">
        <v>28461409</v>
      </c>
      <c r="C49" s="205">
        <v>24975.5</v>
      </c>
      <c r="D49" s="228">
        <v>1.6</v>
      </c>
      <c r="E49" s="228">
        <v>10.1</v>
      </c>
    </row>
    <row r="50" spans="1:7" ht="16.5" customHeight="1" x14ac:dyDescent="0.3">
      <c r="A50" s="204">
        <v>6</v>
      </c>
      <c r="B50" s="209"/>
      <c r="C50" s="209"/>
      <c r="D50" s="230"/>
      <c r="E50" s="230"/>
    </row>
    <row r="51" spans="1:7" ht="16.5" customHeight="1" x14ac:dyDescent="0.3">
      <c r="A51" s="212" t="s">
        <v>14</v>
      </c>
      <c r="B51" s="213">
        <f>AVERAGE(B45:B50)</f>
        <v>28488658.600000001</v>
      </c>
      <c r="C51" s="214">
        <f>AVERAGE(C45:C50)</f>
        <v>24886.42</v>
      </c>
      <c r="D51" s="215">
        <f>AVERAGE(D45:D50)</f>
        <v>1.52</v>
      </c>
      <c r="E51" s="215">
        <f>AVERAGE(E45:E50)</f>
        <v>10.080000000000002</v>
      </c>
    </row>
    <row r="52" spans="1:7" ht="16.5" customHeight="1" x14ac:dyDescent="0.3">
      <c r="A52" s="217" t="s">
        <v>15</v>
      </c>
      <c r="B52" s="218">
        <f>(STDEV(B45:B50)/B51)</f>
        <v>7.9553275151953359E-3</v>
      </c>
      <c r="C52" s="219"/>
      <c r="D52" s="219"/>
      <c r="E52" s="220"/>
    </row>
    <row r="53" spans="1:7" s="191" customFormat="1" ht="16.5" customHeight="1" x14ac:dyDescent="0.3">
      <c r="A53" s="221" t="s">
        <v>16</v>
      </c>
      <c r="B53" s="222">
        <f>COUNT(B45:B50)</f>
        <v>5</v>
      </c>
      <c r="C53" s="223"/>
      <c r="D53" s="224"/>
      <c r="E53" s="225"/>
    </row>
    <row r="54" spans="1:7" s="191" customFormat="1" ht="15.75" customHeight="1" x14ac:dyDescent="0.25">
      <c r="A54" s="197"/>
      <c r="B54" s="197"/>
      <c r="C54" s="197"/>
      <c r="D54" s="197"/>
      <c r="E54" s="197"/>
    </row>
    <row r="55" spans="1:7" s="191" customFormat="1" ht="16.5" customHeight="1" x14ac:dyDescent="0.3">
      <c r="A55" s="198" t="s">
        <v>17</v>
      </c>
      <c r="B55" s="226" t="s">
        <v>122</v>
      </c>
      <c r="C55" s="227"/>
      <c r="D55" s="227"/>
      <c r="E55" s="227"/>
    </row>
    <row r="56" spans="1:7" ht="16.5" customHeight="1" x14ac:dyDescent="0.3">
      <c r="A56" s="198"/>
      <c r="B56" s="226" t="s">
        <v>123</v>
      </c>
      <c r="C56" s="227"/>
      <c r="D56" s="227"/>
      <c r="E56" s="227"/>
    </row>
    <row r="57" spans="1:7" ht="16.5" customHeight="1" x14ac:dyDescent="0.3">
      <c r="A57" s="198"/>
      <c r="B57" s="226" t="s">
        <v>124</v>
      </c>
      <c r="C57" s="227"/>
      <c r="D57" s="227"/>
      <c r="E57" s="227"/>
    </row>
    <row r="58" spans="1:7" ht="14.25" customHeight="1" thickBot="1" x14ac:dyDescent="0.3">
      <c r="A58" s="231"/>
      <c r="B58" s="232"/>
      <c r="D58" s="233"/>
      <c r="F58" s="234"/>
      <c r="G58" s="234"/>
    </row>
    <row r="59" spans="1:7" ht="15" customHeight="1" x14ac:dyDescent="0.3">
      <c r="B59" s="287" t="s">
        <v>18</v>
      </c>
      <c r="C59" s="287"/>
      <c r="E59" s="235" t="s">
        <v>19</v>
      </c>
      <c r="F59" s="236"/>
      <c r="G59" s="235" t="s">
        <v>20</v>
      </c>
    </row>
    <row r="60" spans="1:7" ht="15" customHeight="1" x14ac:dyDescent="0.3">
      <c r="A60" s="237" t="s">
        <v>21</v>
      </c>
      <c r="B60" s="238"/>
      <c r="C60" s="238"/>
      <c r="E60" s="238"/>
      <c r="G60" s="238"/>
    </row>
    <row r="61" spans="1:7" ht="15" customHeight="1" x14ac:dyDescent="0.3">
      <c r="A61" s="237" t="s">
        <v>22</v>
      </c>
      <c r="B61" s="239"/>
      <c r="C61" s="239"/>
      <c r="E61" s="239"/>
      <c r="G61" s="24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C47" sqref="C47"/>
    </sheetView>
  </sheetViews>
  <sheetFormatPr defaultRowHeight="15" x14ac:dyDescent="0.3"/>
  <cols>
    <col min="1" max="1" width="15.5703125" style="241" customWidth="1"/>
    <col min="2" max="2" width="18.42578125" style="241" customWidth="1"/>
    <col min="3" max="3" width="14.28515625" style="241" customWidth="1"/>
    <col min="4" max="4" width="15" style="241" customWidth="1"/>
    <col min="5" max="5" width="9.140625" style="241" customWidth="1"/>
    <col min="6" max="6" width="27.85546875" style="241" customWidth="1"/>
    <col min="7" max="7" width="12.28515625" style="241" customWidth="1"/>
    <col min="8" max="8" width="9.140625" style="241" customWidth="1"/>
    <col min="9" max="16384" width="9.140625" style="284"/>
  </cols>
  <sheetData>
    <row r="10" spans="1:7" ht="13.5" customHeight="1" thickBot="1" x14ac:dyDescent="0.35"/>
    <row r="11" spans="1:7" ht="13.5" customHeight="1" thickBot="1" x14ac:dyDescent="0.35">
      <c r="A11" s="293" t="s">
        <v>23</v>
      </c>
      <c r="B11" s="294"/>
      <c r="C11" s="294"/>
      <c r="D11" s="294"/>
      <c r="E11" s="294"/>
      <c r="F11" s="295"/>
      <c r="G11" s="242"/>
    </row>
    <row r="12" spans="1:7" ht="16.5" customHeight="1" x14ac:dyDescent="0.3">
      <c r="A12" s="289" t="s">
        <v>24</v>
      </c>
      <c r="B12" s="289"/>
      <c r="C12" s="289"/>
      <c r="D12" s="289"/>
      <c r="E12" s="289"/>
      <c r="F12" s="289"/>
      <c r="G12" s="243"/>
    </row>
    <row r="14" spans="1:7" ht="16.5" customHeight="1" x14ac:dyDescent="0.3">
      <c r="A14" s="288" t="s">
        <v>25</v>
      </c>
      <c r="B14" s="288"/>
      <c r="C14" s="244" t="s">
        <v>126</v>
      </c>
    </row>
    <row r="15" spans="1:7" ht="16.5" customHeight="1" x14ac:dyDescent="0.3">
      <c r="A15" s="288" t="s">
        <v>26</v>
      </c>
      <c r="B15" s="288"/>
      <c r="C15" s="244" t="s">
        <v>127</v>
      </c>
    </row>
    <row r="16" spans="1:7" ht="16.5" customHeight="1" x14ac:dyDescent="0.3">
      <c r="A16" s="288" t="s">
        <v>27</v>
      </c>
      <c r="B16" s="288"/>
      <c r="C16" s="244" t="s">
        <v>128</v>
      </c>
    </row>
    <row r="17" spans="1:5" ht="16.5" customHeight="1" x14ac:dyDescent="0.3">
      <c r="A17" s="288" t="s">
        <v>28</v>
      </c>
      <c r="B17" s="288"/>
      <c r="C17" s="244" t="s">
        <v>129</v>
      </c>
    </row>
    <row r="18" spans="1:5" ht="16.5" customHeight="1" x14ac:dyDescent="0.3">
      <c r="A18" s="288" t="s">
        <v>29</v>
      </c>
      <c r="B18" s="288"/>
      <c r="C18" s="245" t="s">
        <v>117</v>
      </c>
    </row>
    <row r="19" spans="1:5" ht="16.5" customHeight="1" x14ac:dyDescent="0.3">
      <c r="A19" s="288" t="s">
        <v>30</v>
      </c>
      <c r="B19" s="288"/>
      <c r="C19" s="245" t="e">
        <f>#REF!</f>
        <v>#REF!</v>
      </c>
    </row>
    <row r="20" spans="1:5" ht="16.5" customHeight="1" x14ac:dyDescent="0.3">
      <c r="A20" s="246"/>
      <c r="B20" s="246"/>
      <c r="C20" s="247"/>
    </row>
    <row r="21" spans="1:5" ht="16.5" customHeight="1" x14ac:dyDescent="0.3">
      <c r="A21" s="289" t="s">
        <v>1</v>
      </c>
      <c r="B21" s="289"/>
      <c r="C21" s="248" t="s">
        <v>31</v>
      </c>
      <c r="D21" s="249"/>
    </row>
    <row r="22" spans="1:5" ht="15.75" customHeight="1" thickBot="1" x14ac:dyDescent="0.35">
      <c r="A22" s="290"/>
      <c r="B22" s="290"/>
      <c r="C22" s="250"/>
      <c r="D22" s="290"/>
      <c r="E22" s="290"/>
    </row>
    <row r="23" spans="1:5" ht="33.75" customHeight="1" thickBot="1" x14ac:dyDescent="0.35">
      <c r="C23" s="251" t="s">
        <v>32</v>
      </c>
      <c r="D23" s="252" t="s">
        <v>33</v>
      </c>
      <c r="E23" s="253"/>
    </row>
    <row r="24" spans="1:5" ht="15.75" customHeight="1" x14ac:dyDescent="0.3">
      <c r="C24" s="254">
        <v>694.72</v>
      </c>
      <c r="D24" s="255">
        <f t="shared" ref="D24:D43" si="0">(C24-$C$46)/$C$46</f>
        <v>9.4255869741789195E-3</v>
      </c>
      <c r="E24" s="256"/>
    </row>
    <row r="25" spans="1:5" ht="15.75" customHeight="1" x14ac:dyDescent="0.3">
      <c r="C25" s="254">
        <v>685.76</v>
      </c>
      <c r="D25" s="257">
        <f t="shared" si="0"/>
        <v>-3.5932598407806028E-3</v>
      </c>
      <c r="E25" s="256"/>
    </row>
    <row r="26" spans="1:5" ht="15.75" customHeight="1" x14ac:dyDescent="0.3">
      <c r="C26" s="254">
        <v>678.02</v>
      </c>
      <c r="D26" s="257">
        <f t="shared" si="0"/>
        <v>-1.4839451174238908E-2</v>
      </c>
      <c r="E26" s="256"/>
    </row>
    <row r="27" spans="1:5" ht="15.75" customHeight="1" x14ac:dyDescent="0.3">
      <c r="C27" s="254">
        <v>693.99</v>
      </c>
      <c r="D27" s="257">
        <f t="shared" si="0"/>
        <v>8.3648996778708119E-3</v>
      </c>
      <c r="E27" s="256"/>
    </row>
    <row r="28" spans="1:5" ht="15.75" customHeight="1" x14ac:dyDescent="0.3">
      <c r="C28" s="254">
        <v>675.32</v>
      </c>
      <c r="D28" s="257">
        <f t="shared" si="0"/>
        <v>-1.8762541174282398E-2</v>
      </c>
      <c r="E28" s="256"/>
    </row>
    <row r="29" spans="1:5" ht="15.75" customHeight="1" x14ac:dyDescent="0.3">
      <c r="C29" s="254">
        <v>692.81</v>
      </c>
      <c r="D29" s="257">
        <f t="shared" si="0"/>
        <v>6.650364048222039E-3</v>
      </c>
      <c r="E29" s="256"/>
    </row>
    <row r="30" spans="1:5" ht="15.75" customHeight="1" x14ac:dyDescent="0.3">
      <c r="C30" s="254">
        <v>691.6</v>
      </c>
      <c r="D30" s="257">
        <f t="shared" si="0"/>
        <v>4.8922385296840979E-3</v>
      </c>
      <c r="E30" s="256"/>
    </row>
    <row r="31" spans="1:5" ht="15.75" customHeight="1" x14ac:dyDescent="0.3">
      <c r="C31" s="254">
        <v>689.89</v>
      </c>
      <c r="D31" s="257">
        <f t="shared" si="0"/>
        <v>2.4076148629897714E-3</v>
      </c>
      <c r="E31" s="256"/>
    </row>
    <row r="32" spans="1:5" ht="15.75" customHeight="1" x14ac:dyDescent="0.3">
      <c r="C32" s="254">
        <v>685.37</v>
      </c>
      <c r="D32" s="257">
        <f t="shared" si="0"/>
        <v>-4.1599283963424348E-3</v>
      </c>
      <c r="E32" s="256"/>
    </row>
    <row r="33" spans="1:7" ht="15.75" customHeight="1" x14ac:dyDescent="0.3">
      <c r="C33" s="254">
        <v>698.75</v>
      </c>
      <c r="D33" s="257">
        <f t="shared" si="0"/>
        <v>1.5281162048318017E-2</v>
      </c>
      <c r="E33" s="256"/>
    </row>
    <row r="34" spans="1:7" ht="15.75" customHeight="1" x14ac:dyDescent="0.3">
      <c r="C34" s="254">
        <v>689.14</v>
      </c>
      <c r="D34" s="257">
        <f t="shared" si="0"/>
        <v>1.3178676407554406E-3</v>
      </c>
      <c r="E34" s="256"/>
    </row>
    <row r="35" spans="1:7" ht="15.75" customHeight="1" x14ac:dyDescent="0.3">
      <c r="C35" s="254">
        <v>677.03</v>
      </c>
      <c r="D35" s="257">
        <f t="shared" si="0"/>
        <v>-1.6277917507588238E-2</v>
      </c>
      <c r="E35" s="256"/>
    </row>
    <row r="36" spans="1:7" ht="15.75" customHeight="1" x14ac:dyDescent="0.3">
      <c r="C36" s="254">
        <v>686.96</v>
      </c>
      <c r="D36" s="257">
        <f t="shared" si="0"/>
        <v>-1.8496642852056076E-3</v>
      </c>
      <c r="E36" s="256"/>
    </row>
    <row r="37" spans="1:7" ht="15.75" customHeight="1" x14ac:dyDescent="0.3">
      <c r="C37" s="254">
        <v>696.93</v>
      </c>
      <c r="D37" s="257">
        <f t="shared" si="0"/>
        <v>1.2636708789029302E-2</v>
      </c>
      <c r="E37" s="256"/>
    </row>
    <row r="38" spans="1:7" ht="15.75" customHeight="1" x14ac:dyDescent="0.3">
      <c r="C38" s="254">
        <v>676.23</v>
      </c>
      <c r="D38" s="257">
        <f t="shared" si="0"/>
        <v>-1.7440314544638125E-2</v>
      </c>
      <c r="E38" s="256"/>
    </row>
    <row r="39" spans="1:7" ht="15.75" customHeight="1" x14ac:dyDescent="0.3">
      <c r="C39" s="254">
        <v>684.57</v>
      </c>
      <c r="D39" s="257">
        <f t="shared" si="0"/>
        <v>-5.3223254333923213E-3</v>
      </c>
      <c r="E39" s="256"/>
    </row>
    <row r="40" spans="1:7" ht="15.75" customHeight="1" x14ac:dyDescent="0.3">
      <c r="C40" s="254">
        <v>698.07</v>
      </c>
      <c r="D40" s="257">
        <f t="shared" si="0"/>
        <v>1.4293124566825629E-2</v>
      </c>
      <c r="E40" s="256"/>
    </row>
    <row r="41" spans="1:7" ht="15.75" customHeight="1" x14ac:dyDescent="0.3">
      <c r="C41" s="254">
        <v>695.43</v>
      </c>
      <c r="D41" s="257">
        <f t="shared" si="0"/>
        <v>1.045721434456064E-2</v>
      </c>
      <c r="E41" s="256"/>
    </row>
    <row r="42" spans="1:7" ht="15.75" customHeight="1" x14ac:dyDescent="0.3">
      <c r="C42" s="254">
        <v>683.57</v>
      </c>
      <c r="D42" s="257">
        <f t="shared" si="0"/>
        <v>-6.7753217297047618E-3</v>
      </c>
      <c r="E42" s="256"/>
    </row>
    <row r="43" spans="1:7" ht="16.5" customHeight="1" thickBot="1" x14ac:dyDescent="0.35">
      <c r="C43" s="258">
        <v>690.5</v>
      </c>
      <c r="D43" s="259">
        <f t="shared" si="0"/>
        <v>3.29394260374038E-3</v>
      </c>
      <c r="E43" s="256"/>
    </row>
    <row r="44" spans="1:7" ht="16.5" customHeight="1" thickBot="1" x14ac:dyDescent="0.35">
      <c r="C44" s="260"/>
      <c r="D44" s="256"/>
      <c r="E44" s="261"/>
    </row>
    <row r="45" spans="1:7" ht="16.5" customHeight="1" thickBot="1" x14ac:dyDescent="0.35">
      <c r="B45" s="262" t="s">
        <v>34</v>
      </c>
      <c r="C45" s="263">
        <f>SUM(C24:C44)</f>
        <v>13764.66</v>
      </c>
      <c r="D45" s="264"/>
      <c r="E45" s="260"/>
    </row>
    <row r="46" spans="1:7" ht="17.25" customHeight="1" thickBot="1" x14ac:dyDescent="0.35">
      <c r="B46" s="262" t="s">
        <v>35</v>
      </c>
      <c r="C46" s="265">
        <f>AVERAGE(C24:C43)</f>
        <v>688.23299999999995</v>
      </c>
      <c r="E46" s="266"/>
    </row>
    <row r="47" spans="1:7" ht="17.25" customHeight="1" thickBot="1" x14ac:dyDescent="0.35">
      <c r="A47" s="244"/>
      <c r="B47" s="267"/>
      <c r="D47" s="268"/>
      <c r="E47" s="266"/>
    </row>
    <row r="48" spans="1:7" ht="33.75" customHeight="1" thickBot="1" x14ac:dyDescent="0.35">
      <c r="B48" s="269" t="s">
        <v>35</v>
      </c>
      <c r="C48" s="252" t="s">
        <v>36</v>
      </c>
      <c r="D48" s="270"/>
      <c r="G48" s="268"/>
    </row>
    <row r="49" spans="1:6" ht="17.25" customHeight="1" thickBot="1" x14ac:dyDescent="0.35">
      <c r="B49" s="291">
        <f>C46</f>
        <v>688.23299999999995</v>
      </c>
      <c r="C49" s="271">
        <f>-IF(C46&lt;=80,10%,IF(C46&lt;250,7.5%,5%))</f>
        <v>-0.05</v>
      </c>
      <c r="D49" s="272">
        <f>IF(C46&lt;=80,C46*0.9,IF(C46&lt;250,C46*0.925,C46*0.95))</f>
        <v>653.82134999999994</v>
      </c>
    </row>
    <row r="50" spans="1:6" ht="17.25" customHeight="1" thickBot="1" x14ac:dyDescent="0.35">
      <c r="B50" s="292"/>
      <c r="C50" s="273">
        <f>IF(C46&lt;=80, 10%, IF(C46&lt;250, 7.5%, 5%))</f>
        <v>0.05</v>
      </c>
      <c r="D50" s="272">
        <f>IF(C46&lt;=80, C46*1.1, IF(C46&lt;250, C46*1.075, C46*1.05))</f>
        <v>722.64464999999996</v>
      </c>
    </row>
    <row r="51" spans="1:6" ht="16.5" customHeight="1" thickBot="1" x14ac:dyDescent="0.35">
      <c r="A51" s="274"/>
      <c r="B51" s="275"/>
      <c r="C51" s="244"/>
      <c r="D51" s="276"/>
      <c r="E51" s="244"/>
      <c r="F51" s="249"/>
    </row>
    <row r="52" spans="1:6" ht="16.5" customHeight="1" x14ac:dyDescent="0.3">
      <c r="A52" s="244"/>
      <c r="B52" s="277" t="s">
        <v>18</v>
      </c>
      <c r="C52" s="277"/>
      <c r="D52" s="278" t="s">
        <v>19</v>
      </c>
      <c r="E52" s="279"/>
      <c r="F52" s="278" t="s">
        <v>20</v>
      </c>
    </row>
    <row r="53" spans="1:6" ht="34.5" customHeight="1" x14ac:dyDescent="0.3">
      <c r="A53" s="246" t="s">
        <v>21</v>
      </c>
      <c r="B53" s="280"/>
      <c r="C53" s="244"/>
      <c r="D53" s="280"/>
      <c r="E53" s="244"/>
      <c r="F53" s="280"/>
    </row>
    <row r="54" spans="1:6" ht="34.5" customHeight="1" x14ac:dyDescent="0.3">
      <c r="A54" s="246" t="s">
        <v>22</v>
      </c>
      <c r="B54" s="281"/>
      <c r="C54" s="282"/>
      <c r="D54" s="281"/>
      <c r="E54" s="244"/>
      <c r="F54" s="28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96" t="s">
        <v>37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38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3"/>
    </row>
    <row r="16" spans="1:9" ht="19.5" customHeight="1" x14ac:dyDescent="0.3">
      <c r="A16" s="330" t="s">
        <v>23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25">
      <c r="A17" s="333" t="s">
        <v>39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4">
      <c r="A18" s="5" t="s">
        <v>25</v>
      </c>
      <c r="B18" s="334" t="s">
        <v>118</v>
      </c>
      <c r="C18" s="334"/>
      <c r="D18" s="171"/>
      <c r="E18" s="6"/>
      <c r="F18" s="7"/>
      <c r="G18" s="7"/>
      <c r="H18" s="7"/>
    </row>
    <row r="19" spans="1:14" ht="26.25" customHeight="1" x14ac:dyDescent="0.4">
      <c r="A19" s="5" t="s">
        <v>26</v>
      </c>
      <c r="B19" s="189" t="s">
        <v>127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27</v>
      </c>
      <c r="B20" s="335" t="s">
        <v>119</v>
      </c>
      <c r="C20" s="335"/>
      <c r="D20" s="7"/>
      <c r="E20" s="7"/>
      <c r="F20" s="7"/>
      <c r="G20" s="7"/>
      <c r="H20" s="7"/>
    </row>
    <row r="21" spans="1:14" ht="26.25" customHeight="1" x14ac:dyDescent="0.4">
      <c r="A21" s="5" t="s">
        <v>28</v>
      </c>
      <c r="B21" s="336" t="s">
        <v>130</v>
      </c>
      <c r="C21" s="335"/>
      <c r="D21" s="335"/>
      <c r="E21" s="335"/>
      <c r="F21" s="335"/>
      <c r="G21" s="335"/>
      <c r="H21" s="335"/>
      <c r="I21" s="8"/>
    </row>
    <row r="22" spans="1:14" ht="26.25" customHeight="1" x14ac:dyDescent="0.4">
      <c r="A22" s="5" t="s">
        <v>29</v>
      </c>
      <c r="B22" s="9" t="s">
        <v>8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30</v>
      </c>
      <c r="B23" s="9"/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329" t="s">
        <v>119</v>
      </c>
      <c r="C26" s="329"/>
    </row>
    <row r="27" spans="1:14" ht="26.25" customHeight="1" x14ac:dyDescent="0.4">
      <c r="A27" s="13" t="s">
        <v>40</v>
      </c>
      <c r="B27" s="327" t="s">
        <v>120</v>
      </c>
      <c r="C27" s="327"/>
    </row>
    <row r="28" spans="1:14" ht="27" customHeight="1" x14ac:dyDescent="0.4">
      <c r="A28" s="13" t="s">
        <v>5</v>
      </c>
      <c r="B28" s="14">
        <v>99.8</v>
      </c>
    </row>
    <row r="29" spans="1:14" s="2" customFormat="1" ht="27" customHeight="1" x14ac:dyDescent="0.4">
      <c r="A29" s="13" t="s">
        <v>41</v>
      </c>
      <c r="B29" s="15">
        <v>0</v>
      </c>
      <c r="C29" s="304" t="s">
        <v>42</v>
      </c>
      <c r="D29" s="305"/>
      <c r="E29" s="305"/>
      <c r="F29" s="305"/>
      <c r="G29" s="306"/>
      <c r="I29" s="16"/>
      <c r="J29" s="16"/>
      <c r="K29" s="16"/>
      <c r="L29" s="16"/>
    </row>
    <row r="30" spans="1:14" s="2" customFormat="1" ht="19.5" customHeight="1" x14ac:dyDescent="0.3">
      <c r="A30" s="13" t="s">
        <v>43</v>
      </c>
      <c r="B30" s="17">
        <f>B28-B29</f>
        <v>99.8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44</v>
      </c>
      <c r="B31" s="20">
        <v>1</v>
      </c>
      <c r="C31" s="307" t="s">
        <v>45</v>
      </c>
      <c r="D31" s="308"/>
      <c r="E31" s="308"/>
      <c r="F31" s="308"/>
      <c r="G31" s="308"/>
      <c r="H31" s="309"/>
      <c r="I31" s="16"/>
      <c r="J31" s="16"/>
      <c r="K31" s="16"/>
      <c r="L31" s="16"/>
    </row>
    <row r="32" spans="1:14" s="2" customFormat="1" ht="27" customHeight="1" x14ac:dyDescent="0.4">
      <c r="A32" s="13" t="s">
        <v>46</v>
      </c>
      <c r="B32" s="20">
        <v>1</v>
      </c>
      <c r="C32" s="307" t="s">
        <v>47</v>
      </c>
      <c r="D32" s="308"/>
      <c r="E32" s="308"/>
      <c r="F32" s="308"/>
      <c r="G32" s="308"/>
      <c r="H32" s="309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48</v>
      </c>
      <c r="B34" s="25">
        <f>B31/B32</f>
        <v>1</v>
      </c>
      <c r="C34" s="4" t="s">
        <v>49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50</v>
      </c>
      <c r="B36" s="187">
        <v>50</v>
      </c>
      <c r="C36" s="4"/>
      <c r="D36" s="310" t="s">
        <v>51</v>
      </c>
      <c r="E36" s="328"/>
      <c r="F36" s="310" t="s">
        <v>52</v>
      </c>
      <c r="G36" s="311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53</v>
      </c>
      <c r="B37" s="188">
        <v>10</v>
      </c>
      <c r="C37" s="30" t="s">
        <v>54</v>
      </c>
      <c r="D37" s="31" t="s">
        <v>55</v>
      </c>
      <c r="E37" s="32" t="s">
        <v>56</v>
      </c>
      <c r="F37" s="31" t="s">
        <v>55</v>
      </c>
      <c r="G37" s="33" t="s">
        <v>56</v>
      </c>
      <c r="I37" s="34" t="s">
        <v>57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58</v>
      </c>
      <c r="B38" s="188">
        <v>25</v>
      </c>
      <c r="C38" s="35">
        <v>1</v>
      </c>
      <c r="D38" s="36">
        <v>24571358</v>
      </c>
      <c r="E38" s="37">
        <f>IF(ISBLANK(D38),"-",$D$48/$D$45*D38)</f>
        <v>24137842.351369403</v>
      </c>
      <c r="F38" s="36">
        <v>24510284</v>
      </c>
      <c r="G38" s="38">
        <f>IF(ISBLANK(F38),"-",$D$48/$F$45*F38)</f>
        <v>24348383.482099693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59</v>
      </c>
      <c r="B39" s="29">
        <v>1</v>
      </c>
      <c r="C39" s="40">
        <v>2</v>
      </c>
      <c r="D39" s="41">
        <v>24648050</v>
      </c>
      <c r="E39" s="42">
        <f>IF(ISBLANK(D39),"-",$D$48/$D$45*D39)</f>
        <v>24213181.264489762</v>
      </c>
      <c r="F39" s="41">
        <v>24453200</v>
      </c>
      <c r="G39" s="43">
        <f>IF(ISBLANK(F39),"-",$D$48/$F$45*F39)</f>
        <v>24291676.545423962</v>
      </c>
      <c r="I39" s="312">
        <f>ABS((F43/D43*D42)-F42)/D42</f>
        <v>4.2177035482334766E-3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60</v>
      </c>
      <c r="B40" s="29">
        <v>1</v>
      </c>
      <c r="C40" s="40">
        <v>3</v>
      </c>
      <c r="D40" s="41">
        <v>24627379</v>
      </c>
      <c r="E40" s="42">
        <f>IF(ISBLANK(D40),"-",$D$48/$D$45*D40)</f>
        <v>24192874.965617508</v>
      </c>
      <c r="F40" s="41">
        <v>24374247</v>
      </c>
      <c r="G40" s="43">
        <f>IF(ISBLANK(F40),"-",$D$48/$F$45*F40)</f>
        <v>24213245.062497769</v>
      </c>
      <c r="I40" s="312"/>
      <c r="L40" s="21"/>
      <c r="M40" s="21"/>
      <c r="N40" s="44"/>
    </row>
    <row r="41" spans="1:14" ht="27" customHeight="1" x14ac:dyDescent="0.4">
      <c r="A41" s="28" t="s">
        <v>61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62</v>
      </c>
      <c r="B42" s="29">
        <v>1</v>
      </c>
      <c r="C42" s="50" t="s">
        <v>63</v>
      </c>
      <c r="D42" s="51">
        <f>AVERAGE(D38:D41)</f>
        <v>24615595.666666668</v>
      </c>
      <c r="E42" s="52">
        <f>AVERAGE(E38:E41)</f>
        <v>24181299.52715889</v>
      </c>
      <c r="F42" s="51">
        <f>AVERAGE(F38:F41)</f>
        <v>24445910.333333332</v>
      </c>
      <c r="G42" s="53">
        <f>AVERAGE(G38:G41)</f>
        <v>24284435.030007139</v>
      </c>
      <c r="H42" s="54"/>
    </row>
    <row r="43" spans="1:14" ht="26.25" customHeight="1" x14ac:dyDescent="0.4">
      <c r="A43" s="28" t="s">
        <v>64</v>
      </c>
      <c r="B43" s="29">
        <v>1</v>
      </c>
      <c r="C43" s="55" t="s">
        <v>65</v>
      </c>
      <c r="D43" s="56">
        <v>15.3</v>
      </c>
      <c r="E43" s="44"/>
      <c r="F43" s="56">
        <v>15.13</v>
      </c>
      <c r="H43" s="54"/>
    </row>
    <row r="44" spans="1:14" ht="26.25" customHeight="1" x14ac:dyDescent="0.4">
      <c r="A44" s="28" t="s">
        <v>66</v>
      </c>
      <c r="B44" s="29">
        <v>1</v>
      </c>
      <c r="C44" s="57" t="s">
        <v>67</v>
      </c>
      <c r="D44" s="58">
        <f>D43*$B$34</f>
        <v>15.3</v>
      </c>
      <c r="E44" s="59"/>
      <c r="F44" s="58">
        <f>F43*$B$34</f>
        <v>15.13</v>
      </c>
      <c r="H44" s="54"/>
    </row>
    <row r="45" spans="1:14" ht="19.5" customHeight="1" x14ac:dyDescent="0.3">
      <c r="A45" s="28" t="s">
        <v>68</v>
      </c>
      <c r="B45" s="60">
        <f>(B44/B43)*(B42/B41)*(B40/B39)*(B38/B37)*B36</f>
        <v>125</v>
      </c>
      <c r="C45" s="57" t="s">
        <v>69</v>
      </c>
      <c r="D45" s="61">
        <f>D44*$B$30/100</f>
        <v>15.269400000000001</v>
      </c>
      <c r="E45" s="62"/>
      <c r="F45" s="61">
        <f>F44*$B$30/100</f>
        <v>15.099739999999999</v>
      </c>
      <c r="H45" s="54"/>
    </row>
    <row r="46" spans="1:14" ht="19.5" customHeight="1" x14ac:dyDescent="0.3">
      <c r="A46" s="298" t="s">
        <v>70</v>
      </c>
      <c r="B46" s="299"/>
      <c r="C46" s="57" t="s">
        <v>71</v>
      </c>
      <c r="D46" s="63">
        <f>D45/$B$45</f>
        <v>0.12215520000000001</v>
      </c>
      <c r="E46" s="64"/>
      <c r="F46" s="65">
        <f>F45/$B$45</f>
        <v>0.12079791999999999</v>
      </c>
      <c r="H46" s="54"/>
    </row>
    <row r="47" spans="1:14" ht="27" customHeight="1" x14ac:dyDescent="0.4">
      <c r="A47" s="300"/>
      <c r="B47" s="301"/>
      <c r="C47" s="66" t="s">
        <v>72</v>
      </c>
      <c r="D47" s="67">
        <v>0.12</v>
      </c>
      <c r="E47" s="68"/>
      <c r="F47" s="64"/>
      <c r="H47" s="54"/>
    </row>
    <row r="48" spans="1:14" ht="18.75" x14ac:dyDescent="0.3">
      <c r="C48" s="69" t="s">
        <v>73</v>
      </c>
      <c r="D48" s="61">
        <f>D47*$B$45</f>
        <v>15</v>
      </c>
      <c r="F48" s="70"/>
      <c r="H48" s="54"/>
    </row>
    <row r="49" spans="1:12" ht="19.5" customHeight="1" x14ac:dyDescent="0.3">
      <c r="C49" s="71" t="s">
        <v>74</v>
      </c>
      <c r="D49" s="72">
        <f>D48/B34</f>
        <v>15</v>
      </c>
      <c r="F49" s="70"/>
      <c r="H49" s="54"/>
    </row>
    <row r="50" spans="1:12" ht="18.75" x14ac:dyDescent="0.3">
      <c r="C50" s="26" t="s">
        <v>75</v>
      </c>
      <c r="D50" s="73">
        <f>AVERAGE(E38:E41,G38:G41)</f>
        <v>24232867.278583016</v>
      </c>
      <c r="F50" s="74"/>
      <c r="H50" s="54"/>
    </row>
    <row r="51" spans="1:12" ht="18.75" x14ac:dyDescent="0.3">
      <c r="C51" s="28" t="s">
        <v>76</v>
      </c>
      <c r="D51" s="75">
        <f>STDEV(E38:E41,G38:G41)/D50</f>
        <v>3.0993256223291465E-3</v>
      </c>
      <c r="F51" s="74"/>
      <c r="H51" s="54"/>
    </row>
    <row r="52" spans="1:12" ht="19.5" customHeight="1" x14ac:dyDescent="0.3">
      <c r="C52" s="76" t="s">
        <v>16</v>
      </c>
      <c r="D52" s="77">
        <f>COUNT(E38:E41,G38:G41)</f>
        <v>6</v>
      </c>
      <c r="F52" s="74"/>
    </row>
    <row r="54" spans="1:12" ht="18.75" x14ac:dyDescent="0.3">
      <c r="A54" s="78" t="s">
        <v>1</v>
      </c>
      <c r="B54" s="79" t="s">
        <v>77</v>
      </c>
    </row>
    <row r="55" spans="1:12" ht="18.75" x14ac:dyDescent="0.3">
      <c r="A55" s="4" t="s">
        <v>78</v>
      </c>
      <c r="B55" s="80" t="str">
        <f>B21</f>
        <v>Each tablet contains Tenofovir disoproxil fumarate 300mg</v>
      </c>
    </row>
    <row r="56" spans="1:12" ht="26.25" customHeight="1" x14ac:dyDescent="0.4">
      <c r="A56" s="81" t="s">
        <v>79</v>
      </c>
      <c r="B56" s="82">
        <v>300</v>
      </c>
      <c r="C56" s="4" t="str">
        <f>B20</f>
        <v>Tenofovir disoproxil fumarate</v>
      </c>
      <c r="H56" s="83"/>
    </row>
    <row r="57" spans="1:12" ht="18.75" x14ac:dyDescent="0.3">
      <c r="A57" s="80" t="s">
        <v>80</v>
      </c>
      <c r="B57" s="172">
        <f>'Uniformity  '!C46</f>
        <v>688.23299999999995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81</v>
      </c>
      <c r="B59" s="187">
        <v>200</v>
      </c>
      <c r="C59" s="4"/>
      <c r="D59" s="84" t="s">
        <v>82</v>
      </c>
      <c r="E59" s="85" t="s">
        <v>54</v>
      </c>
      <c r="F59" s="85" t="s">
        <v>55</v>
      </c>
      <c r="G59" s="85" t="s">
        <v>83</v>
      </c>
      <c r="H59" s="30" t="s">
        <v>84</v>
      </c>
      <c r="L59" s="16"/>
    </row>
    <row r="60" spans="1:12" s="2" customFormat="1" ht="26.25" customHeight="1" x14ac:dyDescent="0.4">
      <c r="A60" s="28" t="s">
        <v>85</v>
      </c>
      <c r="B60" s="188">
        <v>2</v>
      </c>
      <c r="C60" s="315" t="s">
        <v>86</v>
      </c>
      <c r="D60" s="318">
        <v>692.86</v>
      </c>
      <c r="E60" s="86">
        <v>1</v>
      </c>
      <c r="F60" s="87">
        <v>24068827</v>
      </c>
      <c r="G60" s="173">
        <f>IF(ISBLANK(F60),"-",(F60/$D$50*$D$47*$B$68)*($B$57/$D$60))</f>
        <v>295.97932783705352</v>
      </c>
      <c r="H60" s="88">
        <f t="shared" ref="H60:H71" si="0">IF(ISBLANK(F60),"-",G60/$B$56)</f>
        <v>0.98659775945684502</v>
      </c>
      <c r="L60" s="16"/>
    </row>
    <row r="61" spans="1:12" s="2" customFormat="1" ht="26.25" customHeight="1" x14ac:dyDescent="0.4">
      <c r="A61" s="28" t="s">
        <v>87</v>
      </c>
      <c r="B61" s="188">
        <v>25</v>
      </c>
      <c r="C61" s="316"/>
      <c r="D61" s="319"/>
      <c r="E61" s="89">
        <v>2</v>
      </c>
      <c r="F61" s="41">
        <v>24128288</v>
      </c>
      <c r="G61" s="174">
        <f>IF(ISBLANK(F61),"-",(F61/$D$50*$D$47*$B$68)*($B$57/$D$60))</f>
        <v>296.71053201299941</v>
      </c>
      <c r="H61" s="90">
        <f t="shared" si="0"/>
        <v>0.98903510670999806</v>
      </c>
      <c r="L61" s="16"/>
    </row>
    <row r="62" spans="1:12" s="2" customFormat="1" ht="26.25" customHeight="1" x14ac:dyDescent="0.4">
      <c r="A62" s="28" t="s">
        <v>88</v>
      </c>
      <c r="B62" s="29">
        <v>1</v>
      </c>
      <c r="C62" s="316"/>
      <c r="D62" s="319"/>
      <c r="E62" s="89">
        <v>3</v>
      </c>
      <c r="F62" s="91">
        <v>24033973</v>
      </c>
      <c r="G62" s="174">
        <f>IF(ISBLANK(F62),"-",(F62/$D$50*$D$47*$B$68)*($B$57/$D$60))</f>
        <v>295.55072101327971</v>
      </c>
      <c r="H62" s="90">
        <f t="shared" si="0"/>
        <v>0.98516907004426568</v>
      </c>
      <c r="L62" s="16"/>
    </row>
    <row r="63" spans="1:12" ht="27" customHeight="1" x14ac:dyDescent="0.4">
      <c r="A63" s="28" t="s">
        <v>89</v>
      </c>
      <c r="B63" s="29">
        <v>1</v>
      </c>
      <c r="C63" s="326"/>
      <c r="D63" s="320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90</v>
      </c>
      <c r="B64" s="29">
        <v>1</v>
      </c>
      <c r="C64" s="315" t="s">
        <v>91</v>
      </c>
      <c r="D64" s="318">
        <v>686.47</v>
      </c>
      <c r="E64" s="86">
        <v>1</v>
      </c>
      <c r="F64" s="87">
        <v>23926541</v>
      </c>
      <c r="G64" s="175">
        <f>IF(ISBLANK(F64),"-",(F64/$D$50*$D$47*$B$68)*($B$57/$D$64))</f>
        <v>296.9684412926992</v>
      </c>
      <c r="H64" s="94">
        <f t="shared" si="0"/>
        <v>0.98989480430899734</v>
      </c>
    </row>
    <row r="65" spans="1:8" ht="26.25" customHeight="1" x14ac:dyDescent="0.4">
      <c r="A65" s="28" t="s">
        <v>92</v>
      </c>
      <c r="B65" s="29">
        <v>1</v>
      </c>
      <c r="C65" s="316"/>
      <c r="D65" s="319"/>
      <c r="E65" s="89">
        <v>2</v>
      </c>
      <c r="F65" s="41">
        <v>23826769</v>
      </c>
      <c r="G65" s="176">
        <f>IF(ISBLANK(F65),"-",(F65/$D$50*$D$47*$B$68)*($B$57/$D$64))</f>
        <v>295.73010369410292</v>
      </c>
      <c r="H65" s="95">
        <f t="shared" si="0"/>
        <v>0.98576701231367636</v>
      </c>
    </row>
    <row r="66" spans="1:8" ht="26.25" customHeight="1" x14ac:dyDescent="0.4">
      <c r="A66" s="28" t="s">
        <v>93</v>
      </c>
      <c r="B66" s="29">
        <v>1</v>
      </c>
      <c r="C66" s="316"/>
      <c r="D66" s="319"/>
      <c r="E66" s="89">
        <v>3</v>
      </c>
      <c r="F66" s="41">
        <v>23899224</v>
      </c>
      <c r="G66" s="176">
        <f>IF(ISBLANK(F66),"-",(F66/$D$50*$D$47*$B$68)*($B$57/$D$64))</f>
        <v>296.6293915775401</v>
      </c>
      <c r="H66" s="95">
        <f t="shared" si="0"/>
        <v>0.9887646385918003</v>
      </c>
    </row>
    <row r="67" spans="1:8" ht="27" customHeight="1" x14ac:dyDescent="0.4">
      <c r="A67" s="28" t="s">
        <v>94</v>
      </c>
      <c r="B67" s="29">
        <v>1</v>
      </c>
      <c r="C67" s="326"/>
      <c r="D67" s="320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95</v>
      </c>
      <c r="B68" s="97">
        <f>(B67/B66)*(B65/B64)*(B63/B62)*(B61/B60)*B59</f>
        <v>2500</v>
      </c>
      <c r="C68" s="315" t="s">
        <v>96</v>
      </c>
      <c r="D68" s="318">
        <v>700.05</v>
      </c>
      <c r="E68" s="86">
        <v>1</v>
      </c>
      <c r="F68" s="87">
        <v>24324261</v>
      </c>
      <c r="G68" s="175">
        <f>IF(ISBLANK(F68),"-",(F68/$D$50*$D$47*$B$68)*($B$57/$D$68))</f>
        <v>296.04827747734254</v>
      </c>
      <c r="H68" s="90">
        <f t="shared" si="0"/>
        <v>0.98682759159114175</v>
      </c>
    </row>
    <row r="69" spans="1:8" ht="27" customHeight="1" x14ac:dyDescent="0.4">
      <c r="A69" s="76" t="s">
        <v>97</v>
      </c>
      <c r="B69" s="98">
        <f>(D47*B68)/B56*B57</f>
        <v>688.23299999999995</v>
      </c>
      <c r="C69" s="316"/>
      <c r="D69" s="319"/>
      <c r="E69" s="89">
        <v>2</v>
      </c>
      <c r="F69" s="41">
        <v>24377050</v>
      </c>
      <c r="G69" s="176">
        <f>IF(ISBLANK(F69),"-",(F69/$D$50*$D$47*$B$68)*($B$57/$D$68))</f>
        <v>296.69076739799226</v>
      </c>
      <c r="H69" s="90">
        <f t="shared" si="0"/>
        <v>0.98896922465997417</v>
      </c>
    </row>
    <row r="70" spans="1:8" ht="26.25" customHeight="1" x14ac:dyDescent="0.4">
      <c r="A70" s="321" t="s">
        <v>70</v>
      </c>
      <c r="B70" s="322"/>
      <c r="C70" s="316"/>
      <c r="D70" s="319"/>
      <c r="E70" s="89">
        <v>3</v>
      </c>
      <c r="F70" s="41">
        <v>24366941</v>
      </c>
      <c r="G70" s="176">
        <f>IF(ISBLANK(F70),"-",(F70/$D$50*$D$47*$B$68)*($B$57/$D$68))</f>
        <v>296.56773171616749</v>
      </c>
      <c r="H70" s="90">
        <f t="shared" si="0"/>
        <v>0.98855910572055827</v>
      </c>
    </row>
    <row r="71" spans="1:8" ht="27" customHeight="1" x14ac:dyDescent="0.4">
      <c r="A71" s="323"/>
      <c r="B71" s="324"/>
      <c r="C71" s="317"/>
      <c r="D71" s="320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63</v>
      </c>
      <c r="G72" s="182">
        <f>AVERAGE(G60:G71)</f>
        <v>296.31947711324187</v>
      </c>
      <c r="H72" s="103">
        <f>AVERAGE(H60:H71)</f>
        <v>0.98773159037747305</v>
      </c>
    </row>
    <row r="73" spans="1:8" ht="26.25" customHeight="1" x14ac:dyDescent="0.4">
      <c r="C73" s="100"/>
      <c r="D73" s="100"/>
      <c r="E73" s="100"/>
      <c r="F73" s="104" t="s">
        <v>76</v>
      </c>
      <c r="G73" s="178">
        <f>STDEV(G60:G71)/G72</f>
        <v>1.6861906301703837E-3</v>
      </c>
      <c r="H73" s="178">
        <f>STDEV(H60:H71)/H72</f>
        <v>1.6861906301704002E-3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16</v>
      </c>
      <c r="G74" s="107">
        <f>COUNT(G60:G71)</f>
        <v>9</v>
      </c>
      <c r="H74" s="107">
        <f>COUNT(H60:H71)</f>
        <v>9</v>
      </c>
    </row>
    <row r="76" spans="1:8" ht="26.25" customHeight="1" x14ac:dyDescent="0.4">
      <c r="A76" s="12" t="s">
        <v>98</v>
      </c>
      <c r="B76" s="108" t="s">
        <v>99</v>
      </c>
      <c r="C76" s="302" t="str">
        <f>B20</f>
        <v>Tenofovir disoproxil fumarate</v>
      </c>
      <c r="D76" s="302"/>
      <c r="E76" s="109" t="s">
        <v>100</v>
      </c>
      <c r="F76" s="109"/>
      <c r="G76" s="110">
        <f>H72</f>
        <v>0.98773159037747305</v>
      </c>
      <c r="H76" s="111"/>
    </row>
    <row r="77" spans="1:8" ht="18.75" x14ac:dyDescent="0.3">
      <c r="A77" s="11" t="s">
        <v>101</v>
      </c>
      <c r="B77" s="11" t="s">
        <v>102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325" t="str">
        <f>B26</f>
        <v>Tenofovir disoproxil fumarate</v>
      </c>
      <c r="C79" s="325"/>
    </row>
    <row r="80" spans="1:8" ht="26.25" customHeight="1" x14ac:dyDescent="0.4">
      <c r="A80" s="13" t="s">
        <v>40</v>
      </c>
      <c r="B80" s="325" t="str">
        <f>B27</f>
        <v>T11 7</v>
      </c>
      <c r="C80" s="325"/>
    </row>
    <row r="81" spans="1:12" ht="27" customHeight="1" x14ac:dyDescent="0.4">
      <c r="A81" s="13" t="s">
        <v>5</v>
      </c>
      <c r="B81" s="112">
        <v>99.8</v>
      </c>
    </row>
    <row r="82" spans="1:12" s="2" customFormat="1" ht="27" customHeight="1" x14ac:dyDescent="0.4">
      <c r="A82" s="13" t="s">
        <v>41</v>
      </c>
      <c r="B82" s="15">
        <v>0</v>
      </c>
      <c r="C82" s="304" t="s">
        <v>42</v>
      </c>
      <c r="D82" s="305"/>
      <c r="E82" s="305"/>
      <c r="F82" s="305"/>
      <c r="G82" s="306"/>
      <c r="I82" s="16"/>
      <c r="J82" s="16"/>
      <c r="K82" s="16"/>
      <c r="L82" s="16"/>
    </row>
    <row r="83" spans="1:12" s="2" customFormat="1" ht="19.5" customHeight="1" x14ac:dyDescent="0.3">
      <c r="A83" s="13" t="s">
        <v>43</v>
      </c>
      <c r="B83" s="17">
        <f>B81-B82</f>
        <v>99.8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44</v>
      </c>
      <c r="B84" s="20">
        <v>1</v>
      </c>
      <c r="C84" s="307" t="s">
        <v>103</v>
      </c>
      <c r="D84" s="308"/>
      <c r="E84" s="308"/>
      <c r="F84" s="308"/>
      <c r="G84" s="308"/>
      <c r="H84" s="309"/>
      <c r="I84" s="16"/>
      <c r="J84" s="16"/>
      <c r="K84" s="16"/>
      <c r="L84" s="16"/>
    </row>
    <row r="85" spans="1:12" s="2" customFormat="1" ht="27" customHeight="1" x14ac:dyDescent="0.4">
      <c r="A85" s="13" t="s">
        <v>46</v>
      </c>
      <c r="B85" s="20">
        <v>1</v>
      </c>
      <c r="C85" s="307" t="s">
        <v>104</v>
      </c>
      <c r="D85" s="308"/>
      <c r="E85" s="308"/>
      <c r="F85" s="308"/>
      <c r="G85" s="308"/>
      <c r="H85" s="309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48</v>
      </c>
      <c r="B87" s="25">
        <f>B84/B85</f>
        <v>1</v>
      </c>
      <c r="C87" s="4" t="s">
        <v>49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50</v>
      </c>
      <c r="B89" s="27">
        <v>50</v>
      </c>
      <c r="D89" s="113" t="s">
        <v>51</v>
      </c>
      <c r="E89" s="114"/>
      <c r="F89" s="310" t="s">
        <v>52</v>
      </c>
      <c r="G89" s="311"/>
    </row>
    <row r="90" spans="1:12" ht="27" customHeight="1" x14ac:dyDescent="0.4">
      <c r="A90" s="28" t="s">
        <v>53</v>
      </c>
      <c r="B90" s="29">
        <v>1</v>
      </c>
      <c r="C90" s="115" t="s">
        <v>54</v>
      </c>
      <c r="D90" s="31" t="s">
        <v>55</v>
      </c>
      <c r="E90" s="32" t="s">
        <v>56</v>
      </c>
      <c r="F90" s="31" t="s">
        <v>55</v>
      </c>
      <c r="G90" s="116" t="s">
        <v>56</v>
      </c>
      <c r="I90" s="34" t="s">
        <v>57</v>
      </c>
    </row>
    <row r="91" spans="1:12" ht="26.25" customHeight="1" x14ac:dyDescent="0.4">
      <c r="A91" s="28" t="s">
        <v>58</v>
      </c>
      <c r="B91" s="29">
        <v>1</v>
      </c>
      <c r="C91" s="117">
        <v>1</v>
      </c>
      <c r="D91" s="185">
        <v>29879516</v>
      </c>
      <c r="E91" s="37">
        <f>IF(ISBLANK(D91),"-",$D$101/$D$98*D91)</f>
        <v>33514247.898782644</v>
      </c>
      <c r="F91" s="185">
        <v>34730372</v>
      </c>
      <c r="G91" s="38">
        <f>IF(ISBLANK(F91),"-",$D$101/$F$98*F91)</f>
        <v>33227217.005621683</v>
      </c>
      <c r="I91" s="39"/>
    </row>
    <row r="92" spans="1:12" ht="26.25" customHeight="1" x14ac:dyDescent="0.4">
      <c r="A92" s="28" t="s">
        <v>59</v>
      </c>
      <c r="B92" s="29">
        <v>1</v>
      </c>
      <c r="C92" s="101">
        <v>2</v>
      </c>
      <c r="D92" s="186">
        <v>29520269</v>
      </c>
      <c r="E92" s="42">
        <f>IF(ISBLANK(D92),"-",$D$101/$D$98*D92)</f>
        <v>33111299.838482939</v>
      </c>
      <c r="F92" s="186">
        <v>34535657</v>
      </c>
      <c r="G92" s="43">
        <f>IF(ISBLANK(F92),"-",$D$101/$F$98*F92)</f>
        <v>33040929.408147931</v>
      </c>
      <c r="I92" s="312">
        <f>ABS((F96/D96*D95)-F95)/D95</f>
        <v>1.0607054739283611E-3</v>
      </c>
    </row>
    <row r="93" spans="1:12" ht="26.25" customHeight="1" x14ac:dyDescent="0.4">
      <c r="A93" s="28" t="s">
        <v>60</v>
      </c>
      <c r="B93" s="29">
        <v>1</v>
      </c>
      <c r="C93" s="101">
        <v>3</v>
      </c>
      <c r="D93" s="186">
        <v>29389189</v>
      </c>
      <c r="E93" s="42">
        <f>IF(ISBLANK(D93),"-",$D$101/$D$98*D93)</f>
        <v>32964274.444411214</v>
      </c>
      <c r="F93" s="186">
        <v>34734925</v>
      </c>
      <c r="G93" s="43">
        <f>IF(ISBLANK(F93),"-",$D$101/$F$98*F93)</f>
        <v>33231572.948570598</v>
      </c>
      <c r="I93" s="312"/>
    </row>
    <row r="94" spans="1:12" ht="27" customHeight="1" x14ac:dyDescent="0.4">
      <c r="A94" s="28" t="s">
        <v>61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  <c r="J94" s="1">
        <f>16/50*2/20</f>
        <v>3.2000000000000001E-2</v>
      </c>
    </row>
    <row r="95" spans="1:12" ht="27" customHeight="1" x14ac:dyDescent="0.4">
      <c r="A95" s="28" t="s">
        <v>62</v>
      </c>
      <c r="B95" s="29">
        <v>1</v>
      </c>
      <c r="C95" s="120" t="s">
        <v>63</v>
      </c>
      <c r="D95" s="121">
        <f>AVERAGE(D91:D94)</f>
        <v>29596324.666666668</v>
      </c>
      <c r="E95" s="52">
        <f>AVERAGE(E91:E94)</f>
        <v>33196607.39389227</v>
      </c>
      <c r="F95" s="122">
        <f>AVERAGE(F91:F94)</f>
        <v>34666984.666666664</v>
      </c>
      <c r="G95" s="123">
        <f>AVERAGE(G91:G94)</f>
        <v>33166573.120780069</v>
      </c>
    </row>
    <row r="96" spans="1:12" ht="26.25" customHeight="1" x14ac:dyDescent="0.4">
      <c r="A96" s="28" t="s">
        <v>64</v>
      </c>
      <c r="B96" s="14">
        <v>1</v>
      </c>
      <c r="C96" s="124" t="s">
        <v>105</v>
      </c>
      <c r="D96" s="125">
        <v>13.4</v>
      </c>
      <c r="E96" s="44"/>
      <c r="F96" s="56">
        <v>15.71</v>
      </c>
    </row>
    <row r="97" spans="1:10" ht="26.25" customHeight="1" x14ac:dyDescent="0.4">
      <c r="A97" s="28" t="s">
        <v>66</v>
      </c>
      <c r="B97" s="14">
        <v>1</v>
      </c>
      <c r="C97" s="126" t="s">
        <v>106</v>
      </c>
      <c r="D97" s="127">
        <f>D96*$B$87</f>
        <v>13.4</v>
      </c>
      <c r="E97" s="59"/>
      <c r="F97" s="58">
        <f>F96*$B$87</f>
        <v>15.71</v>
      </c>
    </row>
    <row r="98" spans="1:10" ht="19.5" customHeight="1" x14ac:dyDescent="0.3">
      <c r="A98" s="28" t="s">
        <v>68</v>
      </c>
      <c r="B98" s="128">
        <f>(B97/B96)*(B95/B94)*(B93/B92)*(B91/B90)*B89</f>
        <v>50</v>
      </c>
      <c r="C98" s="126" t="s">
        <v>107</v>
      </c>
      <c r="D98" s="129">
        <f>D97*$B$83/100</f>
        <v>13.373199999999999</v>
      </c>
      <c r="E98" s="62"/>
      <c r="F98" s="61">
        <f>F97*$B$83/100</f>
        <v>15.67858</v>
      </c>
    </row>
    <row r="99" spans="1:10" ht="19.5" customHeight="1" x14ac:dyDescent="0.3">
      <c r="A99" s="298" t="s">
        <v>70</v>
      </c>
      <c r="B99" s="313"/>
      <c r="C99" s="126" t="s">
        <v>108</v>
      </c>
      <c r="D99" s="130">
        <f>D98/$B$98</f>
        <v>0.26746399999999998</v>
      </c>
      <c r="E99" s="62"/>
      <c r="F99" s="65">
        <f>F98/$B$98</f>
        <v>0.31357160000000001</v>
      </c>
      <c r="G99" s="131"/>
      <c r="H99" s="54"/>
    </row>
    <row r="100" spans="1:10" ht="19.5" customHeight="1" x14ac:dyDescent="0.3">
      <c r="A100" s="300"/>
      <c r="B100" s="314"/>
      <c r="C100" s="126" t="s">
        <v>72</v>
      </c>
      <c r="D100" s="132">
        <f>$B$56/$B$116</f>
        <v>0.3</v>
      </c>
      <c r="F100" s="70"/>
      <c r="G100" s="133"/>
      <c r="H100" s="54"/>
    </row>
    <row r="101" spans="1:10" ht="18.75" x14ac:dyDescent="0.3">
      <c r="C101" s="126" t="s">
        <v>73</v>
      </c>
      <c r="D101" s="127">
        <f>D100*$B$98</f>
        <v>15</v>
      </c>
      <c r="F101" s="70"/>
      <c r="G101" s="131"/>
      <c r="H101" s="54"/>
    </row>
    <row r="102" spans="1:10" ht="19.5" customHeight="1" x14ac:dyDescent="0.3">
      <c r="C102" s="134" t="s">
        <v>74</v>
      </c>
      <c r="D102" s="135">
        <f>D101/B34</f>
        <v>15</v>
      </c>
      <c r="F102" s="74"/>
      <c r="G102" s="131"/>
      <c r="H102" s="54"/>
      <c r="J102" s="136"/>
    </row>
    <row r="103" spans="1:10" ht="18.75" x14ac:dyDescent="0.3">
      <c r="C103" s="137" t="s">
        <v>109</v>
      </c>
      <c r="D103" s="138">
        <f>AVERAGE(E91:E94,G91:G94)</f>
        <v>33181590.257336169</v>
      </c>
      <c r="F103" s="74"/>
      <c r="G103" s="139"/>
      <c r="H103" s="54"/>
      <c r="J103" s="140"/>
    </row>
    <row r="104" spans="1:10" ht="18.75" x14ac:dyDescent="0.3">
      <c r="C104" s="104" t="s">
        <v>76</v>
      </c>
      <c r="D104" s="141">
        <f>STDEV(E91:E94,G91:G94)/D103</f>
        <v>5.8312713196419794E-3</v>
      </c>
      <c r="F104" s="74"/>
      <c r="G104" s="131"/>
      <c r="H104" s="54"/>
      <c r="J104" s="140"/>
    </row>
    <row r="105" spans="1:10" ht="19.5" customHeight="1" x14ac:dyDescent="0.3">
      <c r="C105" s="106" t="s">
        <v>16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110</v>
      </c>
      <c r="B107" s="27">
        <v>1000</v>
      </c>
      <c r="C107" s="143" t="s">
        <v>111</v>
      </c>
      <c r="D107" s="144" t="s">
        <v>55</v>
      </c>
      <c r="E107" s="145" t="s">
        <v>112</v>
      </c>
      <c r="F107" s="146" t="s">
        <v>113</v>
      </c>
    </row>
    <row r="108" spans="1:10" ht="26.25" customHeight="1" x14ac:dyDescent="0.4">
      <c r="A108" s="28" t="s">
        <v>114</v>
      </c>
      <c r="B108" s="29">
        <v>1</v>
      </c>
      <c r="C108" s="147">
        <v>1</v>
      </c>
      <c r="D108" s="148">
        <v>36105465</v>
      </c>
      <c r="E108" s="179">
        <f t="shared" ref="E108:E113" si="1">IF(ISBLANK(D108),"-",D108/$D$103*$D$100*$B$116)</f>
        <v>326.43521350231902</v>
      </c>
      <c r="F108" s="149">
        <f t="shared" ref="F108:F113" si="2">IF(ISBLANK(D108), "-", E108/$B$56)</f>
        <v>1.0881173783410634</v>
      </c>
    </row>
    <row r="109" spans="1:10" ht="26.25" customHeight="1" x14ac:dyDescent="0.4">
      <c r="A109" s="28" t="s">
        <v>87</v>
      </c>
      <c r="B109" s="29">
        <v>1</v>
      </c>
      <c r="C109" s="147">
        <v>2</v>
      </c>
      <c r="D109" s="148">
        <v>36096607</v>
      </c>
      <c r="E109" s="180">
        <f t="shared" si="1"/>
        <v>326.35512692481046</v>
      </c>
      <c r="F109" s="150">
        <f t="shared" si="2"/>
        <v>1.0878504230827015</v>
      </c>
    </row>
    <row r="110" spans="1:10" ht="26.25" customHeight="1" x14ac:dyDescent="0.4">
      <c r="A110" s="28" t="s">
        <v>88</v>
      </c>
      <c r="B110" s="29">
        <v>1</v>
      </c>
      <c r="C110" s="147">
        <v>3</v>
      </c>
      <c r="D110" s="148">
        <v>34481127</v>
      </c>
      <c r="E110" s="180">
        <f t="shared" si="1"/>
        <v>311.74931700908922</v>
      </c>
      <c r="F110" s="150">
        <f t="shared" si="2"/>
        <v>1.0391643900302974</v>
      </c>
    </row>
    <row r="111" spans="1:10" ht="26.25" customHeight="1" x14ac:dyDescent="0.4">
      <c r="A111" s="28" t="s">
        <v>89</v>
      </c>
      <c r="B111" s="29">
        <v>1</v>
      </c>
      <c r="C111" s="147">
        <v>4</v>
      </c>
      <c r="D111" s="148">
        <v>35443959</v>
      </c>
      <c r="E111" s="180">
        <f t="shared" si="1"/>
        <v>320.45443324251443</v>
      </c>
      <c r="F111" s="150">
        <f t="shared" si="2"/>
        <v>1.0681814441417148</v>
      </c>
    </row>
    <row r="112" spans="1:10" ht="26.25" customHeight="1" x14ac:dyDescent="0.4">
      <c r="A112" s="28" t="s">
        <v>90</v>
      </c>
      <c r="B112" s="29">
        <v>1</v>
      </c>
      <c r="C112" s="147">
        <v>5</v>
      </c>
      <c r="D112" s="148">
        <v>35406833</v>
      </c>
      <c r="E112" s="180">
        <f t="shared" si="1"/>
        <v>320.11877121083893</v>
      </c>
      <c r="F112" s="150">
        <f t="shared" si="2"/>
        <v>1.0670625707027965</v>
      </c>
    </row>
    <row r="113" spans="1:10" ht="26.25" customHeight="1" x14ac:dyDescent="0.4">
      <c r="A113" s="28" t="s">
        <v>92</v>
      </c>
      <c r="B113" s="29">
        <v>1</v>
      </c>
      <c r="C113" s="151">
        <v>6</v>
      </c>
      <c r="D113" s="152">
        <v>35503021</v>
      </c>
      <c r="E113" s="181">
        <f t="shared" si="1"/>
        <v>320.98842211594047</v>
      </c>
      <c r="F113" s="153">
        <f t="shared" si="2"/>
        <v>1.0699614070531349</v>
      </c>
    </row>
    <row r="114" spans="1:10" ht="26.25" customHeight="1" x14ac:dyDescent="0.4">
      <c r="A114" s="28" t="s">
        <v>93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94</v>
      </c>
      <c r="B115" s="29">
        <v>1</v>
      </c>
      <c r="C115" s="147"/>
      <c r="D115" s="155" t="s">
        <v>63</v>
      </c>
      <c r="E115" s="183">
        <f>AVERAGE(E108:E113)</f>
        <v>321.01688066758544</v>
      </c>
      <c r="F115" s="156">
        <f>AVERAGE(F108:F113)</f>
        <v>1.0700562688919515</v>
      </c>
    </row>
    <row r="116" spans="1:10" ht="27" customHeight="1" x14ac:dyDescent="0.4">
      <c r="A116" s="28" t="s">
        <v>95</v>
      </c>
      <c r="B116" s="60">
        <f>(B115/B114)*(B113/B112)*(B111/B110)*(B109/B108)*B107</f>
        <v>1000</v>
      </c>
      <c r="C116" s="157"/>
      <c r="D116" s="120" t="s">
        <v>76</v>
      </c>
      <c r="E116" s="158">
        <f>STDEV(E108:E113)/E115</f>
        <v>1.6767619393452653E-2</v>
      </c>
      <c r="F116" s="158">
        <f>STDEV(F108:F113)/F115</f>
        <v>1.6767619393452657E-2</v>
      </c>
      <c r="I116" s="3"/>
    </row>
    <row r="117" spans="1:10" ht="27" customHeight="1" x14ac:dyDescent="0.4">
      <c r="A117" s="298" t="s">
        <v>70</v>
      </c>
      <c r="B117" s="299"/>
      <c r="C117" s="159"/>
      <c r="D117" s="160" t="s">
        <v>16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300"/>
      <c r="B118" s="301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98</v>
      </c>
      <c r="B120" s="108" t="s">
        <v>115</v>
      </c>
      <c r="C120" s="302" t="str">
        <f>B20</f>
        <v>Tenofovir disoproxil fumarate</v>
      </c>
      <c r="D120" s="302"/>
      <c r="E120" s="109" t="s">
        <v>116</v>
      </c>
      <c r="F120" s="109"/>
      <c r="G120" s="110">
        <f>F115</f>
        <v>1.0700562688919515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303" t="s">
        <v>18</v>
      </c>
      <c r="C122" s="303"/>
      <c r="E122" s="115" t="s">
        <v>19</v>
      </c>
      <c r="F122" s="164"/>
      <c r="G122" s="303" t="s">
        <v>20</v>
      </c>
      <c r="H122" s="303"/>
    </row>
    <row r="123" spans="1:10" ht="69.95" customHeight="1" x14ac:dyDescent="0.3">
      <c r="A123" s="165" t="s">
        <v>21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22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tdf</vt:lpstr>
      <vt:lpstr>Uniformity  </vt:lpstr>
      <vt:lpstr>Tenofovir</vt:lpstr>
      <vt:lpstr>Tenofovir!Print_Area</vt:lpstr>
      <vt:lpstr>'Uniformity 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2016-02-29T09:35:44Z</cp:lastPrinted>
  <dcterms:created xsi:type="dcterms:W3CDTF">2005-07-05T10:19:27Z</dcterms:created>
  <dcterms:modified xsi:type="dcterms:W3CDTF">2016-02-29T09:44:56Z</dcterms:modified>
</cp:coreProperties>
</file>