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ISONIAZID" sheetId="4" r:id="rId3"/>
    <sheet name="Sheet1" sheetId="5" r:id="rId4"/>
  </sheets>
  <definedNames>
    <definedName name="_xlnm.Print_Area" localSheetId="2">ISONIAZID!$A$1:$J$129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G76" i="4" l="1"/>
  <c r="H72" i="4"/>
  <c r="D97" i="4" l="1"/>
  <c r="F11" i="5" l="1"/>
  <c r="F16" i="5" l="1"/>
  <c r="B21" i="1" l="1"/>
  <c r="C120" i="4" l="1"/>
  <c r="B116" i="4"/>
  <c r="D100" i="4" s="1"/>
  <c r="B98" i="4"/>
  <c r="F95" i="4"/>
  <c r="D95" i="4"/>
  <c r="B87" i="4"/>
  <c r="B83" i="4"/>
  <c r="B79" i="4"/>
  <c r="C76" i="4"/>
  <c r="B68" i="4"/>
  <c r="C56" i="4"/>
  <c r="B55" i="4"/>
  <c r="B45" i="4"/>
  <c r="D48" i="4" s="1"/>
  <c r="D44" i="4"/>
  <c r="F42" i="4"/>
  <c r="D42" i="4"/>
  <c r="B34" i="4"/>
  <c r="F44" i="4" s="1"/>
  <c r="B30" i="4"/>
  <c r="C46" i="2"/>
  <c r="B57" i="4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3" i="2" l="1"/>
  <c r="D27" i="2"/>
  <c r="D31" i="2"/>
  <c r="D35" i="2"/>
  <c r="D36" i="2"/>
  <c r="D28" i="2"/>
  <c r="D39" i="2"/>
  <c r="B69" i="4"/>
  <c r="D24" i="2"/>
  <c r="D32" i="2"/>
  <c r="D40" i="2"/>
  <c r="C49" i="2"/>
  <c r="D101" i="4"/>
  <c r="D102" i="4" s="1"/>
  <c r="I92" i="4"/>
  <c r="F97" i="4"/>
  <c r="F98" i="4" s="1"/>
  <c r="G91" i="4" s="1"/>
  <c r="I39" i="4"/>
  <c r="D49" i="4"/>
  <c r="D45" i="4"/>
  <c r="E40" i="4" s="1"/>
  <c r="D98" i="4"/>
  <c r="E91" i="4" s="1"/>
  <c r="F45" i="4"/>
  <c r="G38" i="4" s="1"/>
  <c r="D49" i="2"/>
  <c r="C50" i="2"/>
  <c r="D25" i="2"/>
  <c r="D29" i="2"/>
  <c r="D33" i="2"/>
  <c r="D37" i="2"/>
  <c r="D41" i="2"/>
  <c r="D26" i="2"/>
  <c r="D30" i="2"/>
  <c r="D34" i="2"/>
  <c r="D38" i="2"/>
  <c r="D42" i="2"/>
  <c r="B49" i="2"/>
  <c r="D50" i="2"/>
  <c r="G40" i="4" l="1"/>
  <c r="E93" i="4"/>
  <c r="E92" i="4"/>
  <c r="G93" i="4"/>
  <c r="G94" i="4"/>
  <c r="F99" i="4"/>
  <c r="G92" i="4"/>
  <c r="D99" i="4"/>
  <c r="E94" i="4"/>
  <c r="G39" i="4"/>
  <c r="E41" i="4"/>
  <c r="E39" i="4"/>
  <c r="G41" i="4"/>
  <c r="D46" i="4"/>
  <c r="F46" i="4"/>
  <c r="E38" i="4"/>
  <c r="E42" i="4" l="1"/>
  <c r="G95" i="4"/>
  <c r="E95" i="4"/>
  <c r="D105" i="4"/>
  <c r="G42" i="4"/>
  <c r="D50" i="4"/>
  <c r="G70" i="4" s="1"/>
  <c r="H70" i="4" s="1"/>
  <c r="D52" i="4"/>
  <c r="D103" i="4"/>
  <c r="E108" i="4" s="1"/>
  <c r="F108" i="4" s="1"/>
  <c r="E111" i="4" l="1"/>
  <c r="F111" i="4" s="1"/>
  <c r="D104" i="4"/>
  <c r="E110" i="4"/>
  <c r="F110" i="4" s="1"/>
  <c r="E113" i="4"/>
  <c r="F113" i="4" s="1"/>
  <c r="E109" i="4"/>
  <c r="F109" i="4" s="1"/>
  <c r="E112" i="4"/>
  <c r="F112" i="4" s="1"/>
  <c r="G60" i="4"/>
  <c r="H60" i="4" s="1"/>
  <c r="G62" i="4"/>
  <c r="H62" i="4" s="1"/>
  <c r="G61" i="4"/>
  <c r="H61" i="4" s="1"/>
  <c r="G71" i="4"/>
  <c r="H71" i="4" s="1"/>
  <c r="G66" i="4"/>
  <c r="H66" i="4" s="1"/>
  <c r="G63" i="4"/>
  <c r="H63" i="4" s="1"/>
  <c r="G69" i="4"/>
  <c r="H69" i="4" s="1"/>
  <c r="D51" i="4"/>
  <c r="G65" i="4"/>
  <c r="H65" i="4" s="1"/>
  <c r="G64" i="4"/>
  <c r="H64" i="4" s="1"/>
  <c r="G68" i="4"/>
  <c r="H68" i="4" s="1"/>
  <c r="G67" i="4"/>
  <c r="H67" i="4" s="1"/>
  <c r="F115" i="4" l="1"/>
  <c r="G120" i="4" s="1"/>
  <c r="F117" i="4"/>
  <c r="H74" i="4"/>
  <c r="F116" i="4" l="1"/>
  <c r="H73" i="4"/>
</calcChain>
</file>

<file path=xl/sharedStrings.xml><?xml version="1.0" encoding="utf-8"?>
<sst xmlns="http://schemas.openxmlformats.org/spreadsheetml/2006/main" count="234" uniqueCount="131">
  <si>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</si>
  <si>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</si>
  <si>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</si>
  <si>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</si>
  <si>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</si>
  <si>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</si>
  <si>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</si>
  <si>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</si>
  <si>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</si>
  <si>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</si>
  <si>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</si>
  <si>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</si>
  <si>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</si>
  <si>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</si>
  <si>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</si>
  <si>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</si>
  <si>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</si>
  <si>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</si>
  <si>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</si>
  <si>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</si>
  <si>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</si>
  <si>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</si>
  <si>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</si>
  <si>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</si>
  <si>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</si>
  <si>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</si>
  <si>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</si>
  <si>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</si>
  <si>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</si>
  <si>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</si>
  <si>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</si>
  <si>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</si>
  <si>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</si>
  <si>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</si>
  <si>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</si>
  <si>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</si>
  <si>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</si>
  <si>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</si>
  <si>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</si>
  <si>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</si>
  <si>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</si>
  <si>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</si>
  <si>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</si>
  <si>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</si>
  <si>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</si>
  <si>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</si>
  <si>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</si>
  <si>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</si>
  <si>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</si>
  <si>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</si>
  <si>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</si>
  <si>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</si>
  <si>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</si>
  <si>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</si>
  <si>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</si>
  <si>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</si>
  <si>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</si>
  <si>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</si>
  <si>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</si>
  <si>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</si>
  <si>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</si>
  <si>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</si>
  <si>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</si>
  <si>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</si>
  <si>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</si>
  <si>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</si>
  <si>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</si>
  <si>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</si>
  <si>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</si>
  <si>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</si>
  <si>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</si>
  <si>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</si>
  <si>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</si>
  <si>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</si>
  <si>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</si>
  <si>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</si>
  <si>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</si>
  <si>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</si>
  <si>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</si>
  <si>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</si>
  <si>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</si>
  <si>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</si>
  <si>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</si>
  <si>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</si>
  <si>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</si>
  <si>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</si>
  <si>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</si>
  <si>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</si>
  <si>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</si>
  <si>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</si>
  <si>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</si>
  <si>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</si>
  <si>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</si>
  <si>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</si>
  <si>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</si>
  <si>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</si>
  <si>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</si>
  <si>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</si>
  <si>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</si>
  <si>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Amt Released (mg):</t>
  </si>
  <si>
    <t>%age Released:</t>
  </si>
  <si>
    <t>If correction for water content is not needed please enter 0</t>
  </si>
  <si>
    <t>Amt of RS (mg):</t>
  </si>
  <si>
    <t>Amt of RS as free base (mg):</t>
  </si>
  <si>
    <t>Purity correction:</t>
  </si>
  <si>
    <t>Conc (mg/mL):</t>
  </si>
  <si>
    <t xml:space="preserve">The amount  of </t>
  </si>
  <si>
    <t xml:space="preserve">dissolved as a percentage of the stated  label claim is </t>
  </si>
  <si>
    <t>National Quality Control Laoboratory</t>
  </si>
  <si>
    <t>Laboratory Data Calculation Spreadsheet</t>
  </si>
  <si>
    <t>Initial Standard dilution volume (mL):</t>
  </si>
  <si>
    <t xml:space="preserve">Std Response Deviation 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</si>
  <si>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</si>
  <si>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</si>
  <si>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</si>
  <si>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</si>
  <si>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</si>
  <si>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</si>
  <si>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</si>
  <si>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Capsule No.</t>
  </si>
  <si>
    <t>16-02-11</t>
  </si>
  <si>
    <t>ISONIAZID TABLETS</t>
  </si>
  <si>
    <t xml:space="preserve">ISONIAZID </t>
  </si>
  <si>
    <t>ISONIAZID</t>
  </si>
  <si>
    <t xml:space="preserve">Isoniazid Tablets </t>
  </si>
  <si>
    <t>Isoniazid</t>
  </si>
  <si>
    <t>2016-02-11,12:38:56</t>
  </si>
  <si>
    <t>I8-1</t>
  </si>
  <si>
    <t>NDQB201601715</t>
  </si>
  <si>
    <t>Isoniazid Tablets BP 300mg</t>
  </si>
  <si>
    <t>Each tablet contains Isoniazid 300mg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</si>
</sst>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1" formatCode="dd\-mmm\-yyyy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Calibri"/>
    </font>
    <font>
      <b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6" fillId="2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2" fontId="17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5" xfId="0" applyFont="1" applyFill="1" applyBorder="1" applyAlignment="1">
      <alignment horizontal="right"/>
    </xf>
    <xf numFmtId="0" fontId="17" fillId="3" borderId="21" xfId="0" applyFont="1" applyFill="1" applyBorder="1" applyAlignment="1" applyProtection="1">
      <alignment horizontal="center"/>
      <protection locked="0"/>
    </xf>
    <xf numFmtId="0" fontId="11" fillId="2" borderId="26" xfId="0" applyFont="1" applyFill="1" applyBorder="1" applyAlignment="1">
      <alignment horizontal="right"/>
    </xf>
    <xf numFmtId="0" fontId="17" fillId="3" borderId="22" xfId="0" applyFont="1" applyFill="1" applyBorder="1" applyAlignment="1" applyProtection="1">
      <alignment horizontal="center"/>
      <protection locked="0"/>
    </xf>
    <xf numFmtId="0" fontId="13" fillId="2" borderId="21" xfId="0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7" fillId="3" borderId="44" xfId="0" applyFont="1" applyFill="1" applyBorder="1" applyAlignment="1" applyProtection="1">
      <alignment horizontal="center"/>
      <protection locked="0"/>
    </xf>
    <xf numFmtId="168" fontId="11" fillId="2" borderId="28" xfId="0" applyNumberFormat="1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0" fontId="14" fillId="2" borderId="13" xfId="0" applyFont="1" applyFill="1" applyBorder="1"/>
    <xf numFmtId="0" fontId="11" fillId="2" borderId="22" xfId="0" applyFont="1" applyFill="1" applyBorder="1" applyAlignment="1">
      <alignment horizontal="center"/>
    </xf>
    <xf numFmtId="0" fontId="17" fillId="3" borderId="26" xfId="0" applyFont="1" applyFill="1" applyBorder="1" applyAlignment="1" applyProtection="1">
      <alignment horizontal="center"/>
      <protection locked="0"/>
    </xf>
    <xf numFmtId="168" fontId="11" fillId="2" borderId="45" xfId="0" applyNumberFormat="1" applyFont="1" applyFill="1" applyBorder="1" applyAlignment="1">
      <alignment horizontal="center"/>
    </xf>
    <xf numFmtId="168" fontId="11" fillId="2" borderId="4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7" fillId="3" borderId="47" xfId="0" applyFont="1" applyFill="1" applyBorder="1" applyAlignment="1" applyProtection="1">
      <alignment horizontal="center"/>
      <protection locked="0"/>
    </xf>
    <xf numFmtId="168" fontId="11" fillId="2" borderId="48" xfId="0" applyNumberFormat="1" applyFont="1" applyFill="1" applyBorder="1" applyAlignment="1">
      <alignment horizontal="center"/>
    </xf>
    <xf numFmtId="168" fontId="11" fillId="2" borderId="49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2" xfId="0" applyFont="1" applyFill="1" applyBorder="1" applyAlignment="1">
      <alignment horizontal="right"/>
    </xf>
    <xf numFmtId="1" fontId="13" fillId="6" borderId="55" xfId="0" applyNumberFormat="1" applyFont="1" applyFill="1" applyBorder="1" applyAlignment="1">
      <alignment horizontal="center"/>
    </xf>
    <xf numFmtId="168" fontId="13" fillId="6" borderId="33" xfId="0" applyNumberFormat="1" applyFont="1" applyFill="1" applyBorder="1" applyAlignment="1">
      <alignment horizontal="center"/>
    </xf>
    <xf numFmtId="168" fontId="13" fillId="6" borderId="3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7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59" xfId="0" applyFont="1" applyFill="1" applyBorder="1" applyAlignment="1">
      <alignment horizontal="right"/>
    </xf>
    <xf numFmtId="166" fontId="17" fillId="3" borderId="39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4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8" fontId="13" fillId="7" borderId="13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0" fontId="11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7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7" fillId="3" borderId="25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7" fillId="3" borderId="26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7" fillId="3" borderId="40" xfId="0" applyFont="1" applyFill="1" applyBorder="1" applyAlignment="1" applyProtection="1">
      <alignment horizontal="center"/>
      <protection locked="0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/>
    </xf>
    <xf numFmtId="2" fontId="16" fillId="2" borderId="2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7" fillId="7" borderId="32" xfId="0" applyNumberFormat="1" applyFont="1" applyFill="1" applyBorder="1" applyAlignment="1">
      <alignment horizontal="center"/>
    </xf>
    <xf numFmtId="0" fontId="11" fillId="2" borderId="39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7" fillId="7" borderId="5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7" fillId="3" borderId="0" xfId="0" applyFont="1" applyFill="1" applyAlignment="1" applyProtection="1">
      <alignment horizontal="center"/>
      <protection locked="0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8" fontId="17" fillId="3" borderId="47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3" fillId="6" borderId="31" xfId="0" applyNumberFormat="1" applyFont="1" applyFill="1" applyBorder="1" applyAlignment="1">
      <alignment horizontal="center"/>
    </xf>
    <xf numFmtId="1" fontId="13" fillId="6" borderId="34" xfId="0" applyNumberFormat="1" applyFont="1" applyFill="1" applyBorder="1" applyAlignment="1">
      <alignment horizontal="center"/>
    </xf>
    <xf numFmtId="168" fontId="13" fillId="6" borderId="15" xfId="0" applyNumberFormat="1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7" fillId="3" borderId="36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8" xfId="0" applyNumberFormat="1" applyFont="1" applyFill="1" applyBorder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 applyAlignment="1">
      <alignment horizontal="center"/>
    </xf>
    <xf numFmtId="0" fontId="11" fillId="2" borderId="27" xfId="0" applyFont="1" applyFill="1" applyBorder="1" applyAlignment="1">
      <alignment horizontal="right"/>
    </xf>
    <xf numFmtId="2" fontId="11" fillId="7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68" fontId="13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3" fillId="6" borderId="39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50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 wrapText="1"/>
    </xf>
    <xf numFmtId="0" fontId="11" fillId="2" borderId="26" xfId="0" applyFont="1" applyFill="1" applyBorder="1" applyAlignment="1">
      <alignment horizontal="center"/>
    </xf>
    <xf numFmtId="10" fontId="11" fillId="2" borderId="29" xfId="0" applyNumberFormat="1" applyFont="1" applyFill="1" applyBorder="1" applyAlignment="1">
      <alignment horizontal="center"/>
    </xf>
    <xf numFmtId="10" fontId="11" fillId="2" borderId="46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11" fillId="2" borderId="2" xfId="0" applyNumberFormat="1" applyFont="1" applyFill="1" applyBorder="1" applyAlignment="1">
      <alignment horizontal="right"/>
    </xf>
    <xf numFmtId="10" fontId="17" fillId="7" borderId="38" xfId="0" applyNumberFormat="1" applyFont="1" applyFill="1" applyBorder="1" applyAlignment="1">
      <alignment horizontal="center"/>
    </xf>
    <xf numFmtId="0" fontId="11" fillId="2" borderId="26" xfId="0" applyFont="1" applyFill="1" applyBorder="1"/>
    <xf numFmtId="0" fontId="11" fillId="2" borderId="6" xfId="0" applyFont="1" applyFill="1" applyBorder="1"/>
    <xf numFmtId="10" fontId="17" fillId="6" borderId="38" xfId="0" applyNumberFormat="1" applyFont="1" applyFill="1" applyBorder="1" applyAlignment="1">
      <alignment horizontal="center"/>
    </xf>
    <xf numFmtId="0" fontId="11" fillId="2" borderId="40" xfId="0" applyFont="1" applyFill="1" applyBorder="1"/>
    <xf numFmtId="0" fontId="11" fillId="2" borderId="5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0" fontId="17" fillId="7" borderId="1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6" fillId="2" borderId="0" xfId="0" applyFont="1" applyFill="1" applyProtection="1">
      <protection locked="0"/>
    </xf>
    <xf numFmtId="166" fontId="11" fillId="2" borderId="2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7" fillId="6" borderId="57" xfId="0" applyNumberFormat="1" applyFont="1" applyFill="1" applyBorder="1" applyAlignment="1">
      <alignment horizontal="center"/>
    </xf>
    <xf numFmtId="166" fontId="11" fillId="2" borderId="28" xfId="0" applyNumberFormat="1" applyFont="1" applyFill="1" applyBorder="1" applyAlignment="1">
      <alignment horizontal="center"/>
    </xf>
    <xf numFmtId="166" fontId="11" fillId="2" borderId="45" xfId="0" applyNumberFormat="1" applyFont="1" applyFill="1" applyBorder="1" applyAlignment="1">
      <alignment horizontal="center"/>
    </xf>
    <xf numFmtId="166" fontId="11" fillId="2" borderId="48" xfId="0" applyNumberFormat="1" applyFont="1" applyFill="1" applyBorder="1" applyAlignment="1">
      <alignment horizontal="center"/>
    </xf>
    <xf numFmtId="22" fontId="6" fillId="2" borderId="0" xfId="0" applyNumberFormat="1" applyFont="1" applyFill="1"/>
    <xf numFmtId="166" fontId="0" fillId="2" borderId="0" xfId="0" applyNumberFormat="1" applyFill="1"/>
    <xf numFmtId="166" fontId="17" fillId="3" borderId="45" xfId="0" applyNumberFormat="1" applyFont="1" applyFill="1" applyBorder="1" applyAlignment="1" applyProtection="1">
      <alignment horizontal="center"/>
      <protection locked="0"/>
    </xf>
    <xf numFmtId="166" fontId="17" fillId="3" borderId="48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left" wrapText="1"/>
      <protection locked="0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 wrapText="1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58" xfId="0" applyFont="1" applyFill="1" applyBorder="1" applyAlignment="1">
      <alignment horizontal="center"/>
    </xf>
    <xf numFmtId="0" fontId="17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40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B19" sqref="B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124</v>
      </c>
      <c r="D17" s="9"/>
      <c r="E17" s="10"/>
    </row>
    <row r="18" spans="1:6" ht="16.5" customHeight="1" x14ac:dyDescent="0.3">
      <c r="A18" s="11" t="s">
        <v>4</v>
      </c>
      <c r="B18" s="8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 t="s">
        <v>128</v>
      </c>
      <c r="C19" s="10"/>
      <c r="D19" s="10"/>
      <c r="E19" s="10"/>
    </row>
    <row r="20" spans="1:6" ht="16.5" customHeight="1" x14ac:dyDescent="0.3">
      <c r="A20" s="7" t="s">
        <v>6</v>
      </c>
      <c r="B20" s="12">
        <v>15.89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B20/100*10/100</f>
        <v>1.5890000000000001E-2</v>
      </c>
      <c r="C21" s="10"/>
      <c r="D21" s="10"/>
      <c r="E21" s="10"/>
    </row>
    <row r="22" spans="1:6" ht="15.75" customHeight="1" x14ac:dyDescent="0.25">
      <c r="A22" s="10"/>
      <c r="B22" s="278">
        <v>42411.353252314817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174642419</v>
      </c>
      <c r="C24" s="18">
        <v>9649.6</v>
      </c>
      <c r="D24" s="19">
        <v>1.2</v>
      </c>
      <c r="E24" s="20">
        <v>4.8</v>
      </c>
    </row>
    <row r="25" spans="1:6" ht="16.5" customHeight="1" x14ac:dyDescent="0.3">
      <c r="A25" s="17">
        <v>2</v>
      </c>
      <c r="B25" s="18">
        <v>174558573</v>
      </c>
      <c r="C25" s="18">
        <v>9623.2000000000007</v>
      </c>
      <c r="D25" s="19">
        <v>1.2</v>
      </c>
      <c r="E25" s="19">
        <v>4.8</v>
      </c>
    </row>
    <row r="26" spans="1:6" ht="16.5" customHeight="1" x14ac:dyDescent="0.3">
      <c r="A26" s="17">
        <v>3</v>
      </c>
      <c r="B26" s="18">
        <v>174492193</v>
      </c>
      <c r="C26" s="18">
        <v>97771</v>
      </c>
      <c r="D26" s="19">
        <v>1.2</v>
      </c>
      <c r="E26" s="19">
        <v>4.8</v>
      </c>
    </row>
    <row r="27" spans="1:6" ht="16.5" customHeight="1" x14ac:dyDescent="0.3">
      <c r="A27" s="17">
        <v>4</v>
      </c>
      <c r="B27" s="18">
        <v>174193946</v>
      </c>
      <c r="C27" s="18">
        <v>9573.6</v>
      </c>
      <c r="D27" s="19">
        <v>1.2</v>
      </c>
      <c r="E27" s="19">
        <v>4.8</v>
      </c>
    </row>
    <row r="28" spans="1:6" ht="16.5" customHeight="1" x14ac:dyDescent="0.3">
      <c r="A28" s="17">
        <v>5</v>
      </c>
      <c r="B28" s="18">
        <v>174520667</v>
      </c>
      <c r="C28" s="18">
        <v>9743.1</v>
      </c>
      <c r="D28" s="19">
        <v>1.2</v>
      </c>
      <c r="E28" s="19">
        <v>4.8</v>
      </c>
    </row>
    <row r="29" spans="1:6" ht="16.5" customHeight="1" x14ac:dyDescent="0.3">
      <c r="A29" s="17">
        <v>6</v>
      </c>
      <c r="B29" s="21">
        <v>174287895</v>
      </c>
      <c r="C29" s="21">
        <v>9762.6</v>
      </c>
      <c r="D29" s="22">
        <v>1.2</v>
      </c>
      <c r="E29" s="22">
        <v>4.8</v>
      </c>
    </row>
    <row r="30" spans="1:6" ht="16.5" customHeight="1" x14ac:dyDescent="0.3">
      <c r="A30" s="23" t="s">
        <v>13</v>
      </c>
      <c r="B30" s="24">
        <f>AVERAGE(B24:B29)</f>
        <v>174449282.16666666</v>
      </c>
      <c r="C30" s="25">
        <f>AVERAGE(C24:C29)</f>
        <v>24353.850000000002</v>
      </c>
      <c r="D30" s="26">
        <f>AVERAGE(D24:D29)</f>
        <v>1.2</v>
      </c>
      <c r="E30" s="26">
        <f>AVERAGE(E24:E29)</f>
        <v>4.8</v>
      </c>
    </row>
    <row r="31" spans="1:6" ht="16.5" customHeight="1" x14ac:dyDescent="0.3">
      <c r="A31" s="27" t="s">
        <v>14</v>
      </c>
      <c r="B31" s="28">
        <f>(STDEV(B24:B29)/B30)</f>
        <v>9.8431160440190274E-4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21</v>
      </c>
      <c r="C59" s="283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3" workbookViewId="0">
      <selection activeCell="C43" sqref="C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26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27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28</v>
      </c>
      <c r="B14" s="291"/>
      <c r="C14" s="60" t="s">
        <v>124</v>
      </c>
    </row>
    <row r="15" spans="1:7" ht="16.5" customHeight="1" x14ac:dyDescent="0.3">
      <c r="A15" s="291" t="s">
        <v>29</v>
      </c>
      <c r="B15" s="291"/>
      <c r="C15" s="60" t="s">
        <v>128</v>
      </c>
    </row>
    <row r="16" spans="1:7" ht="16.5" customHeight="1" x14ac:dyDescent="0.3">
      <c r="A16" s="291" t="s">
        <v>30</v>
      </c>
      <c r="B16" s="291"/>
      <c r="C16" s="60" t="s">
        <v>125</v>
      </c>
    </row>
    <row r="17" spans="1:5" ht="16.5" customHeight="1" x14ac:dyDescent="0.3">
      <c r="A17" s="291" t="s">
        <v>31</v>
      </c>
      <c r="B17" s="291"/>
      <c r="C17" s="60" t="s">
        <v>129</v>
      </c>
    </row>
    <row r="18" spans="1:5" ht="16.5" customHeight="1" x14ac:dyDescent="0.3">
      <c r="A18" s="291" t="s">
        <v>32</v>
      </c>
      <c r="B18" s="291"/>
      <c r="C18" s="97" t="s">
        <v>126</v>
      </c>
    </row>
    <row r="19" spans="1:5" ht="16.5" customHeight="1" x14ac:dyDescent="0.3">
      <c r="A19" s="291" t="s">
        <v>33</v>
      </c>
      <c r="B19" s="291"/>
      <c r="C19" s="97" t="s">
        <v>120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34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35</v>
      </c>
      <c r="D23" s="85" t="s">
        <v>36</v>
      </c>
      <c r="E23" s="52"/>
    </row>
    <row r="24" spans="1:5" ht="15.75" customHeight="1" x14ac:dyDescent="0.3">
      <c r="C24" s="95">
        <v>549.13</v>
      </c>
      <c r="D24" s="87">
        <f t="shared" ref="D24:D43" si="0">(C24-$C$46)/$C$46</f>
        <v>-1.0413428520197285E-2</v>
      </c>
      <c r="E24" s="53"/>
    </row>
    <row r="25" spans="1:5" ht="15.75" customHeight="1" x14ac:dyDescent="0.3">
      <c r="C25" s="95">
        <v>557.84</v>
      </c>
      <c r="D25" s="88">
        <f t="shared" si="0"/>
        <v>5.2828529388180981E-3</v>
      </c>
      <c r="E25" s="53"/>
    </row>
    <row r="26" spans="1:5" ht="15.75" customHeight="1" x14ac:dyDescent="0.3">
      <c r="C26" s="95">
        <v>554</v>
      </c>
      <c r="D26" s="88">
        <f t="shared" si="0"/>
        <v>-1.6372068548236153E-3</v>
      </c>
      <c r="E26" s="53"/>
    </row>
    <row r="27" spans="1:5" ht="15.75" customHeight="1" x14ac:dyDescent="0.3">
      <c r="C27" s="95">
        <v>545.16999999999996</v>
      </c>
      <c r="D27" s="88">
        <f t="shared" si="0"/>
        <v>-1.7549740182390309E-2</v>
      </c>
      <c r="E27" s="53"/>
    </row>
    <row r="28" spans="1:5" ht="15.75" customHeight="1" x14ac:dyDescent="0.3">
      <c r="C28" s="95">
        <v>556.98</v>
      </c>
      <c r="D28" s="88">
        <f t="shared" si="0"/>
        <v>3.7330478808670774E-3</v>
      </c>
      <c r="E28" s="53"/>
    </row>
    <row r="29" spans="1:5" ht="15.75" customHeight="1" x14ac:dyDescent="0.3">
      <c r="C29" s="95">
        <v>561.87</v>
      </c>
      <c r="D29" s="88">
        <f t="shared" si="0"/>
        <v>1.2545311524332598E-2</v>
      </c>
      <c r="E29" s="53"/>
    </row>
    <row r="30" spans="1:5" ht="15.75" customHeight="1" x14ac:dyDescent="0.3">
      <c r="C30" s="95">
        <v>554.54</v>
      </c>
      <c r="D30" s="88">
        <f t="shared" si="0"/>
        <v>-6.64073446342823E-4</v>
      </c>
      <c r="E30" s="53"/>
    </row>
    <row r="31" spans="1:5" ht="15.75" customHeight="1" x14ac:dyDescent="0.3">
      <c r="C31" s="95">
        <v>548.38</v>
      </c>
      <c r="D31" s="88">
        <f t="shared" si="0"/>
        <v>-1.1765002698642921E-2</v>
      </c>
      <c r="E31" s="53"/>
    </row>
    <row r="32" spans="1:5" ht="15.75" customHeight="1" x14ac:dyDescent="0.3">
      <c r="C32" s="95">
        <v>558.07000000000005</v>
      </c>
      <c r="D32" s="88">
        <f t="shared" si="0"/>
        <v>5.6973356868747927E-3</v>
      </c>
      <c r="E32" s="53"/>
    </row>
    <row r="33" spans="1:7" ht="15.75" customHeight="1" x14ac:dyDescent="0.3">
      <c r="C33" s="95">
        <v>558.52</v>
      </c>
      <c r="D33" s="88">
        <f t="shared" si="0"/>
        <v>6.5082801939420508E-3</v>
      </c>
      <c r="E33" s="53"/>
    </row>
    <row r="34" spans="1:7" ht="15.75" customHeight="1" x14ac:dyDescent="0.3">
      <c r="C34" s="95">
        <v>552.15</v>
      </c>
      <c r="D34" s="88">
        <f t="shared" si="0"/>
        <v>-4.9710898283228918E-3</v>
      </c>
      <c r="E34" s="53"/>
    </row>
    <row r="35" spans="1:7" ht="15.75" customHeight="1" x14ac:dyDescent="0.3">
      <c r="C35" s="95">
        <v>550.92999999999995</v>
      </c>
      <c r="D35" s="88">
        <f t="shared" si="0"/>
        <v>-7.1696504919278418E-3</v>
      </c>
      <c r="E35" s="53"/>
    </row>
    <row r="36" spans="1:7" ht="15.75" customHeight="1" x14ac:dyDescent="0.3">
      <c r="C36" s="95">
        <v>557.42999999999995</v>
      </c>
      <c r="D36" s="88">
        <f t="shared" si="0"/>
        <v>4.5439923879343359E-3</v>
      </c>
      <c r="E36" s="53"/>
    </row>
    <row r="37" spans="1:7" ht="15.75" customHeight="1" x14ac:dyDescent="0.3">
      <c r="C37" s="95">
        <v>556.96</v>
      </c>
      <c r="D37" s="88">
        <f t="shared" si="0"/>
        <v>3.6970059027752267E-3</v>
      </c>
      <c r="E37" s="53"/>
    </row>
    <row r="38" spans="1:7" ht="15.75" customHeight="1" x14ac:dyDescent="0.3">
      <c r="C38" s="95">
        <v>547.85</v>
      </c>
      <c r="D38" s="88">
        <f t="shared" si="0"/>
        <v>-1.2720115118077789E-2</v>
      </c>
      <c r="E38" s="53"/>
    </row>
    <row r="39" spans="1:7" ht="15.75" customHeight="1" x14ac:dyDescent="0.3">
      <c r="C39" s="95">
        <v>553.16</v>
      </c>
      <c r="D39" s="88">
        <f t="shared" si="0"/>
        <v>-3.1509699346827847E-3</v>
      </c>
      <c r="E39" s="53"/>
    </row>
    <row r="40" spans="1:7" ht="15.75" customHeight="1" x14ac:dyDescent="0.3">
      <c r="C40" s="95">
        <v>559.88</v>
      </c>
      <c r="D40" s="88">
        <f t="shared" si="0"/>
        <v>8.9591347041901616E-3</v>
      </c>
      <c r="E40" s="53"/>
    </row>
    <row r="41" spans="1:7" ht="15.75" customHeight="1" x14ac:dyDescent="0.3">
      <c r="C41" s="95">
        <v>554.30999999999995</v>
      </c>
      <c r="D41" s="88">
        <f t="shared" si="0"/>
        <v>-1.0785561943995174E-3</v>
      </c>
      <c r="E41" s="53"/>
    </row>
    <row r="42" spans="1:7" ht="15.75" customHeight="1" x14ac:dyDescent="0.3">
      <c r="C42" s="95">
        <v>559.13</v>
      </c>
      <c r="D42" s="88">
        <f t="shared" si="0"/>
        <v>7.6075605257445262E-3</v>
      </c>
      <c r="E42" s="53"/>
    </row>
    <row r="43" spans="1:7" ht="16.5" customHeight="1" x14ac:dyDescent="0.3">
      <c r="C43" s="96">
        <v>561.87</v>
      </c>
      <c r="D43" s="89">
        <f t="shared" si="0"/>
        <v>1.2545311524332598E-2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37</v>
      </c>
      <c r="C45" s="83">
        <f>SUM(C24:C44)</f>
        <v>11098.169999999998</v>
      </c>
      <c r="D45" s="78"/>
      <c r="E45" s="54"/>
    </row>
    <row r="46" spans="1:7" ht="17.25" customHeight="1" x14ac:dyDescent="0.3">
      <c r="B46" s="82" t="s">
        <v>38</v>
      </c>
      <c r="C46" s="84">
        <f>AVERAGE(C24:C44)</f>
        <v>554.90849999999989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38</v>
      </c>
      <c r="C48" s="85" t="s">
        <v>39</v>
      </c>
      <c r="D48" s="80"/>
      <c r="G48" s="58"/>
    </row>
    <row r="49" spans="1:6" ht="17.25" customHeight="1" x14ac:dyDescent="0.3">
      <c r="B49" s="284">
        <f>C46</f>
        <v>554.90849999999989</v>
      </c>
      <c r="C49" s="93">
        <f>-IF(C46&lt;=80,10%,IF(C46&lt;250,7.5%,5%))</f>
        <v>-0.05</v>
      </c>
      <c r="D49" s="81">
        <f>IF(C46&lt;=80,C46*0.9,IF(C46&lt;250,C46*0.925,C46*0.95))</f>
        <v>527.16307499999982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582.65392499999996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71"/>
      <c r="C53" s="72"/>
      <c r="D53" s="71"/>
      <c r="E53" s="61"/>
      <c r="F53" s="73"/>
    </row>
    <row r="54" spans="1:6" ht="34.5" customHeight="1" x14ac:dyDescent="0.3">
      <c r="A54" s="70" t="s">
        <v>25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zoomScale="50" zoomScaleNormal="50" zoomScaleSheetLayoutView="50" workbookViewId="0">
      <selection activeCell="C19" sqref="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0" t="s">
        <v>108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109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x14ac:dyDescent="0.3">
      <c r="A15" s="98"/>
    </row>
    <row r="16" spans="1:9" ht="19.5" customHeight="1" x14ac:dyDescent="0.3">
      <c r="A16" s="293" t="s">
        <v>26</v>
      </c>
      <c r="B16" s="294"/>
      <c r="C16" s="294"/>
      <c r="D16" s="294"/>
      <c r="E16" s="294"/>
      <c r="F16" s="294"/>
      <c r="G16" s="294"/>
      <c r="H16" s="295"/>
    </row>
    <row r="17" spans="1:14" ht="20.25" customHeight="1" x14ac:dyDescent="0.25">
      <c r="A17" s="296" t="s">
        <v>40</v>
      </c>
      <c r="B17" s="296"/>
      <c r="C17" s="296"/>
      <c r="D17" s="296"/>
      <c r="E17" s="296"/>
      <c r="F17" s="296"/>
      <c r="G17" s="296"/>
      <c r="H17" s="296"/>
    </row>
    <row r="18" spans="1:14" ht="26.25" customHeight="1" x14ac:dyDescent="0.4">
      <c r="A18" s="100" t="s">
        <v>28</v>
      </c>
      <c r="B18" s="292" t="s">
        <v>121</v>
      </c>
      <c r="C18" s="292"/>
      <c r="D18" s="266"/>
      <c r="E18" s="101"/>
      <c r="F18" s="102"/>
      <c r="G18" s="102"/>
      <c r="H18" s="102"/>
    </row>
    <row r="19" spans="1:14" ht="26.25" customHeight="1" x14ac:dyDescent="0.4">
      <c r="A19" s="100" t="s">
        <v>29</v>
      </c>
      <c r="B19" s="103" t="s">
        <v>128</v>
      </c>
      <c r="C19" s="268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30</v>
      </c>
      <c r="B20" s="297" t="s">
        <v>122</v>
      </c>
      <c r="C20" s="297"/>
      <c r="D20" s="102"/>
      <c r="E20" s="102"/>
      <c r="F20" s="102"/>
      <c r="G20" s="102"/>
      <c r="H20" s="102"/>
    </row>
    <row r="21" spans="1:14" ht="26.25" customHeight="1" x14ac:dyDescent="0.4">
      <c r="A21" s="100" t="s">
        <v>31</v>
      </c>
      <c r="B21" s="297" t="s">
        <v>130</v>
      </c>
      <c r="C21" s="297"/>
      <c r="D21" s="297"/>
      <c r="E21" s="297"/>
      <c r="F21" s="297"/>
      <c r="G21" s="297"/>
      <c r="H21" s="297"/>
      <c r="I21" s="104"/>
    </row>
    <row r="22" spans="1:14" ht="26.25" customHeight="1" x14ac:dyDescent="0.4">
      <c r="A22" s="100" t="s">
        <v>32</v>
      </c>
      <c r="B22" s="105">
        <v>42411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33</v>
      </c>
      <c r="B23" s="105">
        <v>42412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2" t="s">
        <v>123</v>
      </c>
      <c r="C26" s="292"/>
    </row>
    <row r="27" spans="1:14" ht="26.25" customHeight="1" x14ac:dyDescent="0.4">
      <c r="A27" s="109" t="s">
        <v>41</v>
      </c>
      <c r="B27" s="298" t="s">
        <v>123</v>
      </c>
      <c r="C27" s="298"/>
    </row>
    <row r="28" spans="1:14" ht="27" customHeight="1" x14ac:dyDescent="0.4">
      <c r="A28" s="109" t="s">
        <v>5</v>
      </c>
      <c r="B28" s="110">
        <v>99.9</v>
      </c>
    </row>
    <row r="29" spans="1:14" s="14" customFormat="1" ht="27" customHeight="1" x14ac:dyDescent="0.4">
      <c r="A29" s="109" t="s">
        <v>42</v>
      </c>
      <c r="B29" s="111">
        <v>0</v>
      </c>
      <c r="C29" s="299" t="s">
        <v>101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43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44</v>
      </c>
      <c r="B31" s="116">
        <v>1</v>
      </c>
      <c r="C31" s="302" t="s">
        <v>45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46</v>
      </c>
      <c r="B32" s="116">
        <v>1</v>
      </c>
      <c r="C32" s="302" t="s">
        <v>47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48</v>
      </c>
      <c r="B34" s="121">
        <f>B31/B32</f>
        <v>1</v>
      </c>
      <c r="C34" s="99" t="s">
        <v>49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110</v>
      </c>
      <c r="B36" s="123">
        <v>50</v>
      </c>
      <c r="C36" s="99"/>
      <c r="D36" s="305" t="s">
        <v>50</v>
      </c>
      <c r="E36" s="306"/>
      <c r="F36" s="305" t="s">
        <v>51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52</v>
      </c>
      <c r="B37" s="125">
        <v>1</v>
      </c>
      <c r="C37" s="126" t="s">
        <v>53</v>
      </c>
      <c r="D37" s="127" t="s">
        <v>54</v>
      </c>
      <c r="E37" s="128" t="s">
        <v>55</v>
      </c>
      <c r="F37" s="127" t="s">
        <v>54</v>
      </c>
      <c r="G37" s="129" t="s">
        <v>55</v>
      </c>
      <c r="I37" s="130" t="s">
        <v>111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56</v>
      </c>
      <c r="B38" s="125">
        <v>1</v>
      </c>
      <c r="C38" s="131">
        <v>1</v>
      </c>
      <c r="D38" s="132">
        <v>172030208</v>
      </c>
      <c r="E38" s="133">
        <f>IF(ISBLANK(D38),"-",$D$48/$D$45*D38)</f>
        <v>173394497.58128175</v>
      </c>
      <c r="F38" s="132">
        <v>195006606</v>
      </c>
      <c r="G38" s="134">
        <f>IF(ISBLANK(F38),"-",$D$48/$F$45*F38)</f>
        <v>178063222.62969923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57</v>
      </c>
      <c r="B39" s="125">
        <v>1</v>
      </c>
      <c r="C39" s="136">
        <v>2</v>
      </c>
      <c r="D39" s="137">
        <v>172456217</v>
      </c>
      <c r="E39" s="138">
        <f>IF(ISBLANK(D39),"-",$D$48/$D$45*D39)</f>
        <v>173823885.05560315</v>
      </c>
      <c r="F39" s="137">
        <v>194578203</v>
      </c>
      <c r="G39" s="139">
        <f>IF(ISBLANK(F39),"-",$D$48/$F$45*F39)</f>
        <v>177672041.93931672</v>
      </c>
      <c r="I39" s="309">
        <f>ABS((F43/D43*D42)-F42)/D42</f>
        <v>2.6292047229925428E-2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58</v>
      </c>
      <c r="B40" s="125">
        <v>1</v>
      </c>
      <c r="C40" s="136">
        <v>3</v>
      </c>
      <c r="D40" s="137">
        <v>172341427</v>
      </c>
      <c r="E40" s="138">
        <f>IF(ISBLANK(D40),"-",$D$48/$D$45*D40)</f>
        <v>173708184.71082792</v>
      </c>
      <c r="F40" s="137">
        <v>194498337</v>
      </c>
      <c r="G40" s="139">
        <f>IF(ISBLANK(F40),"-",$D$48/$F$45*F40)</f>
        <v>177599115.19272977</v>
      </c>
      <c r="I40" s="309"/>
      <c r="L40" s="117"/>
      <c r="M40" s="117"/>
      <c r="N40" s="140"/>
    </row>
    <row r="41" spans="1:14" ht="27" customHeight="1" x14ac:dyDescent="0.4">
      <c r="A41" s="124" t="s">
        <v>59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60</v>
      </c>
      <c r="B42" s="125">
        <v>1</v>
      </c>
      <c r="C42" s="146" t="s">
        <v>61</v>
      </c>
      <c r="D42" s="147">
        <f>AVERAGE(D38:D41)</f>
        <v>172275950.66666666</v>
      </c>
      <c r="E42" s="148">
        <f>AVERAGE(E38:E41)</f>
        <v>173642189.1159043</v>
      </c>
      <c r="F42" s="147">
        <f>AVERAGE(F38:F41)</f>
        <v>194694382</v>
      </c>
      <c r="G42" s="149">
        <f>AVERAGE(G38:G41)</f>
        <v>177778126.58724859</v>
      </c>
      <c r="H42" s="150"/>
    </row>
    <row r="43" spans="1:14" ht="26.25" customHeight="1" x14ac:dyDescent="0.4">
      <c r="A43" s="124" t="s">
        <v>62</v>
      </c>
      <c r="B43" s="125">
        <v>1</v>
      </c>
      <c r="C43" s="151" t="s">
        <v>63</v>
      </c>
      <c r="D43" s="152">
        <v>15.89</v>
      </c>
      <c r="E43" s="140"/>
      <c r="F43" s="152">
        <v>17.54</v>
      </c>
      <c r="H43" s="150"/>
    </row>
    <row r="44" spans="1:14" ht="26.25" customHeight="1" x14ac:dyDescent="0.4">
      <c r="A44" s="124" t="s">
        <v>64</v>
      </c>
      <c r="B44" s="125">
        <v>1</v>
      </c>
      <c r="C44" s="153" t="s">
        <v>65</v>
      </c>
      <c r="D44" s="154">
        <f>D43*$B$34</f>
        <v>15.89</v>
      </c>
      <c r="E44" s="155"/>
      <c r="F44" s="154">
        <f>F43*$B$34</f>
        <v>17.54</v>
      </c>
      <c r="H44" s="150"/>
    </row>
    <row r="45" spans="1:14" ht="19.5" customHeight="1" x14ac:dyDescent="0.3">
      <c r="A45" s="124" t="s">
        <v>66</v>
      </c>
      <c r="B45" s="156">
        <f>(B44/B43)*(B42/B41)*(B40/B39)*(B38/B37)*B36</f>
        <v>50</v>
      </c>
      <c r="C45" s="153" t="s">
        <v>67</v>
      </c>
      <c r="D45" s="157">
        <f>D44*$B$30/100</f>
        <v>15.87411</v>
      </c>
      <c r="E45" s="158"/>
      <c r="F45" s="157">
        <f>F44*$B$30/100</f>
        <v>17.522460000000002</v>
      </c>
      <c r="H45" s="150"/>
    </row>
    <row r="46" spans="1:14" ht="19.5" customHeight="1" x14ac:dyDescent="0.3">
      <c r="A46" s="310" t="s">
        <v>68</v>
      </c>
      <c r="B46" s="311"/>
      <c r="C46" s="153" t="s">
        <v>69</v>
      </c>
      <c r="D46" s="159">
        <f>D45/$B$45</f>
        <v>0.31748219999999999</v>
      </c>
      <c r="E46" s="160"/>
      <c r="F46" s="161">
        <f>F45/$B$45</f>
        <v>0.35044920000000007</v>
      </c>
      <c r="H46" s="150"/>
    </row>
    <row r="47" spans="1:14" ht="27" customHeight="1" x14ac:dyDescent="0.4">
      <c r="A47" s="312"/>
      <c r="B47" s="313"/>
      <c r="C47" s="162" t="s">
        <v>112</v>
      </c>
      <c r="D47" s="163">
        <v>0.32</v>
      </c>
      <c r="E47" s="164"/>
      <c r="F47" s="160"/>
      <c r="H47" s="150"/>
    </row>
    <row r="48" spans="1:14" ht="18.75" x14ac:dyDescent="0.3">
      <c r="C48" s="165" t="s">
        <v>70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71</v>
      </c>
      <c r="D49" s="168">
        <f>D48/B34</f>
        <v>16</v>
      </c>
      <c r="F49" s="166"/>
      <c r="H49" s="150"/>
    </row>
    <row r="50" spans="1:12" ht="18.75" x14ac:dyDescent="0.3">
      <c r="C50" s="122" t="s">
        <v>72</v>
      </c>
      <c r="D50" s="169">
        <f>AVERAGE(E38:E41,G38:G41)</f>
        <v>175710157.85157645</v>
      </c>
      <c r="F50" s="170"/>
      <c r="H50" s="150"/>
    </row>
    <row r="51" spans="1:12" ht="18.75" x14ac:dyDescent="0.3">
      <c r="C51" s="124" t="s">
        <v>73</v>
      </c>
      <c r="D51" s="171">
        <f>STDEV(E38:E41,G38:G41)/D50</f>
        <v>1.2948494728674034E-2</v>
      </c>
      <c r="F51" s="170"/>
      <c r="H51" s="150"/>
    </row>
    <row r="52" spans="1:12" ht="19.5" customHeight="1" x14ac:dyDescent="0.3">
      <c r="C52" s="172" t="s">
        <v>15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74</v>
      </c>
    </row>
    <row r="55" spans="1:12" ht="18.75" x14ac:dyDescent="0.3">
      <c r="A55" s="99" t="s">
        <v>75</v>
      </c>
      <c r="B55" s="176" t="str">
        <f>B21</f>
        <v>Each tablet contains Isoniazid 300mg</v>
      </c>
    </row>
    <row r="56" spans="1:12" ht="26.25" customHeight="1" x14ac:dyDescent="0.4">
      <c r="A56" s="177" t="s">
        <v>76</v>
      </c>
      <c r="B56" s="178">
        <v>300</v>
      </c>
      <c r="C56" s="99" t="str">
        <f>B20</f>
        <v xml:space="preserve">ISONIAZID </v>
      </c>
      <c r="H56" s="179"/>
    </row>
    <row r="57" spans="1:12" ht="18.75" x14ac:dyDescent="0.3">
      <c r="A57" s="176" t="s">
        <v>77</v>
      </c>
      <c r="B57" s="267">
        <f>Uniformity!C46</f>
        <v>554.90849999999989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113</v>
      </c>
      <c r="B59" s="123">
        <v>50</v>
      </c>
      <c r="C59" s="99"/>
      <c r="D59" s="180" t="s">
        <v>78</v>
      </c>
      <c r="E59" s="181" t="s">
        <v>53</v>
      </c>
      <c r="F59" s="181" t="s">
        <v>54</v>
      </c>
      <c r="G59" s="181" t="s">
        <v>79</v>
      </c>
      <c r="H59" s="126" t="s">
        <v>80</v>
      </c>
      <c r="L59" s="112"/>
    </row>
    <row r="60" spans="1:12" s="14" customFormat="1" ht="26.25" customHeight="1" x14ac:dyDescent="0.4">
      <c r="A60" s="124" t="s">
        <v>114</v>
      </c>
      <c r="B60" s="125">
        <v>1</v>
      </c>
      <c r="C60" s="314" t="s">
        <v>82</v>
      </c>
      <c r="D60" s="317">
        <v>28.12</v>
      </c>
      <c r="E60" s="182">
        <v>1</v>
      </c>
      <c r="F60" s="183">
        <v>164870956</v>
      </c>
      <c r="G60" s="269">
        <f>IF(ISBLANK(F60),"-",(F60/$D$50*$D$47*$B$68)*($B$57/$D$60))</f>
        <v>296.26021311881158</v>
      </c>
      <c r="H60" s="184">
        <f t="shared" ref="H60:H71" si="0">IF(ISBLANK(F60),"-",G60/$B$56)</f>
        <v>0.98753404372937192</v>
      </c>
      <c r="L60" s="112"/>
    </row>
    <row r="61" spans="1:12" s="14" customFormat="1" ht="26.25" customHeight="1" x14ac:dyDescent="0.4">
      <c r="A61" s="124" t="s">
        <v>83</v>
      </c>
      <c r="B61" s="125">
        <v>1</v>
      </c>
      <c r="C61" s="315"/>
      <c r="D61" s="318"/>
      <c r="E61" s="185">
        <v>2</v>
      </c>
      <c r="F61" s="137">
        <v>164461919</v>
      </c>
      <c r="G61" s="270">
        <f>IF(ISBLANK(F61),"-",(F61/$D$50*$D$47*$B$68)*($B$57/$D$60))</f>
        <v>295.52520562122982</v>
      </c>
      <c r="H61" s="186">
        <f t="shared" si="0"/>
        <v>0.98508401873743268</v>
      </c>
      <c r="L61" s="112"/>
    </row>
    <row r="62" spans="1:12" s="14" customFormat="1" ht="26.25" customHeight="1" x14ac:dyDescent="0.4">
      <c r="A62" s="124" t="s">
        <v>84</v>
      </c>
      <c r="B62" s="125">
        <v>1</v>
      </c>
      <c r="C62" s="315"/>
      <c r="D62" s="318"/>
      <c r="E62" s="185">
        <v>3</v>
      </c>
      <c r="F62" s="187">
        <v>164909829</v>
      </c>
      <c r="G62" s="270">
        <f>IF(ISBLANK(F62),"-",(F62/$D$50*$D$47*$B$68)*($B$57/$D$60))</f>
        <v>296.33006485949403</v>
      </c>
      <c r="H62" s="186">
        <f t="shared" si="0"/>
        <v>0.98776688286498004</v>
      </c>
      <c r="L62" s="112"/>
    </row>
    <row r="63" spans="1:12" ht="27" customHeight="1" x14ac:dyDescent="0.4">
      <c r="A63" s="124" t="s">
        <v>85</v>
      </c>
      <c r="B63" s="125">
        <v>1</v>
      </c>
      <c r="C63" s="316"/>
      <c r="D63" s="319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86</v>
      </c>
      <c r="B64" s="125">
        <v>1</v>
      </c>
      <c r="C64" s="314" t="s">
        <v>87</v>
      </c>
      <c r="D64" s="317">
        <v>33.090000000000003</v>
      </c>
      <c r="E64" s="182">
        <v>1</v>
      </c>
      <c r="F64" s="183">
        <v>191669361</v>
      </c>
      <c r="G64" s="271">
        <f>IF(ISBLANK(F64),"-",(F64/$D$50*$D$47*$B$68)*($B$57/$D$64))</f>
        <v>292.68496853934232</v>
      </c>
      <c r="H64" s="190">
        <f t="shared" si="0"/>
        <v>0.97561656179780776</v>
      </c>
    </row>
    <row r="65" spans="1:8" ht="26.25" customHeight="1" x14ac:dyDescent="0.4">
      <c r="A65" s="124" t="s">
        <v>88</v>
      </c>
      <c r="B65" s="125">
        <v>1</v>
      </c>
      <c r="C65" s="315"/>
      <c r="D65" s="318"/>
      <c r="E65" s="185">
        <v>2</v>
      </c>
      <c r="F65" s="137">
        <v>191610755</v>
      </c>
      <c r="G65" s="272">
        <f>IF(ISBLANK(F65),"-",(F65/$D$50*$D$47*$B$68)*($B$57/$D$64))</f>
        <v>292.59547538729799</v>
      </c>
      <c r="H65" s="191">
        <f t="shared" si="0"/>
        <v>0.97531825129099337</v>
      </c>
    </row>
    <row r="66" spans="1:8" ht="26.25" customHeight="1" x14ac:dyDescent="0.4">
      <c r="A66" s="124" t="s">
        <v>89</v>
      </c>
      <c r="B66" s="125">
        <v>1</v>
      </c>
      <c r="C66" s="315"/>
      <c r="D66" s="318"/>
      <c r="E66" s="185">
        <v>3</v>
      </c>
      <c r="F66" s="137">
        <v>191528174</v>
      </c>
      <c r="G66" s="272">
        <f>IF(ISBLANK(F66),"-",(F66/$D$50*$D$47*$B$68)*($B$57/$D$64))</f>
        <v>292.46937167796835</v>
      </c>
      <c r="H66" s="191">
        <f t="shared" si="0"/>
        <v>0.97489790559322786</v>
      </c>
    </row>
    <row r="67" spans="1:8" ht="27" customHeight="1" x14ac:dyDescent="0.4">
      <c r="A67" s="124" t="s">
        <v>90</v>
      </c>
      <c r="B67" s="125">
        <v>1</v>
      </c>
      <c r="C67" s="316"/>
      <c r="D67" s="319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91</v>
      </c>
      <c r="B68" s="193">
        <f>(B67/B66)*(B65/B64)*(B63/B62)*(B61/B60)*B59</f>
        <v>50</v>
      </c>
      <c r="C68" s="314" t="s">
        <v>92</v>
      </c>
      <c r="D68" s="317">
        <v>35.75</v>
      </c>
      <c r="E68" s="182">
        <v>1</v>
      </c>
      <c r="F68" s="183">
        <v>213817447</v>
      </c>
      <c r="G68" s="271">
        <f>IF(ISBLANK(F68),"-",(F68/$D$50*$D$47*$B$68)*($B$57/$D$68))</f>
        <v>302.21191627768127</v>
      </c>
      <c r="H68" s="186">
        <f t="shared" si="0"/>
        <v>1.0073730542589376</v>
      </c>
    </row>
    <row r="69" spans="1:8" ht="27" customHeight="1" x14ac:dyDescent="0.4">
      <c r="A69" s="172" t="s">
        <v>115</v>
      </c>
      <c r="B69" s="194">
        <f>(D47*B68)/B56*B57</f>
        <v>29.595119999999994</v>
      </c>
      <c r="C69" s="315"/>
      <c r="D69" s="318"/>
      <c r="E69" s="185">
        <v>2</v>
      </c>
      <c r="F69" s="137">
        <v>213707038</v>
      </c>
      <c r="G69" s="272">
        <f>IF(ISBLANK(F69),"-",(F69/$D$50*$D$47*$B$68)*($B$57/$D$68))</f>
        <v>302.05586299048485</v>
      </c>
      <c r="H69" s="186">
        <f t="shared" si="0"/>
        <v>1.0068528766349496</v>
      </c>
    </row>
    <row r="70" spans="1:8" ht="26.25" customHeight="1" x14ac:dyDescent="0.4">
      <c r="A70" s="327" t="s">
        <v>68</v>
      </c>
      <c r="B70" s="328"/>
      <c r="C70" s="315"/>
      <c r="D70" s="318"/>
      <c r="E70" s="185">
        <v>3</v>
      </c>
      <c r="F70" s="137">
        <v>213607337</v>
      </c>
      <c r="G70" s="272">
        <f>IF(ISBLANK(F70),"-",(F70/$D$50*$D$47*$B$68)*($B$57/$D$68))</f>
        <v>301.91494450750997</v>
      </c>
      <c r="H70" s="186">
        <f t="shared" si="0"/>
        <v>1.0063831483583665</v>
      </c>
    </row>
    <row r="71" spans="1:8" ht="27" customHeight="1" x14ac:dyDescent="0.4">
      <c r="A71" s="329"/>
      <c r="B71" s="330"/>
      <c r="C71" s="326"/>
      <c r="D71" s="319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61</v>
      </c>
      <c r="H72" s="199">
        <f>AVERAGE(H60:H71)</f>
        <v>0.98964741591845196</v>
      </c>
    </row>
    <row r="73" spans="1:8" ht="26.25" customHeight="1" x14ac:dyDescent="0.4">
      <c r="C73" s="196"/>
      <c r="D73" s="196"/>
      <c r="E73" s="196"/>
      <c r="F73" s="197"/>
      <c r="G73" s="200" t="s">
        <v>73</v>
      </c>
      <c r="H73" s="274">
        <f>STDEV(H60:H71)/H72</f>
        <v>1.4014459025647699E-2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15</v>
      </c>
      <c r="H74" s="203">
        <f>COUNT(H60:H71)</f>
        <v>9</v>
      </c>
    </row>
    <row r="76" spans="1:8" ht="26.25" customHeight="1" x14ac:dyDescent="0.4">
      <c r="A76" s="108" t="s">
        <v>116</v>
      </c>
      <c r="B76" s="204" t="s">
        <v>93</v>
      </c>
      <c r="C76" s="322" t="str">
        <f>B20</f>
        <v xml:space="preserve">ISONIAZID </v>
      </c>
      <c r="D76" s="322"/>
      <c r="E76" s="205" t="s">
        <v>94</v>
      </c>
      <c r="F76" s="205"/>
      <c r="G76" s="206">
        <f>H72</f>
        <v>0.98964741591845196</v>
      </c>
      <c r="H76" s="207"/>
    </row>
    <row r="77" spans="1:8" ht="18.75" x14ac:dyDescent="0.3">
      <c r="A77" s="107" t="s">
        <v>95</v>
      </c>
      <c r="B77" s="107" t="s">
        <v>96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8" t="str">
        <f>B26</f>
        <v>ISONIAZID</v>
      </c>
      <c r="C79" s="308"/>
    </row>
    <row r="80" spans="1:8" ht="26.25" customHeight="1" x14ac:dyDescent="0.4">
      <c r="A80" s="109" t="s">
        <v>41</v>
      </c>
      <c r="B80" s="308" t="s">
        <v>127</v>
      </c>
      <c r="C80" s="308"/>
    </row>
    <row r="81" spans="1:12" ht="27" customHeight="1" x14ac:dyDescent="0.4">
      <c r="A81" s="109" t="s">
        <v>5</v>
      </c>
      <c r="B81" s="208">
        <v>99.9</v>
      </c>
    </row>
    <row r="82" spans="1:12" s="14" customFormat="1" ht="27" customHeight="1" x14ac:dyDescent="0.4">
      <c r="A82" s="109" t="s">
        <v>42</v>
      </c>
      <c r="B82" s="111">
        <v>0</v>
      </c>
      <c r="C82" s="299" t="s">
        <v>101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43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44</v>
      </c>
      <c r="B84" s="116">
        <v>1</v>
      </c>
      <c r="C84" s="302" t="s">
        <v>117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46</v>
      </c>
      <c r="B85" s="116">
        <v>1</v>
      </c>
      <c r="C85" s="302" t="s">
        <v>118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48</v>
      </c>
      <c r="B87" s="121">
        <f>B84/B85</f>
        <v>1</v>
      </c>
      <c r="C87" s="99" t="s">
        <v>49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110</v>
      </c>
      <c r="B89" s="123">
        <v>100</v>
      </c>
      <c r="D89" s="209" t="s">
        <v>50</v>
      </c>
      <c r="E89" s="210"/>
      <c r="F89" s="305" t="s">
        <v>51</v>
      </c>
      <c r="G89" s="307"/>
    </row>
    <row r="90" spans="1:12" ht="27" customHeight="1" x14ac:dyDescent="0.4">
      <c r="A90" s="124" t="s">
        <v>52</v>
      </c>
      <c r="B90" s="125">
        <v>2</v>
      </c>
      <c r="C90" s="211" t="s">
        <v>53</v>
      </c>
      <c r="D90" s="127" t="s">
        <v>54</v>
      </c>
      <c r="E90" s="128" t="s">
        <v>55</v>
      </c>
      <c r="F90" s="127" t="s">
        <v>54</v>
      </c>
      <c r="G90" s="212" t="s">
        <v>55</v>
      </c>
      <c r="I90" s="130" t="s">
        <v>111</v>
      </c>
    </row>
    <row r="91" spans="1:12" ht="26.25" customHeight="1" x14ac:dyDescent="0.4">
      <c r="A91" s="124" t="s">
        <v>56</v>
      </c>
      <c r="B91" s="125">
        <v>50</v>
      </c>
      <c r="C91" s="213">
        <v>1</v>
      </c>
      <c r="D91" s="132">
        <v>0.40339999999999998</v>
      </c>
      <c r="E91" s="133">
        <f>IF(ISBLANK(D91),"-",$D$101/$D$98*D91)</f>
        <v>0.54827400380692981</v>
      </c>
      <c r="F91" s="132">
        <v>0.43490000000000001</v>
      </c>
      <c r="G91" s="134">
        <f>IF(ISBLANK(F91),"-",$D$101/$F$98*F91)</f>
        <v>0.54800520560842814</v>
      </c>
      <c r="I91" s="135"/>
    </row>
    <row r="92" spans="1:12" ht="26.25" customHeight="1" x14ac:dyDescent="0.4">
      <c r="A92" s="124" t="s">
        <v>57</v>
      </c>
      <c r="B92" s="125">
        <v>1</v>
      </c>
      <c r="C92" s="197">
        <v>2</v>
      </c>
      <c r="D92" s="137">
        <v>0.40970000000000001</v>
      </c>
      <c r="E92" s="138">
        <f>IF(ISBLANK(D92),"-",$D$101/$D$98*D92)</f>
        <v>0.55683653782771236</v>
      </c>
      <c r="F92" s="137">
        <v>0.433</v>
      </c>
      <c r="G92" s="139">
        <f>IF(ISBLANK(F92),"-",$D$101/$F$98*F92)</f>
        <v>0.54561106927672887</v>
      </c>
      <c r="I92" s="309">
        <f>ABS((F96/D96*D95)-F95)/D95</f>
        <v>1.3139368587037386E-2</v>
      </c>
    </row>
    <row r="93" spans="1:12" ht="26.25" customHeight="1" x14ac:dyDescent="0.4">
      <c r="A93" s="124" t="s">
        <v>58</v>
      </c>
      <c r="B93" s="125">
        <v>1</v>
      </c>
      <c r="C93" s="197">
        <v>3</v>
      </c>
      <c r="D93" s="137">
        <v>0.40720000000000001</v>
      </c>
      <c r="E93" s="138">
        <f>IF(ISBLANK(D93),"-",$D$101/$D$98*D93)</f>
        <v>0.55343870686708441</v>
      </c>
      <c r="F93" s="137">
        <v>0.43230000000000002</v>
      </c>
      <c r="G93" s="139">
        <f>IF(ISBLANK(F93),"-",$D$101/$F$98*F93)</f>
        <v>0.54472901904926074</v>
      </c>
      <c r="I93" s="309"/>
    </row>
    <row r="94" spans="1:12" ht="27" customHeight="1" x14ac:dyDescent="0.4">
      <c r="A94" s="124" t="s">
        <v>59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60</v>
      </c>
      <c r="B95" s="125">
        <v>1</v>
      </c>
      <c r="C95" s="216" t="s">
        <v>61</v>
      </c>
      <c r="D95" s="217">
        <f>AVERAGE(D91:D94)</f>
        <v>0.40676666666666667</v>
      </c>
      <c r="E95" s="148">
        <f>AVERAGE(E91:E94)</f>
        <v>0.55284974950057553</v>
      </c>
      <c r="F95" s="218">
        <f>AVERAGE(F91:F94)</f>
        <v>0.43340000000000001</v>
      </c>
      <c r="G95" s="219">
        <f>AVERAGE(G91:G94)</f>
        <v>0.54611509797813929</v>
      </c>
    </row>
    <row r="96" spans="1:12" ht="26.25" customHeight="1" x14ac:dyDescent="0.4">
      <c r="A96" s="124" t="s">
        <v>62</v>
      </c>
      <c r="B96" s="110">
        <v>1</v>
      </c>
      <c r="C96" s="220" t="s">
        <v>102</v>
      </c>
      <c r="D96" s="221">
        <v>24.55</v>
      </c>
      <c r="E96" s="140"/>
      <c r="F96" s="152">
        <v>26.48</v>
      </c>
    </row>
    <row r="97" spans="1:10" ht="26.25" customHeight="1" x14ac:dyDescent="0.4">
      <c r="A97" s="124" t="s">
        <v>64</v>
      </c>
      <c r="B97" s="110">
        <v>1</v>
      </c>
      <c r="C97" s="222" t="s">
        <v>103</v>
      </c>
      <c r="D97" s="223">
        <f>D96*$B$87</f>
        <v>24.55</v>
      </c>
      <c r="E97" s="155"/>
      <c r="F97" s="154">
        <f>F96*$B$87</f>
        <v>26.48</v>
      </c>
    </row>
    <row r="98" spans="1:10" ht="19.5" customHeight="1" x14ac:dyDescent="0.3">
      <c r="A98" s="124" t="s">
        <v>66</v>
      </c>
      <c r="B98" s="224">
        <f>(B97/B96)*(B95/B94)*(B93/B92)*(B91/B90)*B89</f>
        <v>2500</v>
      </c>
      <c r="C98" s="222" t="s">
        <v>104</v>
      </c>
      <c r="D98" s="225">
        <f>D97*$B$83/100</f>
        <v>24.525449999999999</v>
      </c>
      <c r="E98" s="158"/>
      <c r="F98" s="157">
        <f>F97*$B$83/100</f>
        <v>26.453520000000005</v>
      </c>
    </row>
    <row r="99" spans="1:10" ht="19.5" customHeight="1" x14ac:dyDescent="0.3">
      <c r="A99" s="310" t="s">
        <v>68</v>
      </c>
      <c r="B99" s="324"/>
      <c r="C99" s="222" t="s">
        <v>105</v>
      </c>
      <c r="D99" s="223">
        <f>D98/$B$98</f>
        <v>9.8101799999999999E-3</v>
      </c>
      <c r="E99" s="158"/>
      <c r="F99" s="161">
        <f>F98/$B$98</f>
        <v>1.0581408000000002E-2</v>
      </c>
      <c r="G99" s="226"/>
      <c r="H99" s="150"/>
    </row>
    <row r="100" spans="1:10" ht="19.5" customHeight="1" x14ac:dyDescent="0.3">
      <c r="A100" s="312"/>
      <c r="B100" s="325"/>
      <c r="C100" s="222" t="s">
        <v>112</v>
      </c>
      <c r="D100" s="225">
        <f>$B$56/$B$116</f>
        <v>1.3333333333333334E-2</v>
      </c>
      <c r="F100" s="166"/>
      <c r="G100" s="227"/>
      <c r="H100" s="150"/>
    </row>
    <row r="101" spans="1:10" ht="18.75" x14ac:dyDescent="0.3">
      <c r="C101" s="222" t="s">
        <v>70</v>
      </c>
      <c r="D101" s="223">
        <f>D100*$B$98</f>
        <v>33.333333333333336</v>
      </c>
      <c r="F101" s="166"/>
      <c r="G101" s="226"/>
      <c r="H101" s="150"/>
    </row>
    <row r="102" spans="1:10" ht="19.5" customHeight="1" x14ac:dyDescent="0.3">
      <c r="C102" s="228" t="s">
        <v>71</v>
      </c>
      <c r="D102" s="229">
        <f>D101/B34</f>
        <v>33.333333333333336</v>
      </c>
      <c r="F102" s="170"/>
      <c r="G102" s="226"/>
      <c r="H102" s="150"/>
      <c r="J102" s="230"/>
    </row>
    <row r="103" spans="1:10" ht="18.75" x14ac:dyDescent="0.3">
      <c r="C103" s="231" t="s">
        <v>97</v>
      </c>
      <c r="D103" s="232">
        <f>AVERAGE(E91:E94,G91:G94)</f>
        <v>0.5494824237393573</v>
      </c>
      <c r="F103" s="170"/>
      <c r="G103" s="233"/>
      <c r="H103" s="150"/>
      <c r="J103" s="234"/>
    </row>
    <row r="104" spans="1:10" ht="18.75" x14ac:dyDescent="0.3">
      <c r="C104" s="200" t="s">
        <v>73</v>
      </c>
      <c r="D104" s="235">
        <f>STDEV(E91:E94,G91:G94)/D103</f>
        <v>8.5732235889249501E-3</v>
      </c>
      <c r="F104" s="170"/>
      <c r="G104" s="226"/>
      <c r="H104" s="150"/>
      <c r="J104" s="234"/>
    </row>
    <row r="105" spans="1:10" ht="19.5" customHeight="1" x14ac:dyDescent="0.3">
      <c r="C105" s="202" t="s">
        <v>15</v>
      </c>
      <c r="D105" s="236">
        <f>COUNT(E91:E94,G91:G94)</f>
        <v>6</v>
      </c>
      <c r="F105" s="170"/>
      <c r="G105" s="226"/>
      <c r="H105" s="150"/>
      <c r="J105" s="234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98</v>
      </c>
      <c r="B107" s="123">
        <v>900</v>
      </c>
      <c r="C107" s="237" t="s">
        <v>119</v>
      </c>
      <c r="D107" s="238" t="s">
        <v>54</v>
      </c>
      <c r="E107" s="239" t="s">
        <v>99</v>
      </c>
      <c r="F107" s="240" t="s">
        <v>100</v>
      </c>
    </row>
    <row r="108" spans="1:10" ht="26.25" customHeight="1" x14ac:dyDescent="0.4">
      <c r="A108" s="124" t="s">
        <v>81</v>
      </c>
      <c r="B108" s="125">
        <v>2</v>
      </c>
      <c r="C108" s="241">
        <v>1</v>
      </c>
      <c r="D108" s="280">
        <v>0.55100000000000005</v>
      </c>
      <c r="E108" s="275">
        <f t="shared" ref="E108:E113" si="1">IF(ISBLANK(D108),"-",D108/$D$103*$D$100*$B$116)</f>
        <v>300.82854857320928</v>
      </c>
      <c r="F108" s="242">
        <f t="shared" ref="F108:F113" si="2">IF(ISBLANK(D108), "-", E108/$B$56)</f>
        <v>1.0027618285773643</v>
      </c>
    </row>
    <row r="109" spans="1:10" ht="26.25" customHeight="1" x14ac:dyDescent="0.4">
      <c r="A109" s="124" t="s">
        <v>83</v>
      </c>
      <c r="B109" s="125">
        <v>50</v>
      </c>
      <c r="C109" s="241">
        <v>2</v>
      </c>
      <c r="D109" s="280">
        <v>0.52890000000000004</v>
      </c>
      <c r="E109" s="276">
        <f t="shared" si="1"/>
        <v>288.76264853061775</v>
      </c>
      <c r="F109" s="243">
        <f t="shared" si="2"/>
        <v>0.96254216176872587</v>
      </c>
    </row>
    <row r="110" spans="1:10" ht="26.25" customHeight="1" x14ac:dyDescent="0.4">
      <c r="A110" s="124" t="s">
        <v>84</v>
      </c>
      <c r="B110" s="125">
        <v>1</v>
      </c>
      <c r="C110" s="241">
        <v>3</v>
      </c>
      <c r="D110" s="280">
        <v>0.52669999999999995</v>
      </c>
      <c r="E110" s="276">
        <f t="shared" si="1"/>
        <v>287.56151820963578</v>
      </c>
      <c r="F110" s="243">
        <f t="shared" si="2"/>
        <v>0.95853839403211927</v>
      </c>
    </row>
    <row r="111" spans="1:10" ht="26.25" customHeight="1" x14ac:dyDescent="0.4">
      <c r="A111" s="124" t="s">
        <v>85</v>
      </c>
      <c r="B111" s="125">
        <v>1</v>
      </c>
      <c r="C111" s="241">
        <v>4</v>
      </c>
      <c r="D111" s="280">
        <v>0.53100000000000003</v>
      </c>
      <c r="E111" s="276">
        <f t="shared" si="1"/>
        <v>289.90918201882783</v>
      </c>
      <c r="F111" s="243">
        <f t="shared" si="2"/>
        <v>0.9663639400627595</v>
      </c>
    </row>
    <row r="112" spans="1:10" ht="26.25" customHeight="1" x14ac:dyDescent="0.4">
      <c r="A112" s="124" t="s">
        <v>86</v>
      </c>
      <c r="B112" s="125">
        <v>1</v>
      </c>
      <c r="C112" s="241">
        <v>5</v>
      </c>
      <c r="D112" s="280">
        <v>0.54079999999999995</v>
      </c>
      <c r="E112" s="276">
        <f t="shared" si="1"/>
        <v>295.25967163047471</v>
      </c>
      <c r="F112" s="243">
        <f t="shared" si="2"/>
        <v>0.98419890543491573</v>
      </c>
    </row>
    <row r="113" spans="1:10" ht="26.25" customHeight="1" x14ac:dyDescent="0.4">
      <c r="A113" s="124" t="s">
        <v>88</v>
      </c>
      <c r="B113" s="125">
        <v>1</v>
      </c>
      <c r="C113" s="244">
        <v>6</v>
      </c>
      <c r="D113" s="281">
        <v>0.53559999999999997</v>
      </c>
      <c r="E113" s="277">
        <f t="shared" si="1"/>
        <v>292.42063632633557</v>
      </c>
      <c r="F113" s="245">
        <f t="shared" si="2"/>
        <v>0.97473545442111853</v>
      </c>
    </row>
    <row r="114" spans="1:10" ht="26.25" customHeight="1" x14ac:dyDescent="0.4">
      <c r="A114" s="124" t="s">
        <v>89</v>
      </c>
      <c r="B114" s="125">
        <v>1</v>
      </c>
      <c r="C114" s="241"/>
      <c r="D114" s="160"/>
      <c r="E114" s="98"/>
      <c r="F114" s="246"/>
    </row>
    <row r="115" spans="1:10" ht="26.25" customHeight="1" x14ac:dyDescent="0.4">
      <c r="A115" s="124" t="s">
        <v>90</v>
      </c>
      <c r="B115" s="125">
        <v>1</v>
      </c>
      <c r="C115" s="241"/>
      <c r="D115" s="247"/>
      <c r="E115" s="248" t="s">
        <v>61</v>
      </c>
      <c r="F115" s="249">
        <f>AVERAGE(F108:F113)</f>
        <v>0.97485678071616721</v>
      </c>
    </row>
    <row r="116" spans="1:10" ht="27" customHeight="1" x14ac:dyDescent="0.4">
      <c r="A116" s="124" t="s">
        <v>91</v>
      </c>
      <c r="B116" s="156">
        <f>(B115/B114)*(B113/B112)*(B111/B110)*(B109/B108)*B107</f>
        <v>22500</v>
      </c>
      <c r="C116" s="250"/>
      <c r="D116" s="251"/>
      <c r="E116" s="216" t="s">
        <v>73</v>
      </c>
      <c r="F116" s="252">
        <f>STDEV(F108:F113)/F115</f>
        <v>1.6893201968738693E-2</v>
      </c>
      <c r="I116" s="98"/>
    </row>
    <row r="117" spans="1:10" ht="27" customHeight="1" x14ac:dyDescent="0.4">
      <c r="A117" s="310" t="s">
        <v>68</v>
      </c>
      <c r="B117" s="311"/>
      <c r="C117" s="253"/>
      <c r="D117" s="254"/>
      <c r="E117" s="255" t="s">
        <v>15</v>
      </c>
      <c r="F117" s="256">
        <f>COUNT(F108:F113)</f>
        <v>6</v>
      </c>
      <c r="I117" s="98"/>
      <c r="J117" s="234"/>
    </row>
    <row r="118" spans="1:10" ht="19.5" customHeight="1" x14ac:dyDescent="0.3">
      <c r="A118" s="312"/>
      <c r="B118" s="313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5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116</v>
      </c>
      <c r="B120" s="204" t="s">
        <v>106</v>
      </c>
      <c r="C120" s="322" t="str">
        <f>B20</f>
        <v xml:space="preserve">ISONIAZID </v>
      </c>
      <c r="D120" s="322"/>
      <c r="E120" s="205" t="s">
        <v>107</v>
      </c>
      <c r="F120" s="205"/>
      <c r="G120" s="206">
        <f>F115</f>
        <v>0.97485678071616721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323" t="s">
        <v>21</v>
      </c>
      <c r="C122" s="323"/>
      <c r="E122" s="211" t="s">
        <v>22</v>
      </c>
      <c r="F122" s="259"/>
      <c r="G122" s="323" t="s">
        <v>23</v>
      </c>
      <c r="H122" s="323"/>
    </row>
    <row r="123" spans="1:10" ht="69.95" customHeight="1" x14ac:dyDescent="0.3">
      <c r="A123" s="260" t="s">
        <v>24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25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F16"/>
  <sheetViews>
    <sheetView workbookViewId="0">
      <selection activeCell="E37" sqref="E37"/>
    </sheetView>
  </sheetViews>
  <sheetFormatPr defaultRowHeight="12.75" x14ac:dyDescent="0.2"/>
  <sheetData>
    <row r="11" spans="6:6" x14ac:dyDescent="0.2">
      <c r="F11">
        <f>300/900*2/50</f>
        <v>1.3333333333333332E-2</v>
      </c>
    </row>
    <row r="16" spans="6:6" x14ac:dyDescent="0.2">
      <c r="F16" s="279">
        <f>100/900*2/20</f>
        <v>1.111111111111111E-2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ISONIAZID</vt:lpstr>
      <vt:lpstr>Sheet1</vt:lpstr>
      <vt:lpstr>ISONIAZID!Print_Area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2015-06-25T12:23:11Z</cp:lastPrinted>
  <dcterms:created xsi:type="dcterms:W3CDTF">2005-07-05T10:19:27Z</dcterms:created>
  <dcterms:modified xsi:type="dcterms:W3CDTF">2016-02-25T13:45:56Z</dcterms:modified>
</cp:coreProperties>
</file>