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 tdf" sheetId="10" r:id="rId1"/>
    <sheet name="Uniformity  " sheetId="12" r:id="rId2"/>
    <sheet name="Tenofovir" sheetId="3" r:id="rId3"/>
    <sheet name="lamivudine" sheetId="8" r:id="rId4"/>
    <sheet name="SST (lam)" sheetId="11" r:id="rId5"/>
  </sheets>
  <definedNames>
    <definedName name="_xlnm.Print_Area" localSheetId="3">lamivudine!$A$1:$I$126</definedName>
    <definedName name="_xlnm.Print_Area" localSheetId="2">Tenofovir!$A$1:$I$126</definedName>
    <definedName name="_xlnm.Print_Area" localSheetId="1">'Uniformity  '!$A$1:$N$54</definedName>
  </definedNames>
  <calcPr calcId="145621"/>
</workbook>
</file>

<file path=xl/calcChain.xml><?xml version="1.0" encoding="utf-8"?>
<calcChain xmlns="http://schemas.openxmlformats.org/spreadsheetml/2006/main">
  <c r="B57" i="8" l="1"/>
  <c r="B57" i="3"/>
  <c r="C46" i="12"/>
  <c r="D50" i="12" s="1"/>
  <c r="C45" i="12"/>
  <c r="C19" i="12"/>
  <c r="B53" i="1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B53" i="10"/>
  <c r="E51" i="10"/>
  <c r="D51" i="10"/>
  <c r="C51" i="10"/>
  <c r="B51" i="10"/>
  <c r="B52" i="10" s="1"/>
  <c r="B42" i="10"/>
  <c r="B32" i="10"/>
  <c r="E30" i="10"/>
  <c r="D30" i="10"/>
  <c r="C30" i="10"/>
  <c r="B30" i="10"/>
  <c r="B31" i="10" s="1"/>
  <c r="B21" i="10"/>
  <c r="D25" i="12" l="1"/>
  <c r="D29" i="12"/>
  <c r="D33" i="12"/>
  <c r="D37" i="12"/>
  <c r="D41" i="12"/>
  <c r="D27" i="12"/>
  <c r="D31" i="12"/>
  <c r="D35" i="12"/>
  <c r="D39" i="12"/>
  <c r="D43" i="12"/>
  <c r="C49" i="12"/>
  <c r="D24" i="12"/>
  <c r="D28" i="12"/>
  <c r="D32" i="12"/>
  <c r="D36" i="12"/>
  <c r="D40" i="12"/>
  <c r="D49" i="12"/>
  <c r="C50" i="12"/>
  <c r="D26" i="12"/>
  <c r="D30" i="12"/>
  <c r="D34" i="12"/>
  <c r="D38" i="12"/>
  <c r="D42" i="12"/>
  <c r="B49" i="12"/>
  <c r="C120" i="8" l="1"/>
  <c r="B116" i="8"/>
  <c r="D100" i="8" s="1"/>
  <c r="B98" i="8"/>
  <c r="F95" i="8"/>
  <c r="D95" i="8"/>
  <c r="J94" i="8"/>
  <c r="G94" i="8"/>
  <c r="E94" i="8"/>
  <c r="B87" i="8"/>
  <c r="F97" i="8" s="1"/>
  <c r="B83" i="8"/>
  <c r="B79" i="8"/>
  <c r="C76" i="8"/>
  <c r="H71" i="8"/>
  <c r="G71" i="8"/>
  <c r="B68" i="8"/>
  <c r="H67" i="8"/>
  <c r="G67" i="8"/>
  <c r="H63" i="8"/>
  <c r="G63" i="8"/>
  <c r="G62" i="8"/>
  <c r="H62" i="8" s="1"/>
  <c r="G61" i="8"/>
  <c r="H61" i="8" s="1"/>
  <c r="G60" i="8"/>
  <c r="H60" i="8" s="1"/>
  <c r="C56" i="8"/>
  <c r="B55" i="8"/>
  <c r="B45" i="8"/>
  <c r="D48" i="8" s="1"/>
  <c r="F42" i="8"/>
  <c r="D42" i="8"/>
  <c r="I39" i="8" s="1"/>
  <c r="G41" i="8"/>
  <c r="E41" i="8"/>
  <c r="B34" i="8"/>
  <c r="F44" i="8" s="1"/>
  <c r="F45" i="8" s="1"/>
  <c r="F46" i="8" s="1"/>
  <c r="B30" i="8"/>
  <c r="D101" i="8" l="1"/>
  <c r="I92" i="8"/>
  <c r="F98" i="8"/>
  <c r="F99" i="8" s="1"/>
  <c r="B69" i="8"/>
  <c r="D102" i="8"/>
  <c r="G92" i="8"/>
  <c r="G93" i="8"/>
  <c r="G91" i="8"/>
  <c r="G39" i="8"/>
  <c r="G40" i="8"/>
  <c r="D49" i="8"/>
  <c r="G38" i="8"/>
  <c r="D44" i="8"/>
  <c r="D45" i="8" s="1"/>
  <c r="D46" i="8" s="1"/>
  <c r="D97" i="8"/>
  <c r="D98" i="8" s="1"/>
  <c r="D99" i="8" s="1"/>
  <c r="E40" i="8" l="1"/>
  <c r="E39" i="8"/>
  <c r="E91" i="8"/>
  <c r="G42" i="8"/>
  <c r="G95" i="8"/>
  <c r="E93" i="8"/>
  <c r="E38" i="8"/>
  <c r="E92" i="8"/>
  <c r="J94" i="3"/>
  <c r="D52" i="8" l="1"/>
  <c r="D50" i="8"/>
  <c r="E42" i="8"/>
  <c r="E95" i="8"/>
  <c r="D105" i="8"/>
  <c r="D103" i="8"/>
  <c r="E112" i="8" l="1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G69" i="8"/>
  <c r="H69" i="8" s="1"/>
  <c r="G66" i="8"/>
  <c r="H66" i="8" s="1"/>
  <c r="G64" i="8"/>
  <c r="D51" i="8"/>
  <c r="G70" i="8"/>
  <c r="H70" i="8" s="1"/>
  <c r="G65" i="8"/>
  <c r="H65" i="8" s="1"/>
  <c r="G68" i="8"/>
  <c r="H68" i="8" s="1"/>
  <c r="E115" i="8" l="1"/>
  <c r="E116" i="8" s="1"/>
  <c r="E117" i="8"/>
  <c r="F108" i="8"/>
  <c r="H64" i="8"/>
  <c r="G72" i="8"/>
  <c r="G73" i="8" s="1"/>
  <c r="G74" i="8"/>
  <c r="C120" i="3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H74" i="8" l="1"/>
  <c r="H72" i="8"/>
  <c r="F117" i="8"/>
  <c r="F115" i="8"/>
  <c r="I92" i="3"/>
  <c r="D101" i="3"/>
  <c r="D102" i="3" s="1"/>
  <c r="I39" i="3"/>
  <c r="D49" i="3"/>
  <c r="F44" i="3"/>
  <c r="F45" i="3" s="1"/>
  <c r="G40" i="3" s="1"/>
  <c r="D45" i="3"/>
  <c r="E38" i="3" s="1"/>
  <c r="F98" i="3"/>
  <c r="F99" i="3" s="1"/>
  <c r="B69" i="3"/>
  <c r="D97" i="3"/>
  <c r="D98" i="3" s="1"/>
  <c r="D99" i="3" s="1"/>
  <c r="G76" i="8" l="1"/>
  <c r="H73" i="8"/>
  <c r="G120" i="8"/>
  <c r="F116" i="8"/>
  <c r="G41" i="3"/>
  <c r="E41" i="3"/>
  <c r="D46" i="3"/>
  <c r="E39" i="3"/>
  <c r="E40" i="3"/>
  <c r="F46" i="3"/>
  <c r="G39" i="3"/>
  <c r="G38" i="3"/>
  <c r="E94" i="3"/>
  <c r="E93" i="3"/>
  <c r="E91" i="3"/>
  <c r="E92" i="3"/>
  <c r="G94" i="3"/>
  <c r="G93" i="3"/>
  <c r="G92" i="3"/>
  <c r="G91" i="3"/>
  <c r="G95" i="3" l="1"/>
  <c r="E42" i="3"/>
  <c r="G42" i="3"/>
  <c r="D52" i="3"/>
  <c r="D50" i="3"/>
  <c r="G68" i="3" s="1"/>
  <c r="H68" i="3" s="1"/>
  <c r="D51" i="3"/>
  <c r="E95" i="3"/>
  <c r="D105" i="3"/>
  <c r="D103" i="3"/>
  <c r="G63" i="3" l="1"/>
  <c r="H63" i="3" s="1"/>
  <c r="G64" i="3"/>
  <c r="H64" i="3" s="1"/>
  <c r="G67" i="3"/>
  <c r="H67" i="3" s="1"/>
  <c r="G70" i="3"/>
  <c r="H70" i="3" s="1"/>
  <c r="G71" i="3"/>
  <c r="H71" i="3" s="1"/>
  <c r="G69" i="3"/>
  <c r="H69" i="3" s="1"/>
  <c r="G60" i="3"/>
  <c r="H60" i="3" s="1"/>
  <c r="G66" i="3"/>
  <c r="H66" i="3" s="1"/>
  <c r="G61" i="3"/>
  <c r="H61" i="3" s="1"/>
  <c r="G65" i="3"/>
  <c r="H65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<sst xmlns="http://schemas.openxmlformats.org/spreadsheetml/2006/main" count="442" uniqueCount="133">
  <si>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</si>
  <si>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</si>
  <si>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</si>
  <si>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</si>
  <si>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</si>
  <si>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</si>
  <si>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</si>
  <si>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</si>
  <si>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2015-10-02 11:43:31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</si>
  <si>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</si>
  <si>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</si>
  <si>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</si>
  <si>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</si>
  <si>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</si>
  <si>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</si>
  <si>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</si>
  <si>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</si>
  <si>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</si>
  <si>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</si>
  <si>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</si>
  <si>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</si>
  <si>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</si>
  <si>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</si>
  <si>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</si>
  <si>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</si>
  <si>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</si>
  <si>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</si>
  <si>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</si>
  <si>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</si>
  <si>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</si>
  <si>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</si>
  <si>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</si>
  <si>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</si>
  <si>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</si>
  <si>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</si>
  <si>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</si>
  <si>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</si>
  <si>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</si>
  <si>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</si>
  <si>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</si>
  <si>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</si>
  <si>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</si>
  <si>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</si>
  <si>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</si>
  <si>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</si>
  <si>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</si>
  <si>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</si>
  <si>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</si>
  <si>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</si>
  <si>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</si>
  <si>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</si>
  <si>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</si>
  <si>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</si>
  <si>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</si>
  <si>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</si>
  <si>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</si>
  <si>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</si>
  <si>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</si>
  <si>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</si>
  <si>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</si>
  <si>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</si>
  <si>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</si>
  <si>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</si>
  <si>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</si>
  <si>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</si>
  <si>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</si>
  <si>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</si>
  <si>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</si>
  <si>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</si>
  <si>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</si>
  <si>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</si>
  <si>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</si>
  <si>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</si>
  <si>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</si>
  <si>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</si>
  <si>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</si>
  <si>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</si>
  <si>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</si>
  <si>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</si>
  <si>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</si>
  <si>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</si>
  <si>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</si>
  <si>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</si>
  <si>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</si>
  <si>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</si>
  <si>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</si>
  <si>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</si>
  <si>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</si>
  <si>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</si>
  <si>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</si>
  <si>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</si>
  <si>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</si>
  <si>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</si>
  <si>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</si>
  <si>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</si>
  <si>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</si>
  <si>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</si>
  <si>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</si>
  <si>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</si>
  <si>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</si>
  <si>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</si>
  <si>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</si>
  <si>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</si>
  <si>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</si>
  <si>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</si>
  <si>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</si>
  <si>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</si>
  <si>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</si>
  <si>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</si>
  <si>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</si>
  <si>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</si>
  <si>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</si>
  <si>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</si>
  <si>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</si>
  <si>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</si>
  <si>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</si>
  <si>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</si>
  <si>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2016-01-27 14:21:54</t>
  </si>
  <si>
    <t xml:space="preserve">TENOFOVIR LAMIVUDINE EFAVIRENZ </t>
  </si>
  <si>
    <t>Tenofovir disoproxil fumarate</t>
  </si>
  <si>
    <t>T11 7</t>
  </si>
  <si>
    <t>Lamivudine</t>
  </si>
  <si>
    <t>L3 8</t>
  </si>
  <si>
    <t>TENOFOVIR LAMIVUDINE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</si>
  <si>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</si>
  <si>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</si>
  <si>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</si>
  <si>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</si>
  <si>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 xml:space="preserve">TENOFOVIR DISOPROXIL FUMARATE/  LAMIVUDINE 300 mg/300 mg </t>
  </si>
  <si>
    <t xml:space="preserve">Tenofovir Disoproxil Fumarate 300mg, Lamivudine 300mg </t>
  </si>
  <si>
    <t>Each film-coated tablet contains  Lamivudine USP 300mg, Tenofovir Disoproxil Fumarate 300mg equivalent to tenofovir disoproxil 245mg</t>
  </si>
  <si>
    <t>NDQB201601732</t>
  </si>
  <si>
    <t>Each tablet contains Tenofovir disoproxil fumarate 300mg, lamivudine USP 300MG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</si>
</sst>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7" fillId="2" borderId="0"/>
    <xf numFmtId="0" fontId="17" fillId="2" borderId="0"/>
    <xf numFmtId="0" fontId="17" fillId="2" borderId="0"/>
    <xf numFmtId="0" fontId="23" fillId="2" borderId="0"/>
    <xf numFmtId="0" fontId="23" fillId="2" borderId="0"/>
    <xf numFmtId="0" fontId="23" fillId="2" borderId="0"/>
  </cellStyleXfs>
  <cellXfs count="544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4" fillId="3" borderId="0" xfId="0" applyFont="1" applyFill="1" applyProtection="1"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9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70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1" fontId="4" fillId="2" borderId="26" xfId="0" applyNumberFormat="1" applyFont="1" applyFill="1" applyBorder="1" applyAlignment="1">
      <alignment horizontal="center"/>
    </xf>
    <xf numFmtId="171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1" fontId="4" fillId="2" borderId="31" xfId="0" applyNumberFormat="1" applyFont="1" applyFill="1" applyBorder="1" applyAlignment="1">
      <alignment horizontal="center"/>
    </xf>
    <xf numFmtId="171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1" fontId="4" fillId="2" borderId="35" xfId="0" applyNumberFormat="1" applyFont="1" applyFill="1" applyBorder="1" applyAlignment="1">
      <alignment horizontal="center"/>
    </xf>
    <xf numFmtId="171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1" fontId="5" fillId="6" borderId="38" xfId="0" applyNumberFormat="1" applyFont="1" applyFill="1" applyBorder="1" applyAlignment="1">
      <alignment horizontal="center"/>
    </xf>
    <xf numFmtId="171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1" fontId="5" fillId="7" borderId="13" xfId="0" applyNumberFormat="1" applyFont="1" applyFill="1" applyBorder="1" applyAlignment="1">
      <alignment horizontal="center"/>
    </xf>
    <xf numFmtId="171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2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10" fontId="4" fillId="2" borderId="13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10" fontId="4" fillId="2" borderId="14" xfId="0" applyNumberFormat="1" applyFont="1" applyFill="1" applyBorder="1" applyAlignment="1">
      <alignment horizontal="center" vertic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10" fontId="4" fillId="2" borderId="22" xfId="0" applyNumberFormat="1" applyFont="1" applyFill="1" applyBorder="1" applyAlignment="1">
      <alignment horizontal="center" vertical="center"/>
    </xf>
    <xf numFmtId="10" fontId="4" fillId="2" borderId="24" xfId="0" applyNumberFormat="1" applyFont="1" applyFill="1" applyBorder="1" applyAlignment="1">
      <alignment horizontal="center" vertical="center"/>
    </xf>
    <xf numFmtId="10" fontId="4" fillId="2" borderId="44" xfId="0" applyNumberFormat="1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10" fontId="4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10" fontId="6" fillId="7" borderId="33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1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1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1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1" fontId="6" fillId="3" borderId="31" xfId="0" applyNumberFormat="1" applyFont="1" applyFill="1" applyBorder="1" applyAlignment="1" applyProtection="1">
      <alignment horizontal="center"/>
      <protection locked="0"/>
    </xf>
    <xf numFmtId="10" fontId="4" fillId="2" borderId="30" xfId="0" applyNumberFormat="1" applyFont="1" applyFill="1" applyBorder="1" applyAlignment="1">
      <alignment horizontal="center"/>
    </xf>
    <xf numFmtId="10" fontId="4" fillId="2" borderId="32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1" fontId="6" fillId="3" borderId="35" xfId="0" applyNumberFormat="1" applyFont="1" applyFill="1" applyBorder="1" applyAlignment="1" applyProtection="1">
      <alignment horizontal="center"/>
      <protection locked="0"/>
    </xf>
    <xf numFmtId="10" fontId="4" fillId="2" borderId="36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171" fontId="4" fillId="2" borderId="2" xfId="0" applyNumberFormat="1" applyFont="1" applyFill="1" applyBorder="1" applyAlignment="1">
      <alignment horizontal="right"/>
    </xf>
    <xf numFmtId="10" fontId="6" fillId="7" borderId="27" xfId="0" applyNumberFormat="1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4" fillId="2" borderId="56" xfId="0" applyFont="1" applyFill="1" applyBorder="1" applyAlignment="1">
      <alignment horizontal="right"/>
    </xf>
    <xf numFmtId="0" fontId="6" fillId="7" borderId="1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7" xfId="0" applyNumberFormat="1" applyFont="1" applyFill="1" applyBorder="1" applyAlignment="1">
      <alignment horizontal="center"/>
    </xf>
    <xf numFmtId="166" fontId="4" fillId="2" borderId="26" xfId="0" applyNumberFormat="1" applyFont="1" applyFill="1" applyBorder="1" applyAlignment="1">
      <alignment horizontal="center"/>
    </xf>
    <xf numFmtId="166" fontId="4" fillId="2" borderId="31" xfId="0" applyNumberFormat="1" applyFont="1" applyFill="1" applyBorder="1" applyAlignment="1">
      <alignment horizontal="center"/>
    </xf>
    <xf numFmtId="166" fontId="4" fillId="2" borderId="35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2" fontId="6" fillId="7" borderId="27" xfId="0" applyNumberFormat="1" applyFont="1" applyFill="1" applyBorder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9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70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1" fontId="4" fillId="2" borderId="26" xfId="0" applyNumberFormat="1" applyFont="1" applyFill="1" applyBorder="1" applyAlignment="1">
      <alignment horizontal="center"/>
    </xf>
    <xf numFmtId="171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6" fillId="3" borderId="23" xfId="0" applyFont="1" applyFill="1" applyBorder="1" applyAlignment="1" applyProtection="1">
      <alignment horizontal="center"/>
      <protection locked="0"/>
    </xf>
    <xf numFmtId="171" fontId="4" fillId="2" borderId="31" xfId="0" applyNumberFormat="1" applyFont="1" applyFill="1" applyBorder="1" applyAlignment="1">
      <alignment horizontal="center"/>
    </xf>
    <xf numFmtId="171" fontId="4" fillId="2" borderId="32" xfId="0" applyNumberFormat="1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1" fontId="4" fillId="2" borderId="35" xfId="0" applyNumberFormat="1" applyFont="1" applyFill="1" applyBorder="1" applyAlignment="1">
      <alignment horizontal="center"/>
    </xf>
    <xf numFmtId="171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1" fontId="5" fillId="6" borderId="38" xfId="0" applyNumberFormat="1" applyFont="1" applyFill="1" applyBorder="1" applyAlignment="1">
      <alignment horizontal="center"/>
    </xf>
    <xf numFmtId="171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1" fontId="5" fillId="7" borderId="13" xfId="0" applyNumberFormat="1" applyFont="1" applyFill="1" applyBorder="1" applyAlignment="1">
      <alignment horizontal="center"/>
    </xf>
    <xf numFmtId="171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2" fontId="6" fillId="3" borderId="0" xfId="0" applyNumberFormat="1" applyFont="1" applyFill="1" applyAlignment="1" applyProtection="1">
      <alignment horizontal="center"/>
      <protection locked="0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10" fontId="4" fillId="2" borderId="13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10" fontId="4" fillId="2" borderId="14" xfId="0" applyNumberFormat="1" applyFont="1" applyFill="1" applyBorder="1" applyAlignment="1">
      <alignment horizontal="center" vertic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10" fontId="4" fillId="2" borderId="22" xfId="0" applyNumberFormat="1" applyFont="1" applyFill="1" applyBorder="1" applyAlignment="1">
      <alignment horizontal="center" vertical="center"/>
    </xf>
    <xf numFmtId="10" fontId="4" fillId="2" borderId="24" xfId="0" applyNumberFormat="1" applyFont="1" applyFill="1" applyBorder="1" applyAlignment="1">
      <alignment horizontal="center" vertical="center"/>
    </xf>
    <xf numFmtId="10" fontId="4" fillId="2" borderId="44" xfId="0" applyNumberFormat="1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10" fontId="4" fillId="2" borderId="15" xfId="0" applyNumberFormat="1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right"/>
    </xf>
    <xf numFmtId="10" fontId="6" fillId="7" borderId="33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1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1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1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1" fontId="6" fillId="3" borderId="31" xfId="0" applyNumberFormat="1" applyFont="1" applyFill="1" applyBorder="1" applyAlignment="1" applyProtection="1">
      <alignment horizontal="center"/>
      <protection locked="0"/>
    </xf>
    <xf numFmtId="10" fontId="4" fillId="2" borderId="30" xfId="0" applyNumberFormat="1" applyFont="1" applyFill="1" applyBorder="1" applyAlignment="1">
      <alignment horizontal="center"/>
    </xf>
    <xf numFmtId="10" fontId="4" fillId="2" borderId="32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1" fontId="6" fillId="3" borderId="35" xfId="0" applyNumberFormat="1" applyFont="1" applyFill="1" applyBorder="1" applyAlignment="1" applyProtection="1">
      <alignment horizontal="center"/>
      <protection locked="0"/>
    </xf>
    <xf numFmtId="10" fontId="4" fillId="2" borderId="36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171" fontId="4" fillId="2" borderId="2" xfId="0" applyNumberFormat="1" applyFont="1" applyFill="1" applyBorder="1" applyAlignment="1">
      <alignment horizontal="right"/>
    </xf>
    <xf numFmtId="10" fontId="6" fillId="7" borderId="27" xfId="0" applyNumberFormat="1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4" fillId="2" borderId="56" xfId="0" applyFont="1" applyFill="1" applyBorder="1" applyAlignment="1">
      <alignment horizontal="right"/>
    </xf>
    <xf numFmtId="0" fontId="6" fillId="7" borderId="17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7" xfId="0" applyNumberFormat="1" applyFont="1" applyFill="1" applyBorder="1" applyAlignment="1">
      <alignment horizontal="center"/>
    </xf>
    <xf numFmtId="166" fontId="4" fillId="2" borderId="26" xfId="0" applyNumberFormat="1" applyFont="1" applyFill="1" applyBorder="1" applyAlignment="1">
      <alignment horizontal="center"/>
    </xf>
    <xf numFmtId="166" fontId="4" fillId="2" borderId="31" xfId="0" applyNumberFormat="1" applyFont="1" applyFill="1" applyBorder="1" applyAlignment="1">
      <alignment horizontal="center"/>
    </xf>
    <xf numFmtId="166" fontId="4" fillId="2" borderId="35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2" fontId="6" fillId="7" borderId="27" xfId="0" applyNumberFormat="1" applyFont="1" applyFill="1" applyBorder="1" applyAlignment="1">
      <alignment horizontal="center"/>
    </xf>
    <xf numFmtId="0" fontId="7" fillId="2" borderId="0" xfId="0" applyFont="1" applyFill="1"/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 vertical="center" wrapText="1"/>
    </xf>
    <xf numFmtId="0" fontId="22" fillId="3" borderId="0" xfId="0" applyFont="1" applyFill="1" applyAlignment="1" applyProtection="1">
      <alignment horizontal="left"/>
      <protection locked="0"/>
    </xf>
    <xf numFmtId="0" fontId="24" fillId="2" borderId="0" xfId="4" applyFont="1" applyFill="1"/>
    <xf numFmtId="0" fontId="25" fillId="2" borderId="0" xfId="4" applyFont="1" applyFill="1"/>
    <xf numFmtId="0" fontId="25" fillId="2" borderId="0" xfId="4" applyFont="1" applyFill="1" applyAlignment="1">
      <alignment horizontal="right"/>
    </xf>
    <xf numFmtId="0" fontId="27" fillId="2" borderId="0" xfId="4" applyFont="1" applyFill="1"/>
    <xf numFmtId="0" fontId="27" fillId="2" borderId="0" xfId="4" applyFont="1" applyFill="1" applyAlignment="1">
      <alignment horizontal="left"/>
    </xf>
    <xf numFmtId="0" fontId="18" fillId="2" borderId="0" xfId="4" applyFont="1" applyFill="1" applyAlignment="1">
      <alignment horizontal="left"/>
    </xf>
    <xf numFmtId="0" fontId="18" fillId="2" borderId="0" xfId="4" applyFont="1" applyFill="1" applyAlignment="1">
      <alignment horizontal="center"/>
    </xf>
    <xf numFmtId="0" fontId="19" fillId="2" borderId="0" xfId="4" applyFont="1" applyFill="1"/>
    <xf numFmtId="0" fontId="18" fillId="2" borderId="0" xfId="4" applyFont="1" applyFill="1"/>
    <xf numFmtId="2" fontId="18" fillId="2" borderId="0" xfId="4" applyNumberFormat="1" applyFont="1" applyFill="1" applyAlignment="1">
      <alignment horizontal="center"/>
    </xf>
    <xf numFmtId="164" fontId="18" fillId="2" borderId="0" xfId="4" applyNumberFormat="1" applyFont="1" applyFill="1" applyAlignment="1">
      <alignment horizontal="center"/>
    </xf>
    <xf numFmtId="0" fontId="18" fillId="2" borderId="1" xfId="4" applyFont="1" applyFill="1" applyBorder="1" applyAlignment="1">
      <alignment horizontal="center"/>
    </xf>
    <xf numFmtId="0" fontId="18" fillId="2" borderId="2" xfId="4" applyFont="1" applyFill="1" applyBorder="1" applyAlignment="1">
      <alignment horizontal="center"/>
    </xf>
    <xf numFmtId="0" fontId="18" fillId="2" borderId="4" xfId="4" applyFont="1" applyFill="1" applyBorder="1" applyAlignment="1">
      <alignment horizontal="center"/>
    </xf>
    <xf numFmtId="0" fontId="19" fillId="2" borderId="3" xfId="4" applyFont="1" applyFill="1" applyBorder="1" applyAlignment="1">
      <alignment horizontal="center"/>
    </xf>
    <xf numFmtId="0" fontId="20" fillId="3" borderId="3" xfId="4" applyFont="1" applyFill="1" applyBorder="1" applyAlignment="1" applyProtection="1">
      <alignment horizontal="center"/>
      <protection locked="0"/>
    </xf>
    <xf numFmtId="2" fontId="20" fillId="3" borderId="31" xfId="4" applyNumberFormat="1" applyFont="1" applyFill="1" applyBorder="1" applyAlignment="1" applyProtection="1">
      <alignment horizontal="center"/>
      <protection locked="0"/>
    </xf>
    <xf numFmtId="2" fontId="20" fillId="3" borderId="59" xfId="4" applyNumberFormat="1" applyFont="1" applyFill="1" applyBorder="1" applyAlignment="1" applyProtection="1">
      <alignment horizontal="center"/>
      <protection locked="0"/>
    </xf>
    <xf numFmtId="2" fontId="20" fillId="3" borderId="60" xfId="4" applyNumberFormat="1" applyFont="1" applyFill="1" applyBorder="1" applyAlignment="1" applyProtection="1">
      <alignment horizontal="center"/>
      <protection locked="0"/>
    </xf>
    <xf numFmtId="0" fontId="20" fillId="3" borderId="5" xfId="4" applyFont="1" applyFill="1" applyBorder="1" applyAlignment="1" applyProtection="1">
      <alignment horizontal="center"/>
      <protection locked="0"/>
    </xf>
    <xf numFmtId="2" fontId="20" fillId="3" borderId="35" xfId="4" applyNumberFormat="1" applyFont="1" applyFill="1" applyBorder="1" applyAlignment="1" applyProtection="1">
      <alignment horizontal="center"/>
      <protection locked="0"/>
    </xf>
    <xf numFmtId="2" fontId="20" fillId="3" borderId="61" xfId="4" applyNumberFormat="1" applyFont="1" applyFill="1" applyBorder="1" applyAlignment="1" applyProtection="1">
      <alignment horizontal="center"/>
      <protection locked="0"/>
    </xf>
    <xf numFmtId="0" fontId="19" fillId="2" borderId="4" xfId="4" applyFont="1" applyFill="1" applyBorder="1"/>
    <xf numFmtId="1" fontId="18" fillId="4" borderId="2" xfId="4" applyNumberFormat="1" applyFont="1" applyFill="1" applyBorder="1" applyAlignment="1">
      <alignment horizontal="center"/>
    </xf>
    <xf numFmtId="1" fontId="18" fillId="4" borderId="1" xfId="4" applyNumberFormat="1" applyFont="1" applyFill="1" applyBorder="1" applyAlignment="1">
      <alignment horizontal="center"/>
    </xf>
    <xf numFmtId="2" fontId="18" fillId="4" borderId="1" xfId="4" applyNumberFormat="1" applyFont="1" applyFill="1" applyBorder="1" applyAlignment="1">
      <alignment horizontal="center"/>
    </xf>
    <xf numFmtId="2" fontId="18" fillId="4" borderId="5" xfId="4" applyNumberFormat="1" applyFont="1" applyFill="1" applyBorder="1" applyAlignment="1">
      <alignment horizontal="center"/>
    </xf>
    <xf numFmtId="0" fontId="19" fillId="2" borderId="3" xfId="4" applyFont="1" applyFill="1" applyBorder="1"/>
    <xf numFmtId="10" fontId="18" fillId="5" borderId="1" xfId="4" applyNumberFormat="1" applyFont="1" applyFill="1" applyBorder="1" applyAlignment="1">
      <alignment horizontal="center"/>
    </xf>
    <xf numFmtId="165" fontId="18" fillId="2" borderId="0" xfId="4" applyNumberFormat="1" applyFont="1" applyFill="1" applyAlignment="1">
      <alignment horizontal="center"/>
    </xf>
    <xf numFmtId="0" fontId="19" fillId="2" borderId="6" xfId="4" applyFont="1" applyFill="1" applyBorder="1"/>
    <xf numFmtId="0" fontId="19" fillId="2" borderId="5" xfId="4" applyFont="1" applyFill="1" applyBorder="1"/>
    <xf numFmtId="0" fontId="18" fillId="4" borderId="1" xfId="4" applyFont="1" applyFill="1" applyBorder="1" applyAlignment="1">
      <alignment horizontal="center"/>
    </xf>
    <xf numFmtId="0" fontId="18" fillId="2" borderId="7" xfId="4" applyFont="1" applyFill="1" applyBorder="1" applyAlignment="1">
      <alignment horizontal="center"/>
    </xf>
    <xf numFmtId="0" fontId="19" fillId="2" borderId="7" xfId="4" applyFont="1" applyFill="1" applyBorder="1"/>
    <xf numFmtId="0" fontId="19" fillId="2" borderId="8" xfId="4" applyFont="1" applyFill="1" applyBorder="1"/>
    <xf numFmtId="0" fontId="19" fillId="2" borderId="0" xfId="4" applyFont="1" applyFill="1" applyAlignment="1" applyProtection="1">
      <alignment horizontal="left"/>
      <protection locked="0"/>
    </xf>
    <xf numFmtId="0" fontId="19" fillId="2" borderId="0" xfId="4" applyFont="1" applyFill="1" applyProtection="1">
      <protection locked="0"/>
    </xf>
    <xf numFmtId="2" fontId="20" fillId="3" borderId="3" xfId="4" applyNumberFormat="1" applyFont="1" applyFill="1" applyBorder="1" applyAlignment="1" applyProtection="1">
      <alignment horizontal="center"/>
      <protection locked="0"/>
    </xf>
    <xf numFmtId="2" fontId="20" fillId="3" borderId="4" xfId="4" applyNumberFormat="1" applyFont="1" applyFill="1" applyBorder="1" applyAlignment="1" applyProtection="1">
      <alignment horizontal="center"/>
      <protection locked="0"/>
    </xf>
    <xf numFmtId="2" fontId="20" fillId="3" borderId="5" xfId="4" applyNumberFormat="1" applyFont="1" applyFill="1" applyBorder="1" applyAlignment="1" applyProtection="1">
      <alignment horizontal="center"/>
      <protection locked="0"/>
    </xf>
    <xf numFmtId="0" fontId="25" fillId="2" borderId="9" xfId="4" applyFont="1" applyFill="1" applyBorder="1"/>
    <xf numFmtId="0" fontId="25" fillId="2" borderId="0" xfId="4" applyFont="1" applyFill="1" applyAlignment="1">
      <alignment horizontal="center"/>
    </xf>
    <xf numFmtId="10" fontId="25" fillId="2" borderId="9" xfId="4" applyNumberFormat="1" applyFont="1" applyFill="1" applyBorder="1"/>
    <xf numFmtId="0" fontId="23" fillId="2" borderId="0" xfId="4" applyFill="1"/>
    <xf numFmtId="0" fontId="24" fillId="2" borderId="10" xfId="4" applyFont="1" applyFill="1" applyBorder="1" applyAlignment="1">
      <alignment horizontal="center"/>
    </xf>
    <xf numFmtId="0" fontId="25" fillId="2" borderId="10" xfId="4" applyFont="1" applyFill="1" applyBorder="1" applyAlignment="1">
      <alignment horizontal="center"/>
    </xf>
    <xf numFmtId="0" fontId="24" fillId="2" borderId="0" xfId="4" applyFont="1" applyFill="1" applyAlignment="1">
      <alignment horizontal="right"/>
    </xf>
    <xf numFmtId="0" fontId="25" fillId="2" borderId="7" xfId="4" applyFont="1" applyFill="1" applyBorder="1"/>
    <xf numFmtId="0" fontId="24" fillId="2" borderId="11" xfId="4" applyFont="1" applyFill="1" applyBorder="1"/>
    <xf numFmtId="0" fontId="25" fillId="2" borderId="11" xfId="4" applyFont="1" applyFill="1" applyBorder="1"/>
    <xf numFmtId="0" fontId="24" fillId="2" borderId="0" xfId="5" applyFont="1" applyFill="1"/>
    <xf numFmtId="0" fontId="25" fillId="2" borderId="0" xfId="5" applyFont="1" applyFill="1"/>
    <xf numFmtId="0" fontId="25" fillId="2" borderId="0" xfId="5" applyFont="1" applyFill="1" applyAlignment="1">
      <alignment horizontal="right"/>
    </xf>
    <xf numFmtId="0" fontId="27" fillId="2" borderId="0" xfId="5" applyFont="1" applyFill="1"/>
    <xf numFmtId="0" fontId="27" fillId="2" borderId="0" xfId="5" applyFont="1" applyFill="1" applyAlignment="1">
      <alignment horizontal="left"/>
    </xf>
    <xf numFmtId="0" fontId="18" fillId="2" borderId="0" xfId="5" applyFont="1" applyFill="1" applyAlignment="1">
      <alignment horizontal="left"/>
    </xf>
    <xf numFmtId="0" fontId="18" fillId="2" borderId="0" xfId="5" applyFont="1" applyFill="1" applyAlignment="1">
      <alignment horizontal="center"/>
    </xf>
    <xf numFmtId="0" fontId="19" fillId="2" borderId="0" xfId="5" applyFont="1" applyFill="1"/>
    <xf numFmtId="0" fontId="18" fillId="2" borderId="0" xfId="5" applyFont="1" applyFill="1"/>
    <xf numFmtId="2" fontId="18" fillId="2" borderId="0" xfId="5" applyNumberFormat="1" applyFont="1" applyFill="1" applyAlignment="1">
      <alignment horizontal="center"/>
    </xf>
    <xf numFmtId="164" fontId="18" fillId="2" borderId="0" xfId="5" applyNumberFormat="1" applyFont="1" applyFill="1" applyAlignment="1">
      <alignment horizontal="center"/>
    </xf>
    <xf numFmtId="0" fontId="18" fillId="2" borderId="1" xfId="5" applyFont="1" applyFill="1" applyBorder="1" applyAlignment="1">
      <alignment horizontal="center"/>
    </xf>
    <xf numFmtId="0" fontId="18" fillId="2" borderId="2" xfId="5" applyFont="1" applyFill="1" applyBorder="1" applyAlignment="1">
      <alignment horizontal="center"/>
    </xf>
    <xf numFmtId="0" fontId="19" fillId="2" borderId="3" xfId="5" applyFont="1" applyFill="1" applyBorder="1" applyAlignment="1">
      <alignment horizontal="center"/>
    </xf>
    <xf numFmtId="0" fontId="20" fillId="3" borderId="3" xfId="5" applyFont="1" applyFill="1" applyBorder="1" applyAlignment="1" applyProtection="1">
      <alignment horizontal="center"/>
      <protection locked="0"/>
    </xf>
    <xf numFmtId="2" fontId="20" fillId="3" borderId="3" xfId="5" applyNumberFormat="1" applyFont="1" applyFill="1" applyBorder="1" applyAlignment="1" applyProtection="1">
      <alignment horizontal="center"/>
      <protection locked="0"/>
    </xf>
    <xf numFmtId="2" fontId="20" fillId="3" borderId="4" xfId="5" applyNumberFormat="1" applyFont="1" applyFill="1" applyBorder="1" applyAlignment="1" applyProtection="1">
      <alignment horizontal="center"/>
      <protection locked="0"/>
    </xf>
    <xf numFmtId="0" fontId="20" fillId="3" borderId="5" xfId="5" applyFont="1" applyFill="1" applyBorder="1" applyAlignment="1" applyProtection="1">
      <alignment horizontal="center"/>
      <protection locked="0"/>
    </xf>
    <xf numFmtId="2" fontId="20" fillId="3" borderId="5" xfId="5" applyNumberFormat="1" applyFont="1" applyFill="1" applyBorder="1" applyAlignment="1" applyProtection="1">
      <alignment horizontal="center"/>
      <protection locked="0"/>
    </xf>
    <xf numFmtId="0" fontId="19" fillId="2" borderId="4" xfId="5" applyFont="1" applyFill="1" applyBorder="1"/>
    <xf numFmtId="1" fontId="18" fillId="4" borderId="2" xfId="5" applyNumberFormat="1" applyFont="1" applyFill="1" applyBorder="1" applyAlignment="1">
      <alignment horizontal="center"/>
    </xf>
    <xf numFmtId="1" fontId="18" fillId="4" borderId="1" xfId="5" applyNumberFormat="1" applyFont="1" applyFill="1" applyBorder="1" applyAlignment="1">
      <alignment horizontal="center"/>
    </xf>
    <xf numFmtId="2" fontId="18" fillId="4" borderId="1" xfId="5" applyNumberFormat="1" applyFont="1" applyFill="1" applyBorder="1" applyAlignment="1">
      <alignment horizontal="center"/>
    </xf>
    <xf numFmtId="0" fontId="19" fillId="2" borderId="3" xfId="5" applyFont="1" applyFill="1" applyBorder="1"/>
    <xf numFmtId="10" fontId="18" fillId="5" borderId="1" xfId="5" applyNumberFormat="1" applyFont="1" applyFill="1" applyBorder="1" applyAlignment="1">
      <alignment horizontal="center"/>
    </xf>
    <xf numFmtId="165" fontId="18" fillId="2" borderId="0" xfId="5" applyNumberFormat="1" applyFont="1" applyFill="1" applyAlignment="1">
      <alignment horizontal="center"/>
    </xf>
    <xf numFmtId="0" fontId="19" fillId="2" borderId="6" xfId="5" applyFont="1" applyFill="1" applyBorder="1"/>
    <xf numFmtId="0" fontId="19" fillId="2" borderId="5" xfId="5" applyFont="1" applyFill="1" applyBorder="1"/>
    <xf numFmtId="0" fontId="18" fillId="4" borderId="1" xfId="5" applyFont="1" applyFill="1" applyBorder="1" applyAlignment="1">
      <alignment horizontal="center"/>
    </xf>
    <xf numFmtId="0" fontId="18" fillId="2" borderId="7" xfId="5" applyFont="1" applyFill="1" applyBorder="1" applyAlignment="1">
      <alignment horizontal="center"/>
    </xf>
    <xf numFmtId="0" fontId="19" fillId="2" borderId="7" xfId="5" applyFont="1" applyFill="1" applyBorder="1"/>
    <xf numFmtId="0" fontId="19" fillId="2" borderId="8" xfId="5" applyFont="1" applyFill="1" applyBorder="1"/>
    <xf numFmtId="0" fontId="19" fillId="2" borderId="0" xfId="5" applyFont="1" applyFill="1" applyAlignment="1" applyProtection="1">
      <alignment horizontal="left"/>
      <protection locked="0"/>
    </xf>
    <xf numFmtId="0" fontId="19" fillId="2" borderId="0" xfId="5" applyFont="1" applyFill="1" applyProtection="1">
      <protection locked="0"/>
    </xf>
    <xf numFmtId="0" fontId="25" fillId="2" borderId="9" xfId="5" applyFont="1" applyFill="1" applyBorder="1"/>
    <xf numFmtId="0" fontId="25" fillId="2" borderId="0" xfId="5" applyFont="1" applyFill="1" applyAlignment="1">
      <alignment horizontal="center"/>
    </xf>
    <xf numFmtId="10" fontId="25" fillId="2" borderId="9" xfId="5" applyNumberFormat="1" applyFont="1" applyFill="1" applyBorder="1"/>
    <xf numFmtId="0" fontId="23" fillId="2" borderId="0" xfId="5" applyFill="1"/>
    <xf numFmtId="0" fontId="24" fillId="2" borderId="10" xfId="5" applyFont="1" applyFill="1" applyBorder="1" applyAlignment="1">
      <alignment horizontal="center"/>
    </xf>
    <xf numFmtId="0" fontId="25" fillId="2" borderId="10" xfId="5" applyFont="1" applyFill="1" applyBorder="1" applyAlignment="1">
      <alignment horizontal="center"/>
    </xf>
    <xf numFmtId="0" fontId="24" fillId="2" borderId="0" xfId="5" applyFont="1" applyFill="1" applyAlignment="1">
      <alignment horizontal="right"/>
    </xf>
    <xf numFmtId="0" fontId="25" fillId="2" borderId="7" xfId="5" applyFont="1" applyFill="1" applyBorder="1"/>
    <xf numFmtId="0" fontId="24" fillId="2" borderId="11" xfId="5" applyFont="1" applyFill="1" applyBorder="1"/>
    <xf numFmtId="0" fontId="25" fillId="2" borderId="11" xfId="5" applyFont="1" applyFill="1" applyBorder="1"/>
    <xf numFmtId="0" fontId="24" fillId="2" borderId="0" xfId="6" applyFont="1" applyFill="1"/>
    <xf numFmtId="0" fontId="28" fillId="2" borderId="0" xfId="6" applyFont="1" applyFill="1" applyAlignment="1">
      <alignment wrapText="1"/>
    </xf>
    <xf numFmtId="0" fontId="27" fillId="2" borderId="0" xfId="6" applyFont="1" applyFill="1"/>
    <xf numFmtId="0" fontId="19" fillId="2" borderId="0" xfId="6" applyFont="1" applyFill="1"/>
    <xf numFmtId="167" fontId="19" fillId="2" borderId="0" xfId="6" applyNumberFormat="1" applyFont="1" applyFill="1" applyAlignment="1">
      <alignment horizontal="center"/>
    </xf>
    <xf numFmtId="0" fontId="18" fillId="2" borderId="0" xfId="6" applyFont="1" applyFill="1" applyAlignment="1">
      <alignment horizontal="right"/>
    </xf>
    <xf numFmtId="167" fontId="19" fillId="2" borderId="0" xfId="6" applyNumberFormat="1" applyFont="1" applyFill="1"/>
    <xf numFmtId="0" fontId="27" fillId="2" borderId="0" xfId="6" applyFont="1" applyFill="1" applyAlignment="1">
      <alignment horizontal="left"/>
    </xf>
    <xf numFmtId="0" fontId="29" fillId="2" borderId="0" xfId="6" applyFont="1" applyFill="1"/>
    <xf numFmtId="164" fontId="24" fillId="2" borderId="0" xfId="6" applyNumberFormat="1" applyFont="1" applyFill="1"/>
    <xf numFmtId="164" fontId="18" fillId="2" borderId="12" xfId="6" applyNumberFormat="1" applyFont="1" applyFill="1" applyBorder="1" applyAlignment="1">
      <alignment horizontal="center" wrapText="1"/>
    </xf>
    <xf numFmtId="0" fontId="18" fillId="2" borderId="12" xfId="6" applyFont="1" applyFill="1" applyBorder="1" applyAlignment="1">
      <alignment horizontal="center" wrapText="1"/>
    </xf>
    <xf numFmtId="0" fontId="25" fillId="2" borderId="0" xfId="6" applyFont="1" applyFill="1" applyAlignment="1">
      <alignment horizontal="center"/>
    </xf>
    <xf numFmtId="2" fontId="19" fillId="3" borderId="14" xfId="6" applyNumberFormat="1" applyFont="1" applyFill="1" applyBorder="1" applyProtection="1">
      <protection locked="0"/>
    </xf>
    <xf numFmtId="10" fontId="19" fillId="2" borderId="13" xfId="6" applyNumberFormat="1" applyFont="1" applyFill="1" applyBorder="1" applyAlignment="1">
      <alignment horizontal="center"/>
    </xf>
    <xf numFmtId="10" fontId="19" fillId="2" borderId="0" xfId="6" applyNumberFormat="1" applyFont="1" applyFill="1" applyAlignment="1">
      <alignment horizontal="center"/>
    </xf>
    <xf numFmtId="10" fontId="19" fillId="2" borderId="14" xfId="6" applyNumberFormat="1" applyFont="1" applyFill="1" applyBorder="1" applyAlignment="1">
      <alignment horizontal="center"/>
    </xf>
    <xf numFmtId="2" fontId="19" fillId="3" borderId="15" xfId="6" applyNumberFormat="1" applyFont="1" applyFill="1" applyBorder="1" applyProtection="1">
      <protection locked="0"/>
    </xf>
    <xf numFmtId="10" fontId="19" fillId="2" borderId="15" xfId="6" applyNumberFormat="1" applyFont="1" applyFill="1" applyBorder="1" applyAlignment="1">
      <alignment horizontal="center"/>
    </xf>
    <xf numFmtId="166" fontId="25" fillId="2" borderId="0" xfId="6" applyNumberFormat="1" applyFont="1" applyFill="1" applyAlignment="1">
      <alignment horizontal="center"/>
    </xf>
    <xf numFmtId="10" fontId="25" fillId="2" borderId="0" xfId="6" applyNumberFormat="1" applyFont="1" applyFill="1" applyAlignment="1">
      <alignment horizontal="center"/>
    </xf>
    <xf numFmtId="0" fontId="19" fillId="2" borderId="12" xfId="6" applyFont="1" applyFill="1" applyBorder="1" applyAlignment="1">
      <alignment horizontal="right" vertical="center"/>
    </xf>
    <xf numFmtId="166" fontId="19" fillId="2" borderId="12" xfId="6" applyNumberFormat="1" applyFont="1" applyFill="1" applyBorder="1" applyAlignment="1">
      <alignment horizontal="center" vertical="center"/>
    </xf>
    <xf numFmtId="166" fontId="19" fillId="2" borderId="0" xfId="6" applyNumberFormat="1" applyFont="1" applyFill="1" applyAlignment="1">
      <alignment horizontal="center"/>
    </xf>
    <xf numFmtId="164" fontId="18" fillId="2" borderId="12" xfId="6" applyNumberFormat="1" applyFont="1" applyFill="1" applyBorder="1" applyAlignment="1">
      <alignment horizontal="center" vertical="center"/>
    </xf>
    <xf numFmtId="2" fontId="30" fillId="2" borderId="0" xfId="6" applyNumberFormat="1" applyFont="1" applyFill="1" applyAlignment="1">
      <alignment horizontal="right"/>
    </xf>
    <xf numFmtId="2" fontId="18" fillId="2" borderId="0" xfId="6" applyNumberFormat="1" applyFont="1" applyFill="1"/>
    <xf numFmtId="2" fontId="30" fillId="2" borderId="0" xfId="6" applyNumberFormat="1" applyFont="1" applyFill="1"/>
    <xf numFmtId="0" fontId="18" fillId="2" borderId="12" xfId="6" applyFont="1" applyFill="1" applyBorder="1" applyAlignment="1">
      <alignment horizontal="center" vertical="center"/>
    </xf>
    <xf numFmtId="10" fontId="25" fillId="2" borderId="0" xfId="6" applyNumberFormat="1" applyFont="1" applyFill="1"/>
    <xf numFmtId="165" fontId="18" fillId="2" borderId="16" xfId="6" applyNumberFormat="1" applyFont="1" applyFill="1" applyBorder="1" applyAlignment="1">
      <alignment horizontal="center"/>
    </xf>
    <xf numFmtId="2" fontId="18" fillId="2" borderId="12" xfId="6" applyNumberFormat="1" applyFont="1" applyFill="1" applyBorder="1" applyAlignment="1">
      <alignment horizontal="center" vertical="center"/>
    </xf>
    <xf numFmtId="165" fontId="18" fillId="2" borderId="17" xfId="6" applyNumberFormat="1" applyFont="1" applyFill="1" applyBorder="1" applyAlignment="1">
      <alignment horizontal="center"/>
    </xf>
    <xf numFmtId="0" fontId="19" fillId="2" borderId="9" xfId="6" applyFont="1" applyFill="1" applyBorder="1"/>
    <xf numFmtId="0" fontId="19" fillId="2" borderId="0" xfId="6" applyFont="1" applyFill="1" applyAlignment="1">
      <alignment horizontal="center"/>
    </xf>
    <xf numFmtId="10" fontId="19" fillId="2" borderId="9" xfId="6" applyNumberFormat="1" applyFont="1" applyFill="1" applyBorder="1"/>
    <xf numFmtId="0" fontId="18" fillId="2" borderId="10" xfId="6" applyFont="1" applyFill="1" applyBorder="1"/>
    <xf numFmtId="0" fontId="18" fillId="2" borderId="10" xfId="6" applyFont="1" applyFill="1" applyBorder="1" applyAlignment="1">
      <alignment horizontal="center"/>
    </xf>
    <xf numFmtId="0" fontId="19" fillId="2" borderId="10" xfId="6" applyFont="1" applyFill="1" applyBorder="1" applyAlignment="1">
      <alignment horizontal="center"/>
    </xf>
    <xf numFmtId="0" fontId="19" fillId="2" borderId="7" xfId="6" applyFont="1" applyFill="1" applyBorder="1"/>
    <xf numFmtId="0" fontId="18" fillId="2" borderId="11" xfId="6" applyFont="1" applyFill="1" applyBorder="1"/>
    <xf numFmtId="0" fontId="18" fillId="2" borderId="0" xfId="6" applyFont="1" applyFill="1"/>
    <xf numFmtId="0" fontId="19" fillId="2" borderId="11" xfId="6" applyFont="1" applyFill="1" applyBorder="1"/>
    <xf numFmtId="0" fontId="23" fillId="2" borderId="0" xfId="6" applyFill="1"/>
    <xf numFmtId="0" fontId="26" fillId="2" borderId="0" xfId="4" applyFont="1" applyFill="1" applyAlignment="1">
      <alignment horizontal="center"/>
    </xf>
    <xf numFmtId="0" fontId="18" fillId="3" borderId="0" xfId="4" applyFont="1" applyFill="1" applyAlignment="1" applyProtection="1">
      <alignment horizontal="left" wrapText="1"/>
      <protection locked="0"/>
    </xf>
    <xf numFmtId="0" fontId="24" fillId="2" borderId="10" xfId="4" applyFont="1" applyFill="1" applyBorder="1" applyAlignment="1">
      <alignment horizontal="center"/>
    </xf>
    <xf numFmtId="166" fontId="18" fillId="2" borderId="13" xfId="6" applyNumberFormat="1" applyFont="1" applyFill="1" applyBorder="1" applyAlignment="1">
      <alignment horizontal="center" vertical="center"/>
    </xf>
    <xf numFmtId="166" fontId="18" fillId="2" borderId="15" xfId="6" applyNumberFormat="1" applyFont="1" applyFill="1" applyBorder="1" applyAlignment="1">
      <alignment horizontal="center" vertical="center"/>
    </xf>
    <xf numFmtId="0" fontId="28" fillId="2" borderId="18" xfId="6" applyFont="1" applyFill="1" applyBorder="1" applyAlignment="1">
      <alignment horizontal="center" wrapText="1"/>
    </xf>
    <xf numFmtId="0" fontId="28" fillId="2" borderId="19" xfId="6" applyFont="1" applyFill="1" applyBorder="1" applyAlignment="1">
      <alignment horizontal="center" wrapText="1"/>
    </xf>
    <xf numFmtId="0" fontId="28" fillId="2" borderId="20" xfId="6" applyFont="1" applyFill="1" applyBorder="1" applyAlignment="1">
      <alignment horizontal="center" wrapText="1"/>
    </xf>
    <xf numFmtId="0" fontId="27" fillId="2" borderId="0" xfId="6" applyFont="1" applyFill="1" applyAlignment="1">
      <alignment horizontal="center"/>
    </xf>
    <xf numFmtId="0" fontId="18" fillId="2" borderId="0" xfId="6" applyFont="1" applyFill="1" applyAlignment="1">
      <alignment horizontal="right"/>
    </xf>
    <xf numFmtId="164" fontId="24" fillId="2" borderId="0" xfId="6" applyNumberFormat="1" applyFont="1" applyFill="1" applyAlignment="1">
      <alignment horizontal="center"/>
    </xf>
    <xf numFmtId="0" fontId="21" fillId="3" borderId="0" xfId="0" applyFont="1" applyFill="1" applyAlignment="1" applyProtection="1">
      <alignment horizontal="left" wrapText="1"/>
      <protection locked="0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0" fontId="7" fillId="3" borderId="0" xfId="0" applyFont="1" applyFill="1" applyAlignment="1" applyProtection="1">
      <alignment horizontal="left" wrapText="1"/>
      <protection locked="0"/>
    </xf>
    <xf numFmtId="0" fontId="22" fillId="3" borderId="0" xfId="0" applyFont="1" applyFill="1" applyAlignment="1" applyProtection="1">
      <alignment horizontal="left" wrapText="1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12" fillId="2" borderId="18" xfId="0" applyFont="1" applyFill="1" applyBorder="1" applyAlignment="1">
      <alignment horizontal="justify" vertical="center" wrapText="1"/>
    </xf>
    <xf numFmtId="0" fontId="12" fillId="2" borderId="19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justify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10" fontId="8" fillId="2" borderId="14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12" fillId="2" borderId="44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 applyProtection="1">
      <alignment horizontal="center" vertical="center"/>
      <protection locked="0"/>
    </xf>
    <xf numFmtId="2" fontId="6" fillId="3" borderId="14" xfId="0" applyNumberFormat="1" applyFont="1" applyFill="1" applyBorder="1" applyAlignment="1" applyProtection="1">
      <alignment horizontal="center" vertical="center"/>
      <protection locked="0"/>
    </xf>
    <xf numFmtId="2" fontId="6" fillId="3" borderId="15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5" fillId="2" borderId="43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26" fillId="2" borderId="0" xfId="5" applyFont="1" applyFill="1" applyAlignment="1">
      <alignment horizontal="center"/>
    </xf>
    <xf numFmtId="0" fontId="24" fillId="2" borderId="10" xfId="5" applyFont="1" applyFill="1" applyBorder="1" applyAlignment="1">
      <alignment horizontal="center"/>
    </xf>
  </cellXfs>
  <cellStyles count="7">
    <cellStyle name="Normal" xfId="0" builtinId="0"/>
    <cellStyle name="Normal 2" xfId="1"/>
    <cellStyle name="Normal 2 2" xfId="4"/>
    <cellStyle name="Normal 3" xfId="2"/>
    <cellStyle name="Normal 3 2" xfId="5"/>
    <cellStyle name="Normal 4" xfId="3"/>
    <cellStyle name="Normal 4 2" xfId="6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51" sqref="E51"/>
    </sheetView>
  </sheetViews>
  <sheetFormatPr defaultRowHeight="13.5" x14ac:dyDescent="0.25"/>
  <cols>
    <col min="1" max="1" width="27.5703125" style="352" customWidth="1"/>
    <col min="2" max="2" width="20.42578125" style="352" customWidth="1"/>
    <col min="3" max="3" width="31.85546875" style="352" customWidth="1"/>
    <col min="4" max="4" width="25.85546875" style="352" customWidth="1"/>
    <col min="5" max="5" width="25.7109375" style="352" customWidth="1"/>
    <col min="6" max="6" width="23.140625" style="352" customWidth="1"/>
    <col min="7" max="7" width="28.42578125" style="352" customWidth="1"/>
    <col min="8" max="8" width="21.5703125" style="352" customWidth="1"/>
    <col min="9" max="9" width="9.140625" style="352" customWidth="1"/>
    <col min="10" max="16384" width="9.140625" style="395"/>
  </cols>
  <sheetData>
    <row r="14" spans="1:6" ht="15" customHeight="1" x14ac:dyDescent="0.3">
      <c r="A14" s="351"/>
      <c r="C14" s="353"/>
      <c r="F14" s="353"/>
    </row>
    <row r="15" spans="1:6" ht="18.75" customHeight="1" x14ac:dyDescent="0.3">
      <c r="A15" s="490" t="s">
        <v>0</v>
      </c>
      <c r="B15" s="490"/>
      <c r="C15" s="490"/>
      <c r="D15" s="490"/>
      <c r="E15" s="490"/>
    </row>
    <row r="16" spans="1:6" ht="16.5" customHeight="1" x14ac:dyDescent="0.3">
      <c r="A16" s="354" t="s">
        <v>1</v>
      </c>
      <c r="B16" s="355" t="s">
        <v>2</v>
      </c>
    </row>
    <row r="17" spans="1:5" ht="16.5" customHeight="1" x14ac:dyDescent="0.3">
      <c r="A17" s="356" t="s">
        <v>3</v>
      </c>
      <c r="B17" s="491" t="s">
        <v>123</v>
      </c>
      <c r="C17" s="491"/>
      <c r="D17" s="357"/>
      <c r="E17" s="358"/>
    </row>
    <row r="18" spans="1:5" ht="16.5" customHeight="1" x14ac:dyDescent="0.3">
      <c r="A18" s="359" t="s">
        <v>4</v>
      </c>
      <c r="B18" s="358" t="s">
        <v>119</v>
      </c>
      <c r="C18" s="358"/>
      <c r="D18" s="358"/>
      <c r="E18" s="358"/>
    </row>
    <row r="19" spans="1:5" ht="16.5" customHeight="1" x14ac:dyDescent="0.3">
      <c r="A19" s="359" t="s">
        <v>5</v>
      </c>
      <c r="B19" s="360">
        <v>99.8</v>
      </c>
      <c r="C19" s="358"/>
      <c r="D19" s="358"/>
      <c r="E19" s="358"/>
    </row>
    <row r="20" spans="1:5" ht="16.5" customHeight="1" x14ac:dyDescent="0.3">
      <c r="A20" s="356" t="s">
        <v>6</v>
      </c>
      <c r="B20" s="360">
        <v>15.3</v>
      </c>
      <c r="C20" s="358"/>
      <c r="D20" s="358"/>
      <c r="E20" s="358"/>
    </row>
    <row r="21" spans="1:5" ht="16.5" customHeight="1" x14ac:dyDescent="0.3">
      <c r="A21" s="356" t="s">
        <v>7</v>
      </c>
      <c r="B21" s="361">
        <f>B20/50*10/25</f>
        <v>0.12240000000000001</v>
      </c>
      <c r="C21" s="358"/>
      <c r="D21" s="358"/>
      <c r="E21" s="358"/>
    </row>
    <row r="22" spans="1:5" ht="15.75" customHeight="1" x14ac:dyDescent="0.25">
      <c r="A22" s="358"/>
      <c r="B22" s="358"/>
      <c r="C22" s="358"/>
      <c r="D22" s="358"/>
      <c r="E22" s="358"/>
    </row>
    <row r="23" spans="1:5" ht="16.5" customHeight="1" x14ac:dyDescent="0.3">
      <c r="A23" s="362" t="s">
        <v>9</v>
      </c>
      <c r="B23" s="363" t="s">
        <v>10</v>
      </c>
      <c r="C23" s="362" t="s">
        <v>11</v>
      </c>
      <c r="D23" s="362" t="s">
        <v>12</v>
      </c>
      <c r="E23" s="364" t="s">
        <v>13</v>
      </c>
    </row>
    <row r="24" spans="1:5" ht="16.5" customHeight="1" x14ac:dyDescent="0.3">
      <c r="A24" s="365">
        <v>1</v>
      </c>
      <c r="B24" s="366">
        <v>24646209</v>
      </c>
      <c r="C24" s="366">
        <v>63084.25</v>
      </c>
      <c r="D24" s="367">
        <v>1.04</v>
      </c>
      <c r="E24" s="368">
        <v>15.93</v>
      </c>
    </row>
    <row r="25" spans="1:5" ht="16.5" customHeight="1" x14ac:dyDescent="0.3">
      <c r="A25" s="365">
        <v>2</v>
      </c>
      <c r="B25" s="366">
        <v>24655788</v>
      </c>
      <c r="C25" s="366">
        <v>62111.24</v>
      </c>
      <c r="D25" s="367">
        <v>1.03</v>
      </c>
      <c r="E25" s="369">
        <v>15.95</v>
      </c>
    </row>
    <row r="26" spans="1:5" ht="16.5" customHeight="1" x14ac:dyDescent="0.3">
      <c r="A26" s="365">
        <v>3</v>
      </c>
      <c r="B26" s="366">
        <v>24743587</v>
      </c>
      <c r="C26" s="366">
        <v>64971.83</v>
      </c>
      <c r="D26" s="367">
        <v>1.05</v>
      </c>
      <c r="E26" s="369">
        <v>15.92</v>
      </c>
    </row>
    <row r="27" spans="1:5" ht="16.5" customHeight="1" x14ac:dyDescent="0.3">
      <c r="A27" s="365">
        <v>4</v>
      </c>
      <c r="B27" s="366">
        <v>24584669</v>
      </c>
      <c r="C27" s="366">
        <v>62580.19</v>
      </c>
      <c r="D27" s="367">
        <v>1.03</v>
      </c>
      <c r="E27" s="369">
        <v>15.92</v>
      </c>
    </row>
    <row r="28" spans="1:5" ht="16.5" customHeight="1" x14ac:dyDescent="0.3">
      <c r="A28" s="365">
        <v>5</v>
      </c>
      <c r="B28" s="366">
        <v>24605861</v>
      </c>
      <c r="C28" s="366">
        <v>63756.62</v>
      </c>
      <c r="D28" s="367">
        <v>1.05</v>
      </c>
      <c r="E28" s="369">
        <v>15.92</v>
      </c>
    </row>
    <row r="29" spans="1:5" ht="16.5" customHeight="1" x14ac:dyDescent="0.3">
      <c r="A29" s="365">
        <v>6</v>
      </c>
      <c r="B29" s="370">
        <v>24654036</v>
      </c>
      <c r="C29" s="370">
        <v>65248.84</v>
      </c>
      <c r="D29" s="371">
        <v>1.04</v>
      </c>
      <c r="E29" s="372">
        <v>15.92</v>
      </c>
    </row>
    <row r="30" spans="1:5" ht="16.5" customHeight="1" x14ac:dyDescent="0.3">
      <c r="A30" s="373" t="s">
        <v>14</v>
      </c>
      <c r="B30" s="374">
        <f>AVERAGE(B24:B29)</f>
        <v>24648358.333333332</v>
      </c>
      <c r="C30" s="375">
        <f>AVERAGE(C24:C29)</f>
        <v>63625.494999999995</v>
      </c>
      <c r="D30" s="376">
        <f>AVERAGE(D24:D29)</f>
        <v>1.04</v>
      </c>
      <c r="E30" s="377">
        <f>AVERAGE(E24:E29)</f>
        <v>15.926666666666668</v>
      </c>
    </row>
    <row r="31" spans="1:5" ht="16.5" customHeight="1" x14ac:dyDescent="0.3">
      <c r="A31" s="378" t="s">
        <v>15</v>
      </c>
      <c r="B31" s="379">
        <f>(STDEV(B24:B29)/B30)</f>
        <v>2.22384245191226E-3</v>
      </c>
      <c r="C31" s="380"/>
      <c r="D31" s="380"/>
      <c r="E31" s="381"/>
    </row>
    <row r="32" spans="1:5" s="352" customFormat="1" ht="16.5" customHeight="1" x14ac:dyDescent="0.3">
      <c r="A32" s="382" t="s">
        <v>16</v>
      </c>
      <c r="B32" s="383">
        <f>COUNT(B24:B29)</f>
        <v>6</v>
      </c>
      <c r="C32" s="384"/>
      <c r="D32" s="385"/>
      <c r="E32" s="386"/>
    </row>
    <row r="33" spans="1:5" s="352" customFormat="1" ht="15.75" customHeight="1" x14ac:dyDescent="0.25">
      <c r="A33" s="358"/>
      <c r="B33" s="358"/>
      <c r="C33" s="358"/>
      <c r="D33" s="358"/>
      <c r="E33" s="358"/>
    </row>
    <row r="34" spans="1:5" s="352" customFormat="1" ht="16.5" customHeight="1" x14ac:dyDescent="0.3">
      <c r="A34" s="359" t="s">
        <v>17</v>
      </c>
      <c r="B34" s="387" t="s">
        <v>124</v>
      </c>
      <c r="C34" s="388"/>
      <c r="D34" s="388"/>
      <c r="E34" s="388"/>
    </row>
    <row r="35" spans="1:5" ht="16.5" customHeight="1" x14ac:dyDescent="0.3">
      <c r="A35" s="359"/>
      <c r="B35" s="387" t="s">
        <v>125</v>
      </c>
      <c r="C35" s="388"/>
      <c r="D35" s="388"/>
      <c r="E35" s="388"/>
    </row>
    <row r="36" spans="1:5" ht="16.5" customHeight="1" x14ac:dyDescent="0.3">
      <c r="A36" s="359"/>
      <c r="B36" s="387" t="s">
        <v>126</v>
      </c>
      <c r="C36" s="388"/>
      <c r="D36" s="388"/>
      <c r="E36" s="388"/>
    </row>
    <row r="37" spans="1:5" ht="15.75" customHeight="1" x14ac:dyDescent="0.25">
      <c r="A37" s="358"/>
      <c r="B37" s="358"/>
      <c r="C37" s="358"/>
      <c r="D37" s="358"/>
      <c r="E37" s="358"/>
    </row>
    <row r="38" spans="1:5" ht="16.5" customHeight="1" x14ac:dyDescent="0.3">
      <c r="A38" s="354" t="s">
        <v>1</v>
      </c>
      <c r="B38" s="355" t="s">
        <v>127</v>
      </c>
    </row>
    <row r="39" spans="1:5" ht="16.5" customHeight="1" x14ac:dyDescent="0.3">
      <c r="A39" s="359" t="s">
        <v>4</v>
      </c>
      <c r="B39" s="358" t="s">
        <v>119</v>
      </c>
      <c r="C39" s="358"/>
      <c r="D39" s="358"/>
      <c r="E39" s="358"/>
    </row>
    <row r="40" spans="1:5" ht="16.5" customHeight="1" x14ac:dyDescent="0.3">
      <c r="A40" s="359" t="s">
        <v>5</v>
      </c>
      <c r="B40" s="360">
        <v>99.8</v>
      </c>
      <c r="C40" s="358"/>
      <c r="D40" s="358"/>
      <c r="E40" s="358"/>
    </row>
    <row r="41" spans="1:5" ht="16.5" customHeight="1" x14ac:dyDescent="0.3">
      <c r="A41" s="356" t="s">
        <v>6</v>
      </c>
      <c r="B41" s="360">
        <v>13.4</v>
      </c>
      <c r="C41" s="358"/>
      <c r="D41" s="358"/>
      <c r="E41" s="358"/>
    </row>
    <row r="42" spans="1:5" ht="16.5" customHeight="1" x14ac:dyDescent="0.3">
      <c r="A42" s="356" t="s">
        <v>7</v>
      </c>
      <c r="B42" s="361">
        <f>B41/50</f>
        <v>0.26800000000000002</v>
      </c>
      <c r="C42" s="358"/>
      <c r="D42" s="358"/>
      <c r="E42" s="358"/>
    </row>
    <row r="43" spans="1:5" ht="15.75" customHeight="1" x14ac:dyDescent="0.25">
      <c r="A43" s="358"/>
      <c r="B43" s="358"/>
      <c r="C43" s="358"/>
      <c r="D43" s="358"/>
      <c r="E43" s="358"/>
    </row>
    <row r="44" spans="1:5" ht="16.5" customHeight="1" x14ac:dyDescent="0.3">
      <c r="A44" s="362" t="s">
        <v>9</v>
      </c>
      <c r="B44" s="363" t="s">
        <v>10</v>
      </c>
      <c r="C44" s="362" t="s">
        <v>11</v>
      </c>
      <c r="D44" s="362" t="s">
        <v>12</v>
      </c>
      <c r="E44" s="362" t="s">
        <v>13</v>
      </c>
    </row>
    <row r="45" spans="1:5" ht="16.5" customHeight="1" x14ac:dyDescent="0.3">
      <c r="A45" s="365">
        <v>1</v>
      </c>
      <c r="B45" s="366">
        <v>28472934</v>
      </c>
      <c r="C45" s="366">
        <v>25676</v>
      </c>
      <c r="D45" s="389">
        <v>1.5</v>
      </c>
      <c r="E45" s="390">
        <v>10.1</v>
      </c>
    </row>
    <row r="46" spans="1:5" ht="16.5" customHeight="1" x14ac:dyDescent="0.3">
      <c r="A46" s="365">
        <v>2</v>
      </c>
      <c r="B46" s="366">
        <v>28140184</v>
      </c>
      <c r="C46" s="366">
        <v>23716.7</v>
      </c>
      <c r="D46" s="389">
        <v>1.5</v>
      </c>
      <c r="E46" s="389">
        <v>10</v>
      </c>
    </row>
    <row r="47" spans="1:5" ht="16.5" customHeight="1" x14ac:dyDescent="0.3">
      <c r="A47" s="365">
        <v>3</v>
      </c>
      <c r="B47" s="366">
        <v>28741023</v>
      </c>
      <c r="C47" s="366">
        <v>25494.2</v>
      </c>
      <c r="D47" s="389">
        <v>1.5</v>
      </c>
      <c r="E47" s="389">
        <v>10.1</v>
      </c>
    </row>
    <row r="48" spans="1:5" ht="16.5" customHeight="1" x14ac:dyDescent="0.3">
      <c r="A48" s="365">
        <v>4</v>
      </c>
      <c r="B48" s="366">
        <v>28627743</v>
      </c>
      <c r="C48" s="366">
        <v>24569.7</v>
      </c>
      <c r="D48" s="389">
        <v>1.5</v>
      </c>
      <c r="E48" s="389">
        <v>10.1</v>
      </c>
    </row>
    <row r="49" spans="1:7" ht="16.5" customHeight="1" x14ac:dyDescent="0.3">
      <c r="A49" s="365">
        <v>5</v>
      </c>
      <c r="B49" s="366">
        <v>28461409</v>
      </c>
      <c r="C49" s="366">
        <v>24975.5</v>
      </c>
      <c r="D49" s="389">
        <v>1.6</v>
      </c>
      <c r="E49" s="389">
        <v>10.1</v>
      </c>
    </row>
    <row r="50" spans="1:7" ht="16.5" customHeight="1" x14ac:dyDescent="0.3">
      <c r="A50" s="365">
        <v>6</v>
      </c>
      <c r="B50" s="370"/>
      <c r="C50" s="370"/>
      <c r="D50" s="391"/>
      <c r="E50" s="391"/>
    </row>
    <row r="51" spans="1:7" ht="16.5" customHeight="1" x14ac:dyDescent="0.3">
      <c r="A51" s="373" t="s">
        <v>14</v>
      </c>
      <c r="B51" s="374">
        <f>AVERAGE(B45:B50)</f>
        <v>28488658.600000001</v>
      </c>
      <c r="C51" s="375">
        <f>AVERAGE(C45:C50)</f>
        <v>24886.42</v>
      </c>
      <c r="D51" s="376">
        <f>AVERAGE(D45:D50)</f>
        <v>1.52</v>
      </c>
      <c r="E51" s="376">
        <f>AVERAGE(E45:E50)</f>
        <v>10.080000000000002</v>
      </c>
    </row>
    <row r="52" spans="1:7" ht="16.5" customHeight="1" x14ac:dyDescent="0.3">
      <c r="A52" s="378" t="s">
        <v>15</v>
      </c>
      <c r="B52" s="379">
        <f>(STDEV(B45:B50)/B51)</f>
        <v>7.9553275151953359E-3</v>
      </c>
      <c r="C52" s="380"/>
      <c r="D52" s="380"/>
      <c r="E52" s="381"/>
    </row>
    <row r="53" spans="1:7" s="352" customFormat="1" ht="16.5" customHeight="1" x14ac:dyDescent="0.3">
      <c r="A53" s="382" t="s">
        <v>16</v>
      </c>
      <c r="B53" s="383">
        <f>COUNT(B45:B50)</f>
        <v>5</v>
      </c>
      <c r="C53" s="384"/>
      <c r="D53" s="385"/>
      <c r="E53" s="386"/>
    </row>
    <row r="54" spans="1:7" s="352" customFormat="1" ht="15.75" customHeight="1" x14ac:dyDescent="0.25">
      <c r="A54" s="358"/>
      <c r="B54" s="358"/>
      <c r="C54" s="358"/>
      <c r="D54" s="358"/>
      <c r="E54" s="358"/>
    </row>
    <row r="55" spans="1:7" s="352" customFormat="1" ht="16.5" customHeight="1" x14ac:dyDescent="0.3">
      <c r="A55" s="359" t="s">
        <v>17</v>
      </c>
      <c r="B55" s="387" t="s">
        <v>124</v>
      </c>
      <c r="C55" s="388"/>
      <c r="D55" s="388"/>
      <c r="E55" s="388"/>
    </row>
    <row r="56" spans="1:7" ht="16.5" customHeight="1" x14ac:dyDescent="0.3">
      <c r="A56" s="359"/>
      <c r="B56" s="387" t="s">
        <v>125</v>
      </c>
      <c r="C56" s="388"/>
      <c r="D56" s="388"/>
      <c r="E56" s="388"/>
    </row>
    <row r="57" spans="1:7" ht="16.5" customHeight="1" x14ac:dyDescent="0.3">
      <c r="A57" s="359"/>
      <c r="B57" s="387" t="s">
        <v>126</v>
      </c>
      <c r="C57" s="388"/>
      <c r="D57" s="388"/>
      <c r="E57" s="388"/>
    </row>
    <row r="58" spans="1:7" ht="14.25" customHeight="1" thickBot="1" x14ac:dyDescent="0.3">
      <c r="A58" s="392"/>
      <c r="B58" s="393"/>
      <c r="D58" s="394"/>
      <c r="F58" s="395"/>
      <c r="G58" s="395"/>
    </row>
    <row r="59" spans="1:7" ht="15" customHeight="1" x14ac:dyDescent="0.3">
      <c r="B59" s="492" t="s">
        <v>18</v>
      </c>
      <c r="C59" s="492"/>
      <c r="E59" s="396" t="s">
        <v>19</v>
      </c>
      <c r="F59" s="397"/>
      <c r="G59" s="396" t="s">
        <v>20</v>
      </c>
    </row>
    <row r="60" spans="1:7" ht="15" customHeight="1" x14ac:dyDescent="0.3">
      <c r="A60" s="398" t="s">
        <v>21</v>
      </c>
      <c r="B60" s="399"/>
      <c r="C60" s="399"/>
      <c r="E60" s="399"/>
      <c r="G60" s="399"/>
    </row>
    <row r="61" spans="1:7" ht="15" customHeight="1" x14ac:dyDescent="0.3">
      <c r="A61" s="398" t="s">
        <v>22</v>
      </c>
      <c r="B61" s="400"/>
      <c r="C61" s="400"/>
      <c r="E61" s="400"/>
      <c r="G61" s="401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C47" sqref="C47"/>
    </sheetView>
  </sheetViews>
  <sheetFormatPr defaultRowHeight="15" x14ac:dyDescent="0.3"/>
  <cols>
    <col min="1" max="1" width="15.5703125" style="446" customWidth="1"/>
    <col min="2" max="2" width="18.42578125" style="446" customWidth="1"/>
    <col min="3" max="3" width="14.28515625" style="446" customWidth="1"/>
    <col min="4" max="4" width="15" style="446" customWidth="1"/>
    <col min="5" max="5" width="9.140625" style="446" customWidth="1"/>
    <col min="6" max="6" width="27.85546875" style="446" customWidth="1"/>
    <col min="7" max="7" width="12.28515625" style="446" customWidth="1"/>
    <col min="8" max="8" width="9.140625" style="446" customWidth="1"/>
    <col min="9" max="16384" width="9.140625" style="489"/>
  </cols>
  <sheetData>
    <row r="10" spans="1:7" ht="13.5" customHeight="1" thickBot="1" x14ac:dyDescent="0.35"/>
    <row r="11" spans="1:7" ht="13.5" customHeight="1" thickBot="1" x14ac:dyDescent="0.35">
      <c r="A11" s="495" t="s">
        <v>23</v>
      </c>
      <c r="B11" s="496"/>
      <c r="C11" s="496"/>
      <c r="D11" s="496"/>
      <c r="E11" s="496"/>
      <c r="F11" s="497"/>
      <c r="G11" s="447"/>
    </row>
    <row r="12" spans="1:7" ht="16.5" customHeight="1" x14ac:dyDescent="0.3">
      <c r="A12" s="498" t="s">
        <v>24</v>
      </c>
      <c r="B12" s="498"/>
      <c r="C12" s="498"/>
      <c r="D12" s="498"/>
      <c r="E12" s="498"/>
      <c r="F12" s="498"/>
      <c r="G12" s="448"/>
    </row>
    <row r="14" spans="1:7" ht="16.5" customHeight="1" x14ac:dyDescent="0.3">
      <c r="A14" s="499" t="s">
        <v>25</v>
      </c>
      <c r="B14" s="499"/>
      <c r="C14" s="449" t="s">
        <v>128</v>
      </c>
    </row>
    <row r="15" spans="1:7" ht="16.5" customHeight="1" x14ac:dyDescent="0.3">
      <c r="A15" s="499" t="s">
        <v>26</v>
      </c>
      <c r="B15" s="499"/>
      <c r="C15" s="449" t="s">
        <v>131</v>
      </c>
    </row>
    <row r="16" spans="1:7" ht="16.5" customHeight="1" x14ac:dyDescent="0.3">
      <c r="A16" s="499" t="s">
        <v>27</v>
      </c>
      <c r="B16" s="499"/>
      <c r="C16" s="449" t="s">
        <v>129</v>
      </c>
    </row>
    <row r="17" spans="1:5" ht="16.5" customHeight="1" x14ac:dyDescent="0.3">
      <c r="A17" s="499" t="s">
        <v>28</v>
      </c>
      <c r="B17" s="499"/>
      <c r="C17" s="449" t="s">
        <v>130</v>
      </c>
    </row>
    <row r="18" spans="1:5" ht="16.5" customHeight="1" x14ac:dyDescent="0.3">
      <c r="A18" s="499" t="s">
        <v>29</v>
      </c>
      <c r="B18" s="499"/>
      <c r="C18" s="450" t="s">
        <v>117</v>
      </c>
    </row>
    <row r="19" spans="1:5" ht="16.5" customHeight="1" x14ac:dyDescent="0.3">
      <c r="A19" s="499" t="s">
        <v>30</v>
      </c>
      <c r="B19" s="499"/>
      <c r="C19" s="450" t="e">
        <f>#REF!</f>
        <v>#REF!</v>
      </c>
    </row>
    <row r="20" spans="1:5" ht="16.5" customHeight="1" x14ac:dyDescent="0.3">
      <c r="A20" s="451"/>
      <c r="B20" s="451"/>
      <c r="C20" s="452"/>
    </row>
    <row r="21" spans="1:5" ht="16.5" customHeight="1" x14ac:dyDescent="0.3">
      <c r="A21" s="498" t="s">
        <v>1</v>
      </c>
      <c r="B21" s="498"/>
      <c r="C21" s="453" t="s">
        <v>31</v>
      </c>
      <c r="D21" s="454"/>
    </row>
    <row r="22" spans="1:5" ht="15.75" customHeight="1" thickBot="1" x14ac:dyDescent="0.35">
      <c r="A22" s="500"/>
      <c r="B22" s="500"/>
      <c r="C22" s="455"/>
      <c r="D22" s="500"/>
      <c r="E22" s="500"/>
    </row>
    <row r="23" spans="1:5" ht="33.75" customHeight="1" thickBot="1" x14ac:dyDescent="0.35">
      <c r="C23" s="456" t="s">
        <v>32</v>
      </c>
      <c r="D23" s="457" t="s">
        <v>33</v>
      </c>
      <c r="E23" s="458"/>
    </row>
    <row r="24" spans="1:5" ht="15.75" customHeight="1" x14ac:dyDescent="0.3">
      <c r="C24" s="459">
        <v>872.81</v>
      </c>
      <c r="D24" s="460">
        <f t="shared" ref="D24:D43" si="0">(C24-$C$46)/$C$46</f>
        <v>7.3896525372750912E-4</v>
      </c>
      <c r="E24" s="461"/>
    </row>
    <row r="25" spans="1:5" ht="15.75" customHeight="1" x14ac:dyDescent="0.3">
      <c r="C25" s="459">
        <v>874.6</v>
      </c>
      <c r="D25" s="462">
        <f t="shared" si="0"/>
        <v>2.7913280220324666E-3</v>
      </c>
      <c r="E25" s="461"/>
    </row>
    <row r="26" spans="1:5" ht="15.75" customHeight="1" x14ac:dyDescent="0.3">
      <c r="C26" s="459">
        <v>867.4</v>
      </c>
      <c r="D26" s="462">
        <f t="shared" si="0"/>
        <v>-5.4639859063447104E-3</v>
      </c>
      <c r="E26" s="461"/>
    </row>
    <row r="27" spans="1:5" ht="15.75" customHeight="1" x14ac:dyDescent="0.3">
      <c r="C27" s="459">
        <v>872.62</v>
      </c>
      <c r="D27" s="462">
        <f t="shared" si="0"/>
        <v>5.211166917287361E-4</v>
      </c>
      <c r="E27" s="461"/>
    </row>
    <row r="28" spans="1:5" ht="15.75" customHeight="1" x14ac:dyDescent="0.3">
      <c r="C28" s="459">
        <v>877.75</v>
      </c>
      <c r="D28" s="462">
        <f t="shared" si="0"/>
        <v>6.4030278656974325E-3</v>
      </c>
      <c r="E28" s="461"/>
    </row>
    <row r="29" spans="1:5" ht="15.75" customHeight="1" x14ac:dyDescent="0.3">
      <c r="C29" s="459">
        <v>876.83</v>
      </c>
      <c r="D29" s="462">
        <f t="shared" si="0"/>
        <v>5.3481821970715136E-3</v>
      </c>
      <c r="E29" s="461"/>
    </row>
    <row r="30" spans="1:5" ht="15.75" customHeight="1" x14ac:dyDescent="0.3">
      <c r="C30" s="459">
        <v>866</v>
      </c>
      <c r="D30" s="462">
        <f t="shared" si="0"/>
        <v>-7.0691858368624591E-3</v>
      </c>
      <c r="E30" s="461"/>
    </row>
    <row r="31" spans="1:5" ht="15.75" customHeight="1" x14ac:dyDescent="0.3">
      <c r="C31" s="459">
        <v>862.76</v>
      </c>
      <c r="D31" s="462">
        <f t="shared" si="0"/>
        <v>-1.0784077104632176E-2</v>
      </c>
      <c r="E31" s="461"/>
    </row>
    <row r="32" spans="1:5" ht="15.75" customHeight="1" x14ac:dyDescent="0.3">
      <c r="C32" s="459">
        <v>885.54</v>
      </c>
      <c r="D32" s="462">
        <f t="shared" si="0"/>
        <v>1.5334818907649863E-2</v>
      </c>
      <c r="E32" s="461"/>
    </row>
    <row r="33" spans="1:7" ht="15.75" customHeight="1" x14ac:dyDescent="0.3">
      <c r="C33" s="459">
        <v>870.49</v>
      </c>
      <c r="D33" s="462">
        <f t="shared" si="0"/>
        <v>-1.9210803454161581E-3</v>
      </c>
      <c r="E33" s="461"/>
    </row>
    <row r="34" spans="1:7" ht="15.75" customHeight="1" x14ac:dyDescent="0.3">
      <c r="C34" s="459">
        <v>872.83</v>
      </c>
      <c r="D34" s="462">
        <f t="shared" si="0"/>
        <v>7.6189668130644396E-4</v>
      </c>
      <c r="E34" s="461"/>
    </row>
    <row r="35" spans="1:7" ht="15.75" customHeight="1" x14ac:dyDescent="0.3">
      <c r="C35" s="459">
        <v>879.92</v>
      </c>
      <c r="D35" s="462">
        <f t="shared" si="0"/>
        <v>8.891087757999936E-3</v>
      </c>
      <c r="E35" s="461"/>
    </row>
    <row r="36" spans="1:7" ht="15.75" customHeight="1" x14ac:dyDescent="0.3">
      <c r="C36" s="459">
        <v>874.65</v>
      </c>
      <c r="D36" s="462">
        <f t="shared" si="0"/>
        <v>2.8486565909794778E-3</v>
      </c>
      <c r="E36" s="461"/>
    </row>
    <row r="37" spans="1:7" ht="15.75" customHeight="1" x14ac:dyDescent="0.3">
      <c r="C37" s="459">
        <v>860.57</v>
      </c>
      <c r="D37" s="462">
        <f t="shared" si="0"/>
        <v>-1.3295068424513484E-2</v>
      </c>
      <c r="E37" s="461"/>
    </row>
    <row r="38" spans="1:7" ht="15.75" customHeight="1" x14ac:dyDescent="0.3">
      <c r="C38" s="459">
        <v>871.68</v>
      </c>
      <c r="D38" s="462">
        <f t="shared" si="0"/>
        <v>-5.5666040447611769E-4</v>
      </c>
      <c r="E38" s="461"/>
    </row>
    <row r="39" spans="1:7" ht="15.75" customHeight="1" x14ac:dyDescent="0.3">
      <c r="C39" s="459">
        <v>862.09</v>
      </c>
      <c r="D39" s="462">
        <f t="shared" si="0"/>
        <v>-1.1552279928522778E-2</v>
      </c>
      <c r="E39" s="461"/>
    </row>
    <row r="40" spans="1:7" ht="15.75" customHeight="1" x14ac:dyDescent="0.3">
      <c r="C40" s="459">
        <v>873.95</v>
      </c>
      <c r="D40" s="462">
        <f t="shared" si="0"/>
        <v>2.0460566257206685E-3</v>
      </c>
      <c r="E40" s="461"/>
    </row>
    <row r="41" spans="1:7" ht="15.75" customHeight="1" x14ac:dyDescent="0.3">
      <c r="C41" s="459">
        <v>874.56</v>
      </c>
      <c r="D41" s="462">
        <f t="shared" si="0"/>
        <v>2.745465166874727E-3</v>
      </c>
      <c r="E41" s="461"/>
    </row>
    <row r="42" spans="1:7" ht="15.75" customHeight="1" x14ac:dyDescent="0.3">
      <c r="C42" s="459">
        <v>871.37</v>
      </c>
      <c r="D42" s="462">
        <f t="shared" si="0"/>
        <v>-9.1209753194784803E-4</v>
      </c>
      <c r="E42" s="461"/>
    </row>
    <row r="43" spans="1:7" ht="16.5" customHeight="1" thickBot="1" x14ac:dyDescent="0.35">
      <c r="C43" s="463">
        <v>874.89</v>
      </c>
      <c r="D43" s="464">
        <f t="shared" si="0"/>
        <v>3.1238337219253922E-3</v>
      </c>
      <c r="E43" s="461"/>
    </row>
    <row r="44" spans="1:7" ht="16.5" customHeight="1" thickBot="1" x14ac:dyDescent="0.35">
      <c r="C44" s="465"/>
      <c r="D44" s="461"/>
      <c r="E44" s="466"/>
    </row>
    <row r="45" spans="1:7" ht="16.5" customHeight="1" thickBot="1" x14ac:dyDescent="0.35">
      <c r="B45" s="467" t="s">
        <v>34</v>
      </c>
      <c r="C45" s="468">
        <f>SUM(C24:C44)</f>
        <v>17443.310000000001</v>
      </c>
      <c r="D45" s="469"/>
      <c r="E45" s="465"/>
    </row>
    <row r="46" spans="1:7" ht="17.25" customHeight="1" thickBot="1" x14ac:dyDescent="0.35">
      <c r="B46" s="467" t="s">
        <v>35</v>
      </c>
      <c r="C46" s="470">
        <f>AVERAGE(C24:C43)</f>
        <v>872.16550000000007</v>
      </c>
      <c r="E46" s="471"/>
    </row>
    <row r="47" spans="1:7" ht="17.25" customHeight="1" thickBot="1" x14ac:dyDescent="0.35">
      <c r="A47" s="449"/>
      <c r="B47" s="472"/>
      <c r="D47" s="473"/>
      <c r="E47" s="471"/>
    </row>
    <row r="48" spans="1:7" ht="33.75" customHeight="1" thickBot="1" x14ac:dyDescent="0.35">
      <c r="B48" s="474" t="s">
        <v>35</v>
      </c>
      <c r="C48" s="457" t="s">
        <v>36</v>
      </c>
      <c r="D48" s="475"/>
      <c r="G48" s="473"/>
    </row>
    <row r="49" spans="1:6" ht="17.25" customHeight="1" thickBot="1" x14ac:dyDescent="0.35">
      <c r="B49" s="493">
        <f>C46</f>
        <v>872.16550000000007</v>
      </c>
      <c r="C49" s="476">
        <f>-IF(C46&lt;=80,10%,IF(C46&lt;250,7.5%,5%))</f>
        <v>-0.05</v>
      </c>
      <c r="D49" s="477">
        <f>IF(C46&lt;=80,C46*0.9,IF(C46&lt;250,C46*0.925,C46*0.95))</f>
        <v>828.55722500000002</v>
      </c>
    </row>
    <row r="50" spans="1:6" ht="17.25" customHeight="1" thickBot="1" x14ac:dyDescent="0.35">
      <c r="B50" s="494"/>
      <c r="C50" s="478">
        <f>IF(C46&lt;=80, 10%, IF(C46&lt;250, 7.5%, 5%))</f>
        <v>0.05</v>
      </c>
      <c r="D50" s="477">
        <f>IF(C46&lt;=80, C46*1.1, IF(C46&lt;250, C46*1.075, C46*1.05))</f>
        <v>915.77377500000011</v>
      </c>
    </row>
    <row r="51" spans="1:6" ht="16.5" customHeight="1" thickBot="1" x14ac:dyDescent="0.35">
      <c r="A51" s="479"/>
      <c r="B51" s="480"/>
      <c r="C51" s="449"/>
      <c r="D51" s="481"/>
      <c r="E51" s="449"/>
      <c r="F51" s="454"/>
    </row>
    <row r="52" spans="1:6" ht="16.5" customHeight="1" x14ac:dyDescent="0.3">
      <c r="A52" s="449"/>
      <c r="B52" s="482" t="s">
        <v>18</v>
      </c>
      <c r="C52" s="482"/>
      <c r="D52" s="483" t="s">
        <v>19</v>
      </c>
      <c r="E52" s="484"/>
      <c r="F52" s="483" t="s">
        <v>20</v>
      </c>
    </row>
    <row r="53" spans="1:6" ht="34.5" customHeight="1" x14ac:dyDescent="0.3">
      <c r="A53" s="451" t="s">
        <v>21</v>
      </c>
      <c r="B53" s="485"/>
      <c r="C53" s="449"/>
      <c r="D53" s="485"/>
      <c r="E53" s="449"/>
      <c r="F53" s="485"/>
    </row>
    <row r="54" spans="1:6" ht="34.5" customHeight="1" x14ac:dyDescent="0.3">
      <c r="A54" s="451" t="s">
        <v>22</v>
      </c>
      <c r="B54" s="486"/>
      <c r="C54" s="487"/>
      <c r="D54" s="486"/>
      <c r="E54" s="449"/>
      <c r="F54" s="48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7" zoomScale="55" zoomScaleNormal="40" zoomScalePageLayoutView="55" workbookViewId="0">
      <selection activeCell="A31" sqref="A3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1" t="s">
        <v>37</v>
      </c>
      <c r="B1" s="531"/>
      <c r="C1" s="531"/>
      <c r="D1" s="531"/>
      <c r="E1" s="531"/>
      <c r="F1" s="531"/>
      <c r="G1" s="531"/>
      <c r="H1" s="531"/>
      <c r="I1" s="531"/>
    </row>
    <row r="2" spans="1:9" ht="18.7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</row>
    <row r="3" spans="1:9" ht="18.7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</row>
    <row r="4" spans="1:9" ht="18.75" customHeight="1" x14ac:dyDescent="0.25">
      <c r="A4" s="531"/>
      <c r="B4" s="531"/>
      <c r="C4" s="531"/>
      <c r="D4" s="531"/>
      <c r="E4" s="531"/>
      <c r="F4" s="531"/>
      <c r="G4" s="531"/>
      <c r="H4" s="531"/>
      <c r="I4" s="531"/>
    </row>
    <row r="5" spans="1:9" ht="18.75" customHeight="1" x14ac:dyDescent="0.25">
      <c r="A5" s="531"/>
      <c r="B5" s="531"/>
      <c r="C5" s="531"/>
      <c r="D5" s="531"/>
      <c r="E5" s="531"/>
      <c r="F5" s="531"/>
      <c r="G5" s="531"/>
      <c r="H5" s="531"/>
      <c r="I5" s="531"/>
    </row>
    <row r="6" spans="1:9" ht="18.75" customHeight="1" x14ac:dyDescent="0.25">
      <c r="A6" s="531"/>
      <c r="B6" s="531"/>
      <c r="C6" s="531"/>
      <c r="D6" s="531"/>
      <c r="E6" s="531"/>
      <c r="F6" s="531"/>
      <c r="G6" s="531"/>
      <c r="H6" s="531"/>
      <c r="I6" s="531"/>
    </row>
    <row r="7" spans="1:9" ht="18.75" customHeight="1" x14ac:dyDescent="0.25">
      <c r="A7" s="531"/>
      <c r="B7" s="531"/>
      <c r="C7" s="531"/>
      <c r="D7" s="531"/>
      <c r="E7" s="531"/>
      <c r="F7" s="531"/>
      <c r="G7" s="531"/>
      <c r="H7" s="531"/>
      <c r="I7" s="531"/>
    </row>
    <row r="8" spans="1:9" x14ac:dyDescent="0.25">
      <c r="A8" s="532" t="s">
        <v>38</v>
      </c>
      <c r="B8" s="532"/>
      <c r="C8" s="532"/>
      <c r="D8" s="532"/>
      <c r="E8" s="532"/>
      <c r="F8" s="532"/>
      <c r="G8" s="532"/>
      <c r="H8" s="532"/>
      <c r="I8" s="532"/>
    </row>
    <row r="9" spans="1:9" x14ac:dyDescent="0.25">
      <c r="A9" s="532"/>
      <c r="B9" s="532"/>
      <c r="C9" s="532"/>
      <c r="D9" s="532"/>
      <c r="E9" s="532"/>
      <c r="F9" s="532"/>
      <c r="G9" s="532"/>
      <c r="H9" s="532"/>
      <c r="I9" s="532"/>
    </row>
    <row r="10" spans="1:9" x14ac:dyDescent="0.25">
      <c r="A10" s="532"/>
      <c r="B10" s="532"/>
      <c r="C10" s="532"/>
      <c r="D10" s="532"/>
      <c r="E10" s="532"/>
      <c r="F10" s="532"/>
      <c r="G10" s="532"/>
      <c r="H10" s="532"/>
      <c r="I10" s="532"/>
    </row>
    <row r="11" spans="1:9" x14ac:dyDescent="0.25">
      <c r="A11" s="532"/>
      <c r="B11" s="532"/>
      <c r="C11" s="532"/>
      <c r="D11" s="532"/>
      <c r="E11" s="532"/>
      <c r="F11" s="532"/>
      <c r="G11" s="532"/>
      <c r="H11" s="532"/>
      <c r="I11" s="532"/>
    </row>
    <row r="12" spans="1:9" x14ac:dyDescent="0.25">
      <c r="A12" s="532"/>
      <c r="B12" s="532"/>
      <c r="C12" s="532"/>
      <c r="D12" s="532"/>
      <c r="E12" s="532"/>
      <c r="F12" s="532"/>
      <c r="G12" s="532"/>
      <c r="H12" s="532"/>
      <c r="I12" s="532"/>
    </row>
    <row r="13" spans="1:9" x14ac:dyDescent="0.25">
      <c r="A13" s="532"/>
      <c r="B13" s="532"/>
      <c r="C13" s="532"/>
      <c r="D13" s="532"/>
      <c r="E13" s="532"/>
      <c r="F13" s="532"/>
      <c r="G13" s="532"/>
      <c r="H13" s="532"/>
      <c r="I13" s="532"/>
    </row>
    <row r="14" spans="1:9" x14ac:dyDescent="0.25">
      <c r="A14" s="532"/>
      <c r="B14" s="532"/>
      <c r="C14" s="532"/>
      <c r="D14" s="532"/>
      <c r="E14" s="532"/>
      <c r="F14" s="532"/>
      <c r="G14" s="532"/>
      <c r="H14" s="532"/>
      <c r="I14" s="532"/>
    </row>
    <row r="15" spans="1:9" ht="19.5" customHeight="1" x14ac:dyDescent="0.3">
      <c r="A15" s="3"/>
    </row>
    <row r="16" spans="1:9" ht="19.5" customHeight="1" x14ac:dyDescent="0.3">
      <c r="A16" s="502" t="s">
        <v>23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39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5" t="s">
        <v>25</v>
      </c>
      <c r="B18" s="506" t="s">
        <v>118</v>
      </c>
      <c r="C18" s="506"/>
      <c r="D18" s="171"/>
      <c r="E18" s="6"/>
      <c r="F18" s="7"/>
      <c r="G18" s="7"/>
      <c r="H18" s="7"/>
    </row>
    <row r="19" spans="1:14" ht="26.25" customHeight="1" x14ac:dyDescent="0.4">
      <c r="A19" s="5" t="s">
        <v>26</v>
      </c>
      <c r="B19" s="350" t="s">
        <v>131</v>
      </c>
      <c r="C19" s="184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27</v>
      </c>
      <c r="B20" s="507" t="s">
        <v>119</v>
      </c>
      <c r="C20" s="507"/>
      <c r="D20" s="7"/>
      <c r="E20" s="7"/>
      <c r="F20" s="7"/>
      <c r="G20" s="7"/>
      <c r="H20" s="7"/>
    </row>
    <row r="21" spans="1:14" ht="26.25" customHeight="1" x14ac:dyDescent="0.4">
      <c r="A21" s="5" t="s">
        <v>28</v>
      </c>
      <c r="B21" s="508" t="s">
        <v>132</v>
      </c>
      <c r="C21" s="507"/>
      <c r="D21" s="507"/>
      <c r="E21" s="507"/>
      <c r="F21" s="507"/>
      <c r="G21" s="507"/>
      <c r="H21" s="507"/>
      <c r="I21" s="8"/>
    </row>
    <row r="22" spans="1:14" ht="26.25" customHeight="1" x14ac:dyDescent="0.4">
      <c r="A22" s="5" t="s">
        <v>29</v>
      </c>
      <c r="B22" s="9" t="s">
        <v>8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30</v>
      </c>
      <c r="B23" s="9"/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1</v>
      </c>
      <c r="B25" s="10"/>
    </row>
    <row r="26" spans="1:14" ht="26.25" customHeight="1" x14ac:dyDescent="0.4">
      <c r="A26" s="12" t="s">
        <v>4</v>
      </c>
      <c r="B26" s="501" t="s">
        <v>119</v>
      </c>
      <c r="C26" s="501"/>
    </row>
    <row r="27" spans="1:14" ht="26.25" customHeight="1" x14ac:dyDescent="0.4">
      <c r="A27" s="13" t="s">
        <v>40</v>
      </c>
      <c r="B27" s="509" t="s">
        <v>120</v>
      </c>
      <c r="C27" s="509"/>
    </row>
    <row r="28" spans="1:14" ht="27" customHeight="1" x14ac:dyDescent="0.4">
      <c r="A28" s="13" t="s">
        <v>5</v>
      </c>
      <c r="B28" s="14">
        <v>99.8</v>
      </c>
    </row>
    <row r="29" spans="1:14" s="2" customFormat="1" ht="27" customHeight="1" x14ac:dyDescent="0.4">
      <c r="A29" s="13" t="s">
        <v>41</v>
      </c>
      <c r="B29" s="15">
        <v>0</v>
      </c>
      <c r="C29" s="510" t="s">
        <v>42</v>
      </c>
      <c r="D29" s="511"/>
      <c r="E29" s="511"/>
      <c r="F29" s="511"/>
      <c r="G29" s="512"/>
      <c r="I29" s="16"/>
      <c r="J29" s="16"/>
      <c r="K29" s="16"/>
      <c r="L29" s="16"/>
    </row>
    <row r="30" spans="1:14" s="2" customFormat="1" ht="19.5" customHeight="1" x14ac:dyDescent="0.3">
      <c r="A30" s="13" t="s">
        <v>43</v>
      </c>
      <c r="B30" s="17">
        <f>B28-B29</f>
        <v>99.8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44</v>
      </c>
      <c r="B31" s="20">
        <v>1</v>
      </c>
      <c r="C31" s="513" t="s">
        <v>45</v>
      </c>
      <c r="D31" s="514"/>
      <c r="E31" s="514"/>
      <c r="F31" s="514"/>
      <c r="G31" s="514"/>
      <c r="H31" s="515"/>
      <c r="I31" s="16"/>
      <c r="J31" s="16"/>
      <c r="K31" s="16"/>
      <c r="L31" s="16"/>
    </row>
    <row r="32" spans="1:14" s="2" customFormat="1" ht="27" customHeight="1" x14ac:dyDescent="0.4">
      <c r="A32" s="13" t="s">
        <v>46</v>
      </c>
      <c r="B32" s="20">
        <v>1</v>
      </c>
      <c r="C32" s="513" t="s">
        <v>47</v>
      </c>
      <c r="D32" s="514"/>
      <c r="E32" s="514"/>
      <c r="F32" s="514"/>
      <c r="G32" s="514"/>
      <c r="H32" s="515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48</v>
      </c>
      <c r="B34" s="25">
        <f>B31/B32</f>
        <v>1</v>
      </c>
      <c r="C34" s="4" t="s">
        <v>49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50</v>
      </c>
      <c r="B36" s="343">
        <v>50</v>
      </c>
      <c r="C36" s="4"/>
      <c r="D36" s="516" t="s">
        <v>51</v>
      </c>
      <c r="E36" s="517"/>
      <c r="F36" s="516" t="s">
        <v>52</v>
      </c>
      <c r="G36" s="518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53</v>
      </c>
      <c r="B37" s="344">
        <v>10</v>
      </c>
      <c r="C37" s="30" t="s">
        <v>54</v>
      </c>
      <c r="D37" s="31" t="s">
        <v>55</v>
      </c>
      <c r="E37" s="32" t="s">
        <v>56</v>
      </c>
      <c r="F37" s="31" t="s">
        <v>55</v>
      </c>
      <c r="G37" s="33" t="s">
        <v>56</v>
      </c>
      <c r="I37" s="34" t="s">
        <v>57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58</v>
      </c>
      <c r="B38" s="344">
        <v>25</v>
      </c>
      <c r="C38" s="35">
        <v>1</v>
      </c>
      <c r="D38" s="36">
        <v>24571358</v>
      </c>
      <c r="E38" s="37">
        <f>IF(ISBLANK(D38),"-",$D$48/$D$45*D38)</f>
        <v>24137842.351369403</v>
      </c>
      <c r="F38" s="36">
        <v>24510284</v>
      </c>
      <c r="G38" s="38">
        <f>IF(ISBLANK(F38),"-",$D$48/$F$45*F38)</f>
        <v>24348383.482099693</v>
      </c>
      <c r="I38" s="39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59</v>
      </c>
      <c r="B39" s="29">
        <v>1</v>
      </c>
      <c r="C39" s="40">
        <v>2</v>
      </c>
      <c r="D39" s="41">
        <v>24648050</v>
      </c>
      <c r="E39" s="42">
        <f>IF(ISBLANK(D39),"-",$D$48/$D$45*D39)</f>
        <v>24213181.264489762</v>
      </c>
      <c r="F39" s="41">
        <v>24453200</v>
      </c>
      <c r="G39" s="43">
        <f>IF(ISBLANK(F39),"-",$D$48/$F$45*F39)</f>
        <v>24291676.545423962</v>
      </c>
      <c r="I39" s="520">
        <f>ABS((F43/D43*D42)-F42)/D42</f>
        <v>4.2177035482334766E-3</v>
      </c>
      <c r="J39" s="16"/>
      <c r="K39" s="16"/>
      <c r="L39" s="21"/>
      <c r="M39" s="21"/>
      <c r="N39" s="22"/>
    </row>
    <row r="40" spans="1:14" ht="26.25" customHeight="1" x14ac:dyDescent="0.4">
      <c r="A40" s="28" t="s">
        <v>60</v>
      </c>
      <c r="B40" s="29">
        <v>1</v>
      </c>
      <c r="C40" s="40">
        <v>3</v>
      </c>
      <c r="D40" s="41">
        <v>24627379</v>
      </c>
      <c r="E40" s="42">
        <f>IF(ISBLANK(D40),"-",$D$48/$D$45*D40)</f>
        <v>24192874.965617508</v>
      </c>
      <c r="F40" s="41">
        <v>24374247</v>
      </c>
      <c r="G40" s="43">
        <f>IF(ISBLANK(F40),"-",$D$48/$F$45*F40)</f>
        <v>24213245.062497769</v>
      </c>
      <c r="I40" s="520"/>
      <c r="L40" s="21"/>
      <c r="M40" s="21"/>
      <c r="N40" s="44"/>
    </row>
    <row r="41" spans="1:14" ht="27" customHeight="1" x14ac:dyDescent="0.4">
      <c r="A41" s="28" t="s">
        <v>61</v>
      </c>
      <c r="B41" s="29">
        <v>1</v>
      </c>
      <c r="C41" s="45">
        <v>4</v>
      </c>
      <c r="D41" s="46"/>
      <c r="E41" s="47" t="str">
        <f>IF(ISBLANK(D41),"-",$D$48/$D$45*D41)</f>
        <v>-</v>
      </c>
      <c r="F41" s="46"/>
      <c r="G41" s="48" t="str">
        <f>IF(ISBLANK(F41),"-",$D$48/$F$45*F41)</f>
        <v>-</v>
      </c>
      <c r="I41" s="49"/>
      <c r="L41" s="21"/>
      <c r="M41" s="21"/>
      <c r="N41" s="44"/>
    </row>
    <row r="42" spans="1:14" ht="27" customHeight="1" x14ac:dyDescent="0.4">
      <c r="A42" s="28" t="s">
        <v>62</v>
      </c>
      <c r="B42" s="29">
        <v>1</v>
      </c>
      <c r="C42" s="50" t="s">
        <v>63</v>
      </c>
      <c r="D42" s="51">
        <f>AVERAGE(D38:D41)</f>
        <v>24615595.666666668</v>
      </c>
      <c r="E42" s="52">
        <f>AVERAGE(E38:E41)</f>
        <v>24181299.52715889</v>
      </c>
      <c r="F42" s="51">
        <f>AVERAGE(F38:F41)</f>
        <v>24445910.333333332</v>
      </c>
      <c r="G42" s="53">
        <f>AVERAGE(G38:G41)</f>
        <v>24284435.030007139</v>
      </c>
      <c r="H42" s="54"/>
    </row>
    <row r="43" spans="1:14" ht="26.25" customHeight="1" x14ac:dyDescent="0.4">
      <c r="A43" s="28" t="s">
        <v>64</v>
      </c>
      <c r="B43" s="29">
        <v>1</v>
      </c>
      <c r="C43" s="55" t="s">
        <v>65</v>
      </c>
      <c r="D43" s="56">
        <v>15.3</v>
      </c>
      <c r="E43" s="44"/>
      <c r="F43" s="56">
        <v>15.13</v>
      </c>
      <c r="H43" s="54"/>
    </row>
    <row r="44" spans="1:14" ht="26.25" customHeight="1" x14ac:dyDescent="0.4">
      <c r="A44" s="28" t="s">
        <v>66</v>
      </c>
      <c r="B44" s="29">
        <v>1</v>
      </c>
      <c r="C44" s="57" t="s">
        <v>67</v>
      </c>
      <c r="D44" s="58">
        <f>D43*$B$34</f>
        <v>15.3</v>
      </c>
      <c r="E44" s="59"/>
      <c r="F44" s="58">
        <f>F43*$B$34</f>
        <v>15.13</v>
      </c>
      <c r="H44" s="54"/>
    </row>
    <row r="45" spans="1:14" ht="19.5" customHeight="1" x14ac:dyDescent="0.3">
      <c r="A45" s="28" t="s">
        <v>68</v>
      </c>
      <c r="B45" s="60">
        <f>(B44/B43)*(B42/B41)*(B40/B39)*(B38/B37)*B36</f>
        <v>125</v>
      </c>
      <c r="C45" s="57" t="s">
        <v>69</v>
      </c>
      <c r="D45" s="61">
        <f>D44*$B$30/100</f>
        <v>15.269400000000001</v>
      </c>
      <c r="E45" s="62"/>
      <c r="F45" s="61">
        <f>F44*$B$30/100</f>
        <v>15.099739999999999</v>
      </c>
      <c r="H45" s="54"/>
    </row>
    <row r="46" spans="1:14" ht="19.5" customHeight="1" x14ac:dyDescent="0.3">
      <c r="A46" s="521" t="s">
        <v>70</v>
      </c>
      <c r="B46" s="522"/>
      <c r="C46" s="57" t="s">
        <v>71</v>
      </c>
      <c r="D46" s="63">
        <f>D45/$B$45</f>
        <v>0.12215520000000001</v>
      </c>
      <c r="E46" s="64"/>
      <c r="F46" s="65">
        <f>F45/$B$45</f>
        <v>0.12079791999999999</v>
      </c>
      <c r="H46" s="54"/>
    </row>
    <row r="47" spans="1:14" ht="27" customHeight="1" x14ac:dyDescent="0.4">
      <c r="A47" s="523"/>
      <c r="B47" s="524"/>
      <c r="C47" s="66" t="s">
        <v>72</v>
      </c>
      <c r="D47" s="67">
        <v>0.12</v>
      </c>
      <c r="E47" s="68"/>
      <c r="F47" s="64"/>
      <c r="H47" s="54"/>
    </row>
    <row r="48" spans="1:14" ht="18.75" x14ac:dyDescent="0.3">
      <c r="C48" s="69" t="s">
        <v>73</v>
      </c>
      <c r="D48" s="61">
        <f>D47*$B$45</f>
        <v>15</v>
      </c>
      <c r="F48" s="70"/>
      <c r="H48" s="54"/>
    </row>
    <row r="49" spans="1:12" ht="19.5" customHeight="1" x14ac:dyDescent="0.3">
      <c r="C49" s="71" t="s">
        <v>74</v>
      </c>
      <c r="D49" s="72">
        <f>D48/B34</f>
        <v>15</v>
      </c>
      <c r="F49" s="70"/>
      <c r="H49" s="54"/>
    </row>
    <row r="50" spans="1:12" ht="18.75" x14ac:dyDescent="0.3">
      <c r="C50" s="26" t="s">
        <v>75</v>
      </c>
      <c r="D50" s="73">
        <f>AVERAGE(E38:E41,G38:G41)</f>
        <v>24232867.278583016</v>
      </c>
      <c r="F50" s="74"/>
      <c r="H50" s="54"/>
    </row>
    <row r="51" spans="1:12" ht="18.75" x14ac:dyDescent="0.3">
      <c r="C51" s="28" t="s">
        <v>76</v>
      </c>
      <c r="D51" s="75">
        <f>STDEV(E38:E41,G38:G41)/D50</f>
        <v>3.0993256223291465E-3</v>
      </c>
      <c r="F51" s="74"/>
      <c r="H51" s="54"/>
    </row>
    <row r="52" spans="1:12" ht="19.5" customHeight="1" x14ac:dyDescent="0.3">
      <c r="C52" s="76" t="s">
        <v>16</v>
      </c>
      <c r="D52" s="77">
        <f>COUNT(E38:E41,G38:G41)</f>
        <v>6</v>
      </c>
      <c r="F52" s="74"/>
    </row>
    <row r="54" spans="1:12" ht="18.75" x14ac:dyDescent="0.3">
      <c r="A54" s="78" t="s">
        <v>1</v>
      </c>
      <c r="B54" s="79" t="s">
        <v>77</v>
      </c>
    </row>
    <row r="55" spans="1:12" ht="18.75" x14ac:dyDescent="0.3">
      <c r="A55" s="4" t="s">
        <v>78</v>
      </c>
      <c r="B55" s="80" t="str">
        <f>B21</f>
        <v>Each tablet contains Tenofovir disoproxil fumarate 300mg, lamivudine USP 300MG</v>
      </c>
    </row>
    <row r="56" spans="1:12" ht="26.25" customHeight="1" x14ac:dyDescent="0.4">
      <c r="A56" s="81" t="s">
        <v>79</v>
      </c>
      <c r="B56" s="82">
        <v>300</v>
      </c>
      <c r="C56" s="4" t="str">
        <f>B20</f>
        <v>Tenofovir disoproxil fumarate</v>
      </c>
      <c r="H56" s="83"/>
    </row>
    <row r="57" spans="1:12" ht="18.75" x14ac:dyDescent="0.3">
      <c r="A57" s="80" t="s">
        <v>80</v>
      </c>
      <c r="B57" s="172">
        <f>'Uniformity  '!C46</f>
        <v>872.16550000000007</v>
      </c>
      <c r="H57" s="83"/>
    </row>
    <row r="58" spans="1:12" ht="19.5" customHeight="1" x14ac:dyDescent="0.3">
      <c r="H58" s="83"/>
    </row>
    <row r="59" spans="1:12" s="2" customFormat="1" ht="27" customHeight="1" x14ac:dyDescent="0.4">
      <c r="A59" s="26" t="s">
        <v>81</v>
      </c>
      <c r="B59" s="343">
        <v>200</v>
      </c>
      <c r="C59" s="4"/>
      <c r="D59" s="84" t="s">
        <v>82</v>
      </c>
      <c r="E59" s="85" t="s">
        <v>54</v>
      </c>
      <c r="F59" s="85" t="s">
        <v>55</v>
      </c>
      <c r="G59" s="85" t="s">
        <v>83</v>
      </c>
      <c r="H59" s="30" t="s">
        <v>84</v>
      </c>
      <c r="L59" s="16"/>
    </row>
    <row r="60" spans="1:12" s="2" customFormat="1" ht="26.25" customHeight="1" x14ac:dyDescent="0.4">
      <c r="A60" s="28" t="s">
        <v>85</v>
      </c>
      <c r="B60" s="344">
        <v>2</v>
      </c>
      <c r="C60" s="525" t="s">
        <v>86</v>
      </c>
      <c r="D60" s="528">
        <v>873.3</v>
      </c>
      <c r="E60" s="86">
        <v>1</v>
      </c>
      <c r="F60" s="87">
        <v>23507440</v>
      </c>
      <c r="G60" s="173">
        <f>IF(ISBLANK(F60),"-",(F60/$D$50*$D$47*$B$68)*($B$57/$D$60))</f>
        <v>290.64123518628162</v>
      </c>
      <c r="H60" s="88">
        <f t="shared" ref="H60:H71" si="0">IF(ISBLANK(F60),"-",G60/$B$56)</f>
        <v>0.9688041172876054</v>
      </c>
      <c r="L60" s="16"/>
    </row>
    <row r="61" spans="1:12" s="2" customFormat="1" ht="26.25" customHeight="1" x14ac:dyDescent="0.4">
      <c r="A61" s="28" t="s">
        <v>87</v>
      </c>
      <c r="B61" s="344">
        <v>25</v>
      </c>
      <c r="C61" s="526"/>
      <c r="D61" s="529"/>
      <c r="E61" s="89">
        <v>2</v>
      </c>
      <c r="F61" s="41">
        <v>23425181</v>
      </c>
      <c r="G61" s="174">
        <f>IF(ISBLANK(F61),"-",(F61/$D$50*$D$47*$B$68)*($B$57/$D$60))</f>
        <v>289.62420154224429</v>
      </c>
      <c r="H61" s="90">
        <f t="shared" si="0"/>
        <v>0.96541400514081432</v>
      </c>
      <c r="L61" s="16"/>
    </row>
    <row r="62" spans="1:12" s="2" customFormat="1" ht="26.25" customHeight="1" x14ac:dyDescent="0.4">
      <c r="A62" s="28" t="s">
        <v>88</v>
      </c>
      <c r="B62" s="29">
        <v>1</v>
      </c>
      <c r="C62" s="526"/>
      <c r="D62" s="529"/>
      <c r="E62" s="89">
        <v>3</v>
      </c>
      <c r="F62" s="91">
        <v>23376147</v>
      </c>
      <c r="G62" s="174">
        <f>IF(ISBLANK(F62),"-",(F62/$D$50*$D$47*$B$68)*($B$57/$D$60))</f>
        <v>289.01795508043801</v>
      </c>
      <c r="H62" s="90">
        <f t="shared" si="0"/>
        <v>0.96339318360146009</v>
      </c>
      <c r="L62" s="16"/>
    </row>
    <row r="63" spans="1:12" ht="27" customHeight="1" x14ac:dyDescent="0.4">
      <c r="A63" s="28" t="s">
        <v>89</v>
      </c>
      <c r="B63" s="29">
        <v>1</v>
      </c>
      <c r="C63" s="527"/>
      <c r="D63" s="530"/>
      <c r="E63" s="92">
        <v>4</v>
      </c>
      <c r="F63" s="93"/>
      <c r="G63" s="174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28" t="s">
        <v>90</v>
      </c>
      <c r="B64" s="29">
        <v>1</v>
      </c>
      <c r="C64" s="525" t="s">
        <v>91</v>
      </c>
      <c r="D64" s="528">
        <v>877.47</v>
      </c>
      <c r="E64" s="86">
        <v>1</v>
      </c>
      <c r="F64" s="87">
        <v>23613491</v>
      </c>
      <c r="G64" s="175">
        <f>IF(ISBLANK(F64),"-",(F64/$D$50*$D$47*$B$68)*($B$57/$D$64))</f>
        <v>290.56498300934555</v>
      </c>
      <c r="H64" s="94">
        <f t="shared" si="0"/>
        <v>0.96854994336448519</v>
      </c>
    </row>
    <row r="65" spans="1:8" ht="26.25" customHeight="1" x14ac:dyDescent="0.4">
      <c r="A65" s="28" t="s">
        <v>92</v>
      </c>
      <c r="B65" s="29">
        <v>1</v>
      </c>
      <c r="C65" s="526"/>
      <c r="D65" s="529"/>
      <c r="E65" s="89">
        <v>2</v>
      </c>
      <c r="F65" s="41">
        <v>23532650</v>
      </c>
      <c r="G65" s="176">
        <f>IF(ISBLANK(F65),"-",(F65/$D$50*$D$47*$B$68)*($B$57/$D$64))</f>
        <v>289.57023116212991</v>
      </c>
      <c r="H65" s="95">
        <f t="shared" si="0"/>
        <v>0.9652341038737664</v>
      </c>
    </row>
    <row r="66" spans="1:8" ht="26.25" customHeight="1" x14ac:dyDescent="0.4">
      <c r="A66" s="28" t="s">
        <v>93</v>
      </c>
      <c r="B66" s="29">
        <v>1</v>
      </c>
      <c r="C66" s="526"/>
      <c r="D66" s="529"/>
      <c r="E66" s="89">
        <v>3</v>
      </c>
      <c r="F66" s="41">
        <v>23476308</v>
      </c>
      <c r="G66" s="176">
        <f>IF(ISBLANK(F66),"-",(F66/$D$50*$D$47*$B$68)*($B$57/$D$64))</f>
        <v>288.87694052277834</v>
      </c>
      <c r="H66" s="95">
        <f t="shared" si="0"/>
        <v>0.96292313507592775</v>
      </c>
    </row>
    <row r="67" spans="1:8" ht="27" customHeight="1" x14ac:dyDescent="0.4">
      <c r="A67" s="28" t="s">
        <v>94</v>
      </c>
      <c r="B67" s="29">
        <v>1</v>
      </c>
      <c r="C67" s="527"/>
      <c r="D67" s="530"/>
      <c r="E67" s="92">
        <v>4</v>
      </c>
      <c r="F67" s="93"/>
      <c r="G67" s="177" t="str">
        <f>IF(ISBLANK(F67),"-",(F67/$D$50*$D$47*$B$68)*($B$57/$D$64))</f>
        <v>-</v>
      </c>
      <c r="H67" s="96" t="str">
        <f t="shared" si="0"/>
        <v>-</v>
      </c>
    </row>
    <row r="68" spans="1:8" ht="26.25" customHeight="1" x14ac:dyDescent="0.4">
      <c r="A68" s="28" t="s">
        <v>95</v>
      </c>
      <c r="B68" s="97">
        <f>(B67/B66)*(B65/B64)*(B63/B62)*(B61/B60)*B59</f>
        <v>2500</v>
      </c>
      <c r="C68" s="525" t="s">
        <v>96</v>
      </c>
      <c r="D68" s="528">
        <v>877.74</v>
      </c>
      <c r="E68" s="86">
        <v>1</v>
      </c>
      <c r="F68" s="87">
        <v>23283660</v>
      </c>
      <c r="G68" s="175">
        <f>IF(ISBLANK(F68),"-",(F68/$D$50*$D$47*$B$68)*($B$57/$D$68))</f>
        <v>286.41826720746525</v>
      </c>
      <c r="H68" s="90">
        <f t="shared" si="0"/>
        <v>0.95472755735821746</v>
      </c>
    </row>
    <row r="69" spans="1:8" ht="27" customHeight="1" x14ac:dyDescent="0.4">
      <c r="A69" s="76" t="s">
        <v>97</v>
      </c>
      <c r="B69" s="98">
        <f>(D47*B68)/B56*B57</f>
        <v>872.16550000000007</v>
      </c>
      <c r="C69" s="526"/>
      <c r="D69" s="529"/>
      <c r="E69" s="89">
        <v>2</v>
      </c>
      <c r="F69" s="41">
        <v>23162924</v>
      </c>
      <c r="G69" s="176">
        <f>IF(ISBLANK(F69),"-",(F69/$D$50*$D$47*$B$68)*($B$57/$D$68))</f>
        <v>284.93306273748249</v>
      </c>
      <c r="H69" s="90">
        <f t="shared" si="0"/>
        <v>0.9497768757916083</v>
      </c>
    </row>
    <row r="70" spans="1:8" ht="26.25" customHeight="1" x14ac:dyDescent="0.4">
      <c r="A70" s="538" t="s">
        <v>70</v>
      </c>
      <c r="B70" s="539"/>
      <c r="C70" s="526"/>
      <c r="D70" s="529"/>
      <c r="E70" s="89">
        <v>3</v>
      </c>
      <c r="F70" s="41">
        <v>23010026</v>
      </c>
      <c r="G70" s="176">
        <f>IF(ISBLANK(F70),"-",(F70/$D$50*$D$47*$B$68)*($B$57/$D$68))</f>
        <v>283.05222526521709</v>
      </c>
      <c r="H70" s="90">
        <f t="shared" si="0"/>
        <v>0.94350741755072365</v>
      </c>
    </row>
    <row r="71" spans="1:8" ht="27" customHeight="1" x14ac:dyDescent="0.4">
      <c r="A71" s="540"/>
      <c r="B71" s="541"/>
      <c r="C71" s="537"/>
      <c r="D71" s="530"/>
      <c r="E71" s="92">
        <v>4</v>
      </c>
      <c r="F71" s="93"/>
      <c r="G71" s="177" t="str">
        <f>IF(ISBLANK(F71),"-",(F71/$D$50*$D$47*$B$68)*($B$57/$D$68))</f>
        <v>-</v>
      </c>
      <c r="H71" s="99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02" t="s">
        <v>63</v>
      </c>
      <c r="G72" s="182">
        <f>AVERAGE(G60:G71)</f>
        <v>288.07767796815358</v>
      </c>
      <c r="H72" s="103">
        <f>AVERAGE(H60:H71)</f>
        <v>0.96025892656051204</v>
      </c>
    </row>
    <row r="73" spans="1:8" ht="26.25" customHeight="1" x14ac:dyDescent="0.4">
      <c r="C73" s="100"/>
      <c r="D73" s="100"/>
      <c r="E73" s="100"/>
      <c r="F73" s="104" t="s">
        <v>76</v>
      </c>
      <c r="G73" s="178">
        <f>STDEV(G60:G71)/G72</f>
        <v>9.2493917383815703E-3</v>
      </c>
      <c r="H73" s="178">
        <f>STDEV(H60:H71)/H72</f>
        <v>9.2493917383815703E-3</v>
      </c>
    </row>
    <row r="74" spans="1:8" ht="27" customHeight="1" x14ac:dyDescent="0.4">
      <c r="A74" s="100"/>
      <c r="B74" s="100"/>
      <c r="C74" s="101"/>
      <c r="D74" s="101"/>
      <c r="E74" s="105"/>
      <c r="F74" s="106" t="s">
        <v>16</v>
      </c>
      <c r="G74" s="107">
        <f>COUNT(G60:G71)</f>
        <v>9</v>
      </c>
      <c r="H74" s="107">
        <f>COUNT(H60:H71)</f>
        <v>9</v>
      </c>
    </row>
    <row r="76" spans="1:8" ht="26.25" customHeight="1" x14ac:dyDescent="0.4">
      <c r="A76" s="12" t="s">
        <v>98</v>
      </c>
      <c r="B76" s="108" t="s">
        <v>99</v>
      </c>
      <c r="C76" s="533" t="str">
        <f>B20</f>
        <v>Tenofovir disoproxil fumarate</v>
      </c>
      <c r="D76" s="533"/>
      <c r="E76" s="109" t="s">
        <v>100</v>
      </c>
      <c r="F76" s="109"/>
      <c r="G76" s="110">
        <f>H72</f>
        <v>0.96025892656051204</v>
      </c>
      <c r="H76" s="111"/>
    </row>
    <row r="77" spans="1:8" ht="18.75" x14ac:dyDescent="0.3">
      <c r="A77" s="11" t="s">
        <v>101</v>
      </c>
      <c r="B77" s="11" t="s">
        <v>102</v>
      </c>
    </row>
    <row r="78" spans="1:8" ht="18.75" x14ac:dyDescent="0.3">
      <c r="A78" s="11"/>
      <c r="B78" s="11"/>
    </row>
    <row r="79" spans="1:8" ht="26.25" customHeight="1" x14ac:dyDescent="0.4">
      <c r="A79" s="12" t="s">
        <v>4</v>
      </c>
      <c r="B79" s="519" t="str">
        <f>B26</f>
        <v>Tenofovir disoproxil fumarate</v>
      </c>
      <c r="C79" s="519"/>
    </row>
    <row r="80" spans="1:8" ht="26.25" customHeight="1" x14ac:dyDescent="0.4">
      <c r="A80" s="13" t="s">
        <v>40</v>
      </c>
      <c r="B80" s="519" t="s">
        <v>120</v>
      </c>
      <c r="C80" s="519"/>
    </row>
    <row r="81" spans="1:12" ht="27" customHeight="1" x14ac:dyDescent="0.4">
      <c r="A81" s="13" t="s">
        <v>5</v>
      </c>
      <c r="B81" s="112">
        <v>99.8</v>
      </c>
    </row>
    <row r="82" spans="1:12" s="2" customFormat="1" ht="27" customHeight="1" x14ac:dyDescent="0.4">
      <c r="A82" s="13" t="s">
        <v>41</v>
      </c>
      <c r="B82" s="15">
        <v>0</v>
      </c>
      <c r="C82" s="510" t="s">
        <v>42</v>
      </c>
      <c r="D82" s="511"/>
      <c r="E82" s="511"/>
      <c r="F82" s="511"/>
      <c r="G82" s="512"/>
      <c r="I82" s="16"/>
      <c r="J82" s="16"/>
      <c r="K82" s="16"/>
      <c r="L82" s="16"/>
    </row>
    <row r="83" spans="1:12" s="2" customFormat="1" ht="19.5" customHeight="1" x14ac:dyDescent="0.3">
      <c r="A83" s="13" t="s">
        <v>43</v>
      </c>
      <c r="B83" s="17">
        <f>B81-B82</f>
        <v>99.8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44</v>
      </c>
      <c r="B84" s="20">
        <v>1</v>
      </c>
      <c r="C84" s="513" t="s">
        <v>103</v>
      </c>
      <c r="D84" s="514"/>
      <c r="E84" s="514"/>
      <c r="F84" s="514"/>
      <c r="G84" s="514"/>
      <c r="H84" s="515"/>
      <c r="I84" s="16"/>
      <c r="J84" s="16"/>
      <c r="K84" s="16"/>
      <c r="L84" s="16"/>
    </row>
    <row r="85" spans="1:12" s="2" customFormat="1" ht="27" customHeight="1" x14ac:dyDescent="0.4">
      <c r="A85" s="13" t="s">
        <v>46</v>
      </c>
      <c r="B85" s="20">
        <v>1</v>
      </c>
      <c r="C85" s="513" t="s">
        <v>104</v>
      </c>
      <c r="D85" s="514"/>
      <c r="E85" s="514"/>
      <c r="F85" s="514"/>
      <c r="G85" s="514"/>
      <c r="H85" s="515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48</v>
      </c>
      <c r="B87" s="25">
        <f>B84/B85</f>
        <v>1</v>
      </c>
      <c r="C87" s="4" t="s">
        <v>49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50</v>
      </c>
      <c r="B89" s="27">
        <v>50</v>
      </c>
      <c r="D89" s="113" t="s">
        <v>51</v>
      </c>
      <c r="E89" s="114"/>
      <c r="F89" s="516" t="s">
        <v>52</v>
      </c>
      <c r="G89" s="518"/>
    </row>
    <row r="90" spans="1:12" ht="27" customHeight="1" x14ac:dyDescent="0.4">
      <c r="A90" s="28" t="s">
        <v>53</v>
      </c>
      <c r="B90" s="29">
        <v>1</v>
      </c>
      <c r="C90" s="115" t="s">
        <v>54</v>
      </c>
      <c r="D90" s="31" t="s">
        <v>55</v>
      </c>
      <c r="E90" s="32" t="s">
        <v>56</v>
      </c>
      <c r="F90" s="31" t="s">
        <v>55</v>
      </c>
      <c r="G90" s="116" t="s">
        <v>56</v>
      </c>
      <c r="I90" s="34" t="s">
        <v>57</v>
      </c>
    </row>
    <row r="91" spans="1:12" ht="26.25" customHeight="1" x14ac:dyDescent="0.4">
      <c r="A91" s="28" t="s">
        <v>58</v>
      </c>
      <c r="B91" s="29">
        <v>1</v>
      </c>
      <c r="C91" s="117">
        <v>1</v>
      </c>
      <c r="D91" s="211">
        <v>29879516</v>
      </c>
      <c r="E91" s="37">
        <f>IF(ISBLANK(D91),"-",$D$101/$D$98*D91)</f>
        <v>33514247.898782644</v>
      </c>
      <c r="F91" s="211">
        <v>34730372</v>
      </c>
      <c r="G91" s="38">
        <f>IF(ISBLANK(F91),"-",$D$101/$F$98*F91)</f>
        <v>33227217.005621683</v>
      </c>
      <c r="I91" s="39"/>
    </row>
    <row r="92" spans="1:12" ht="26.25" customHeight="1" x14ac:dyDescent="0.4">
      <c r="A92" s="28" t="s">
        <v>59</v>
      </c>
      <c r="B92" s="29">
        <v>1</v>
      </c>
      <c r="C92" s="101">
        <v>2</v>
      </c>
      <c r="D92" s="215">
        <v>29520269</v>
      </c>
      <c r="E92" s="42">
        <f>IF(ISBLANK(D92),"-",$D$101/$D$98*D92)</f>
        <v>33111299.838482939</v>
      </c>
      <c r="F92" s="215">
        <v>34535657</v>
      </c>
      <c r="G92" s="43">
        <f>IF(ISBLANK(F92),"-",$D$101/$F$98*F92)</f>
        <v>33040929.408147931</v>
      </c>
      <c r="I92" s="520">
        <f>ABS((F96/D96*D95)-F95)/D95</f>
        <v>1.0607054739283611E-3</v>
      </c>
    </row>
    <row r="93" spans="1:12" ht="26.25" customHeight="1" x14ac:dyDescent="0.4">
      <c r="A93" s="28" t="s">
        <v>60</v>
      </c>
      <c r="B93" s="29">
        <v>1</v>
      </c>
      <c r="C93" s="101">
        <v>3</v>
      </c>
      <c r="D93" s="215">
        <v>29389189</v>
      </c>
      <c r="E93" s="42">
        <f>IF(ISBLANK(D93),"-",$D$101/$D$98*D93)</f>
        <v>32964274.444411214</v>
      </c>
      <c r="F93" s="215">
        <v>34734925</v>
      </c>
      <c r="G93" s="43">
        <f>IF(ISBLANK(F93),"-",$D$101/$F$98*F93)</f>
        <v>33231572.948570598</v>
      </c>
      <c r="I93" s="520"/>
    </row>
    <row r="94" spans="1:12" ht="27" customHeight="1" x14ac:dyDescent="0.4">
      <c r="A94" s="28" t="s">
        <v>61</v>
      </c>
      <c r="B94" s="29">
        <v>1</v>
      </c>
      <c r="C94" s="118">
        <v>4</v>
      </c>
      <c r="D94" s="46"/>
      <c r="E94" s="47" t="str">
        <f>IF(ISBLANK(D94),"-",$D$101/$D$98*D94)</f>
        <v>-</v>
      </c>
      <c r="F94" s="119"/>
      <c r="G94" s="48" t="str">
        <f>IF(ISBLANK(F94),"-",$D$101/$F$98*F94)</f>
        <v>-</v>
      </c>
      <c r="I94" s="49"/>
      <c r="J94" s="1">
        <f>16/50*2/20</f>
        <v>3.2000000000000001E-2</v>
      </c>
    </row>
    <row r="95" spans="1:12" ht="27" customHeight="1" x14ac:dyDescent="0.4">
      <c r="A95" s="28" t="s">
        <v>62</v>
      </c>
      <c r="B95" s="29">
        <v>1</v>
      </c>
      <c r="C95" s="120" t="s">
        <v>63</v>
      </c>
      <c r="D95" s="121">
        <f>AVERAGE(D91:D94)</f>
        <v>29596324.666666668</v>
      </c>
      <c r="E95" s="52">
        <f>AVERAGE(E91:E94)</f>
        <v>33196607.39389227</v>
      </c>
      <c r="F95" s="122">
        <f>AVERAGE(F91:F94)</f>
        <v>34666984.666666664</v>
      </c>
      <c r="G95" s="123">
        <f>AVERAGE(G91:G94)</f>
        <v>33166573.120780069</v>
      </c>
    </row>
    <row r="96" spans="1:12" ht="26.25" customHeight="1" x14ac:dyDescent="0.4">
      <c r="A96" s="28" t="s">
        <v>64</v>
      </c>
      <c r="B96" s="14">
        <v>1</v>
      </c>
      <c r="C96" s="124" t="s">
        <v>105</v>
      </c>
      <c r="D96" s="125">
        <v>13.4</v>
      </c>
      <c r="E96" s="44"/>
      <c r="F96" s="56">
        <v>15.71</v>
      </c>
    </row>
    <row r="97" spans="1:10" ht="26.25" customHeight="1" x14ac:dyDescent="0.4">
      <c r="A97" s="28" t="s">
        <v>66</v>
      </c>
      <c r="B97" s="14">
        <v>1</v>
      </c>
      <c r="C97" s="126" t="s">
        <v>106</v>
      </c>
      <c r="D97" s="127">
        <f>D96*$B$87</f>
        <v>13.4</v>
      </c>
      <c r="E97" s="59"/>
      <c r="F97" s="58">
        <f>F96*$B$87</f>
        <v>15.71</v>
      </c>
    </row>
    <row r="98" spans="1:10" ht="19.5" customHeight="1" x14ac:dyDescent="0.3">
      <c r="A98" s="28" t="s">
        <v>68</v>
      </c>
      <c r="B98" s="128">
        <f>(B97/B96)*(B95/B94)*(B93/B92)*(B91/B90)*B89</f>
        <v>50</v>
      </c>
      <c r="C98" s="126" t="s">
        <v>107</v>
      </c>
      <c r="D98" s="129">
        <f>D97*$B$83/100</f>
        <v>13.373199999999999</v>
      </c>
      <c r="E98" s="62"/>
      <c r="F98" s="61">
        <f>F97*$B$83/100</f>
        <v>15.67858</v>
      </c>
    </row>
    <row r="99" spans="1:10" ht="19.5" customHeight="1" x14ac:dyDescent="0.3">
      <c r="A99" s="521" t="s">
        <v>70</v>
      </c>
      <c r="B99" s="535"/>
      <c r="C99" s="126" t="s">
        <v>108</v>
      </c>
      <c r="D99" s="130">
        <f>D98/$B$98</f>
        <v>0.26746399999999998</v>
      </c>
      <c r="E99" s="62"/>
      <c r="F99" s="65">
        <f>F98/$B$98</f>
        <v>0.31357160000000001</v>
      </c>
      <c r="G99" s="131"/>
      <c r="H99" s="54"/>
    </row>
    <row r="100" spans="1:10" ht="19.5" customHeight="1" x14ac:dyDescent="0.3">
      <c r="A100" s="523"/>
      <c r="B100" s="536"/>
      <c r="C100" s="126" t="s">
        <v>72</v>
      </c>
      <c r="D100" s="132">
        <f>$B$56/$B$116</f>
        <v>0.3</v>
      </c>
      <c r="F100" s="70"/>
      <c r="G100" s="133"/>
      <c r="H100" s="54"/>
    </row>
    <row r="101" spans="1:10" ht="18.75" x14ac:dyDescent="0.3">
      <c r="C101" s="126" t="s">
        <v>73</v>
      </c>
      <c r="D101" s="127">
        <f>D100*$B$98</f>
        <v>15</v>
      </c>
      <c r="F101" s="70"/>
      <c r="G101" s="131"/>
      <c r="H101" s="54"/>
    </row>
    <row r="102" spans="1:10" ht="19.5" customHeight="1" x14ac:dyDescent="0.3">
      <c r="C102" s="134" t="s">
        <v>74</v>
      </c>
      <c r="D102" s="135">
        <f>D101/B34</f>
        <v>15</v>
      </c>
      <c r="F102" s="74"/>
      <c r="G102" s="131"/>
      <c r="H102" s="54"/>
      <c r="J102" s="136"/>
    </row>
    <row r="103" spans="1:10" ht="18.75" x14ac:dyDescent="0.3">
      <c r="C103" s="137" t="s">
        <v>109</v>
      </c>
      <c r="D103" s="138">
        <f>AVERAGE(E91:E94,G91:G94)</f>
        <v>33181590.257336169</v>
      </c>
      <c r="F103" s="74"/>
      <c r="G103" s="139"/>
      <c r="H103" s="54"/>
      <c r="J103" s="140"/>
    </row>
    <row r="104" spans="1:10" ht="18.75" x14ac:dyDescent="0.3">
      <c r="C104" s="104" t="s">
        <v>76</v>
      </c>
      <c r="D104" s="141">
        <f>STDEV(E91:E94,G91:G94)/D103</f>
        <v>5.8312713196419794E-3</v>
      </c>
      <c r="F104" s="74"/>
      <c r="G104" s="131"/>
      <c r="H104" s="54"/>
      <c r="J104" s="140"/>
    </row>
    <row r="105" spans="1:10" ht="19.5" customHeight="1" x14ac:dyDescent="0.3">
      <c r="C105" s="106" t="s">
        <v>16</v>
      </c>
      <c r="D105" s="142">
        <f>COUNT(E91:E94,G91:G94)</f>
        <v>6</v>
      </c>
      <c r="F105" s="74"/>
      <c r="G105" s="131"/>
      <c r="H105" s="54"/>
      <c r="J105" s="140"/>
    </row>
    <row r="106" spans="1:10" ht="19.5" customHeight="1" x14ac:dyDescent="0.3">
      <c r="A106" s="78"/>
      <c r="B106" s="78"/>
      <c r="C106" s="78"/>
      <c r="D106" s="78"/>
      <c r="E106" s="78"/>
    </row>
    <row r="107" spans="1:10" ht="26.25" customHeight="1" x14ac:dyDescent="0.4">
      <c r="A107" s="26" t="s">
        <v>110</v>
      </c>
      <c r="B107" s="27">
        <v>1000</v>
      </c>
      <c r="C107" s="143" t="s">
        <v>111</v>
      </c>
      <c r="D107" s="144" t="s">
        <v>55</v>
      </c>
      <c r="E107" s="145" t="s">
        <v>112</v>
      </c>
      <c r="F107" s="146" t="s">
        <v>113</v>
      </c>
    </row>
    <row r="108" spans="1:10" ht="26.25" customHeight="1" x14ac:dyDescent="0.4">
      <c r="A108" s="28" t="s">
        <v>114</v>
      </c>
      <c r="B108" s="29">
        <v>1</v>
      </c>
      <c r="C108" s="147">
        <v>1</v>
      </c>
      <c r="D108" s="148">
        <v>27094138</v>
      </c>
      <c r="E108" s="179">
        <f t="shared" ref="E108:E113" si="1">IF(ISBLANK(D108),"-",D108/$D$103*$D$100*$B$116)</f>
        <v>244.96238236209652</v>
      </c>
      <c r="F108" s="149">
        <f t="shared" ref="F108:F113" si="2">IF(ISBLANK(D108), "-", E108/$B$56)</f>
        <v>0.81654127454032177</v>
      </c>
    </row>
    <row r="109" spans="1:10" ht="26.25" customHeight="1" x14ac:dyDescent="0.4">
      <c r="A109" s="28" t="s">
        <v>87</v>
      </c>
      <c r="B109" s="29">
        <v>1</v>
      </c>
      <c r="C109" s="147">
        <v>2</v>
      </c>
      <c r="D109" s="148">
        <v>32116530</v>
      </c>
      <c r="E109" s="180">
        <f t="shared" si="1"/>
        <v>290.37062194057415</v>
      </c>
      <c r="F109" s="150">
        <f t="shared" si="2"/>
        <v>0.96790207313524723</v>
      </c>
    </row>
    <row r="110" spans="1:10" ht="26.25" customHeight="1" x14ac:dyDescent="0.4">
      <c r="A110" s="28" t="s">
        <v>88</v>
      </c>
      <c r="B110" s="29">
        <v>1</v>
      </c>
      <c r="C110" s="147">
        <v>3</v>
      </c>
      <c r="D110" s="148">
        <v>28181505</v>
      </c>
      <c r="E110" s="180">
        <f t="shared" si="1"/>
        <v>254.79343920627167</v>
      </c>
      <c r="F110" s="150">
        <f t="shared" si="2"/>
        <v>0.84931146402090552</v>
      </c>
    </row>
    <row r="111" spans="1:10" ht="26.25" customHeight="1" x14ac:dyDescent="0.4">
      <c r="A111" s="28" t="s">
        <v>89</v>
      </c>
      <c r="B111" s="29">
        <v>1</v>
      </c>
      <c r="C111" s="147">
        <v>4</v>
      </c>
      <c r="D111" s="148">
        <v>32418624</v>
      </c>
      <c r="E111" s="180">
        <f t="shared" si="1"/>
        <v>293.10190152353391</v>
      </c>
      <c r="F111" s="150">
        <f t="shared" si="2"/>
        <v>0.97700633841177975</v>
      </c>
    </row>
    <row r="112" spans="1:10" ht="26.25" customHeight="1" x14ac:dyDescent="0.4">
      <c r="A112" s="28" t="s">
        <v>90</v>
      </c>
      <c r="B112" s="29">
        <v>1</v>
      </c>
      <c r="C112" s="147">
        <v>5</v>
      </c>
      <c r="D112" s="148">
        <v>32387291</v>
      </c>
      <c r="E112" s="180">
        <f t="shared" si="1"/>
        <v>292.81861492011626</v>
      </c>
      <c r="F112" s="150">
        <f t="shared" si="2"/>
        <v>0.9760620497337209</v>
      </c>
    </row>
    <row r="113" spans="1:10" ht="26.25" customHeight="1" x14ac:dyDescent="0.4">
      <c r="A113" s="28" t="s">
        <v>92</v>
      </c>
      <c r="B113" s="29">
        <v>1</v>
      </c>
      <c r="C113" s="151">
        <v>6</v>
      </c>
      <c r="D113" s="152">
        <v>32486547</v>
      </c>
      <c r="E113" s="181">
        <f t="shared" si="1"/>
        <v>293.71600409794252</v>
      </c>
      <c r="F113" s="153">
        <f t="shared" si="2"/>
        <v>0.97905334699314173</v>
      </c>
    </row>
    <row r="114" spans="1:10" ht="26.25" customHeight="1" x14ac:dyDescent="0.4">
      <c r="A114" s="28" t="s">
        <v>93</v>
      </c>
      <c r="B114" s="29">
        <v>1</v>
      </c>
      <c r="C114" s="147"/>
      <c r="D114" s="101"/>
      <c r="E114" s="3"/>
      <c r="F114" s="154"/>
    </row>
    <row r="115" spans="1:10" ht="26.25" customHeight="1" x14ac:dyDescent="0.4">
      <c r="A115" s="28" t="s">
        <v>94</v>
      </c>
      <c r="B115" s="29">
        <v>1</v>
      </c>
      <c r="C115" s="147"/>
      <c r="D115" s="155" t="s">
        <v>63</v>
      </c>
      <c r="E115" s="183">
        <f>AVERAGE(E108:E113)</f>
        <v>278.29382734175584</v>
      </c>
      <c r="F115" s="156">
        <f>AVERAGE(F108:F113)</f>
        <v>0.92764609113918617</v>
      </c>
    </row>
    <row r="116" spans="1:10" ht="27" customHeight="1" x14ac:dyDescent="0.4">
      <c r="A116" s="28" t="s">
        <v>95</v>
      </c>
      <c r="B116" s="60">
        <f>(B115/B114)*(B113/B112)*(B111/B110)*(B109/B108)*B107</f>
        <v>1000</v>
      </c>
      <c r="C116" s="157"/>
      <c r="D116" s="120" t="s">
        <v>76</v>
      </c>
      <c r="E116" s="158">
        <f>STDEV(E108:E113)/E115</f>
        <v>7.9981855755282077E-2</v>
      </c>
      <c r="F116" s="158">
        <f>STDEV(F108:F113)/F115</f>
        <v>7.9981855755282077E-2</v>
      </c>
      <c r="I116" s="3"/>
    </row>
    <row r="117" spans="1:10" ht="27" customHeight="1" x14ac:dyDescent="0.4">
      <c r="A117" s="521" t="s">
        <v>70</v>
      </c>
      <c r="B117" s="522"/>
      <c r="C117" s="159"/>
      <c r="D117" s="160" t="s">
        <v>16</v>
      </c>
      <c r="E117" s="161">
        <f>COUNT(E108:E113)</f>
        <v>6</v>
      </c>
      <c r="F117" s="161">
        <f>COUNT(F108:F113)</f>
        <v>6</v>
      </c>
      <c r="I117" s="3"/>
      <c r="J117" s="140"/>
    </row>
    <row r="118" spans="1:10" ht="19.5" customHeight="1" x14ac:dyDescent="0.3">
      <c r="A118" s="523"/>
      <c r="B118" s="524"/>
      <c r="C118" s="3"/>
      <c r="D118" s="3"/>
      <c r="E118" s="3"/>
      <c r="F118" s="101"/>
      <c r="G118" s="3"/>
      <c r="H118" s="3"/>
      <c r="I118" s="3"/>
    </row>
    <row r="119" spans="1:10" ht="18.75" x14ac:dyDescent="0.3">
      <c r="A119" s="170"/>
      <c r="B119" s="24"/>
      <c r="C119" s="3"/>
      <c r="D119" s="3"/>
      <c r="E119" s="3"/>
      <c r="F119" s="101"/>
      <c r="G119" s="3"/>
      <c r="H119" s="3"/>
      <c r="I119" s="3"/>
    </row>
    <row r="120" spans="1:10" ht="26.25" customHeight="1" x14ac:dyDescent="0.4">
      <c r="A120" s="12" t="s">
        <v>98</v>
      </c>
      <c r="B120" s="108" t="s">
        <v>115</v>
      </c>
      <c r="C120" s="533" t="str">
        <f>B20</f>
        <v>Tenofovir disoproxil fumarate</v>
      </c>
      <c r="D120" s="533"/>
      <c r="E120" s="109" t="s">
        <v>116</v>
      </c>
      <c r="F120" s="109"/>
      <c r="G120" s="110">
        <f>F115</f>
        <v>0.92764609113918617</v>
      </c>
      <c r="H120" s="3"/>
      <c r="I120" s="3"/>
    </row>
    <row r="121" spans="1:10" ht="19.5" customHeight="1" x14ac:dyDescent="0.3">
      <c r="A121" s="162"/>
      <c r="B121" s="162"/>
      <c r="C121" s="163"/>
      <c r="D121" s="163"/>
      <c r="E121" s="163"/>
      <c r="F121" s="163"/>
      <c r="G121" s="163"/>
      <c r="H121" s="163"/>
    </row>
    <row r="122" spans="1:10" ht="18.75" x14ac:dyDescent="0.3">
      <c r="B122" s="534" t="s">
        <v>18</v>
      </c>
      <c r="C122" s="534"/>
      <c r="E122" s="115" t="s">
        <v>19</v>
      </c>
      <c r="F122" s="164"/>
      <c r="G122" s="534" t="s">
        <v>20</v>
      </c>
      <c r="H122" s="534"/>
    </row>
    <row r="123" spans="1:10" ht="69.95" customHeight="1" x14ac:dyDescent="0.3">
      <c r="A123" s="165" t="s">
        <v>21</v>
      </c>
      <c r="B123" s="166"/>
      <c r="C123" s="166"/>
      <c r="E123" s="166"/>
      <c r="F123" s="3"/>
      <c r="G123" s="167"/>
      <c r="H123" s="167"/>
    </row>
    <row r="124" spans="1:10" ht="69.95" customHeight="1" x14ac:dyDescent="0.3">
      <c r="A124" s="165" t="s">
        <v>22</v>
      </c>
      <c r="B124" s="168"/>
      <c r="C124" s="168"/>
      <c r="E124" s="168"/>
      <c r="F124" s="3"/>
      <c r="G124" s="169"/>
      <c r="H124" s="169"/>
    </row>
    <row r="125" spans="1:10" ht="18.75" x14ac:dyDescent="0.3">
      <c r="A125" s="100"/>
      <c r="B125" s="100"/>
      <c r="C125" s="101"/>
      <c r="D125" s="101"/>
      <c r="E125" s="101"/>
      <c r="F125" s="105"/>
      <c r="G125" s="101"/>
      <c r="H125" s="101"/>
      <c r="I125" s="3"/>
    </row>
    <row r="126" spans="1:10" ht="18.75" x14ac:dyDescent="0.3">
      <c r="A126" s="100"/>
      <c r="B126" s="100"/>
      <c r="C126" s="101"/>
      <c r="D126" s="101"/>
      <c r="E126" s="101"/>
      <c r="F126" s="105"/>
      <c r="G126" s="101"/>
      <c r="H126" s="101"/>
      <c r="I126" s="3"/>
    </row>
    <row r="127" spans="1:10" ht="18.75" x14ac:dyDescent="0.3">
      <c r="A127" s="100"/>
      <c r="B127" s="100"/>
      <c r="C127" s="101"/>
      <c r="D127" s="101"/>
      <c r="E127" s="101"/>
      <c r="F127" s="105"/>
      <c r="G127" s="101"/>
      <c r="H127" s="101"/>
      <c r="I127" s="3"/>
    </row>
    <row r="128" spans="1:10" ht="18.75" x14ac:dyDescent="0.3">
      <c r="A128" s="100"/>
      <c r="B128" s="100"/>
      <c r="C128" s="101"/>
      <c r="D128" s="101"/>
      <c r="E128" s="101"/>
      <c r="F128" s="105"/>
      <c r="G128" s="101"/>
      <c r="H128" s="101"/>
      <c r="I128" s="3"/>
    </row>
    <row r="129" spans="1:9" ht="18.75" x14ac:dyDescent="0.3">
      <c r="A129" s="100"/>
      <c r="B129" s="100"/>
      <c r="C129" s="101"/>
      <c r="D129" s="101"/>
      <c r="E129" s="101"/>
      <c r="F129" s="105"/>
      <c r="G129" s="101"/>
      <c r="H129" s="101"/>
      <c r="I129" s="3"/>
    </row>
    <row r="130" spans="1:9" ht="18.75" x14ac:dyDescent="0.3">
      <c r="A130" s="100"/>
      <c r="B130" s="100"/>
      <c r="C130" s="101"/>
      <c r="D130" s="101"/>
      <c r="E130" s="101"/>
      <c r="F130" s="105"/>
      <c r="G130" s="101"/>
      <c r="H130" s="101"/>
      <c r="I130" s="3"/>
    </row>
    <row r="131" spans="1:9" ht="18.75" x14ac:dyDescent="0.3">
      <c r="A131" s="100"/>
      <c r="B131" s="100"/>
      <c r="C131" s="101"/>
      <c r="D131" s="101"/>
      <c r="E131" s="101"/>
      <c r="F131" s="105"/>
      <c r="G131" s="101"/>
      <c r="H131" s="101"/>
      <c r="I131" s="3"/>
    </row>
    <row r="132" spans="1:9" ht="18.75" x14ac:dyDescent="0.3">
      <c r="A132" s="100"/>
      <c r="B132" s="100"/>
      <c r="C132" s="101"/>
      <c r="D132" s="101"/>
      <c r="E132" s="101"/>
      <c r="F132" s="105"/>
      <c r="G132" s="101"/>
      <c r="H132" s="101"/>
      <c r="I132" s="3"/>
    </row>
    <row r="133" spans="1:9" ht="18.75" x14ac:dyDescent="0.3">
      <c r="A133" s="100"/>
      <c r="B133" s="100"/>
      <c r="C133" s="101"/>
      <c r="D133" s="101"/>
      <c r="E133" s="101"/>
      <c r="F133" s="105"/>
      <c r="G133" s="101"/>
      <c r="H133" s="101"/>
      <c r="I133" s="3"/>
    </row>
    <row r="250" spans="1:1" x14ac:dyDescent="0.25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7" zoomScale="55" zoomScaleNormal="40" zoomScalePageLayoutView="55" workbookViewId="0">
      <selection activeCell="F54" sqref="F54"/>
    </sheetView>
  </sheetViews>
  <sheetFormatPr defaultColWidth="9.140625" defaultRowHeight="13.5" x14ac:dyDescent="0.25"/>
  <cols>
    <col min="1" max="1" width="55.42578125" style="293" customWidth="1"/>
    <col min="2" max="2" width="33.7109375" style="293" customWidth="1"/>
    <col min="3" max="3" width="42.28515625" style="293" customWidth="1"/>
    <col min="4" max="4" width="30.5703125" style="293" customWidth="1"/>
    <col min="5" max="5" width="39.85546875" style="293" customWidth="1"/>
    <col min="6" max="6" width="30.7109375" style="293" customWidth="1"/>
    <col min="7" max="7" width="39.85546875" style="293" customWidth="1"/>
    <col min="8" max="8" width="30" style="293" customWidth="1"/>
    <col min="9" max="9" width="30.28515625" style="293" hidden="1" customWidth="1"/>
    <col min="10" max="10" width="30.42578125" style="293" customWidth="1"/>
    <col min="11" max="11" width="21.28515625" style="293" customWidth="1"/>
    <col min="12" max="12" width="9.140625" style="293"/>
  </cols>
  <sheetData>
    <row r="1" spans="1:9" ht="18.75" customHeight="1" x14ac:dyDescent="0.25">
      <c r="A1" s="531" t="s">
        <v>37</v>
      </c>
      <c r="B1" s="531"/>
      <c r="C1" s="531"/>
      <c r="D1" s="531"/>
      <c r="E1" s="531"/>
      <c r="F1" s="531"/>
      <c r="G1" s="531"/>
      <c r="H1" s="531"/>
      <c r="I1" s="531"/>
    </row>
    <row r="2" spans="1:9" ht="18.7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</row>
    <row r="3" spans="1:9" ht="18.7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</row>
    <row r="4" spans="1:9" ht="18.75" customHeight="1" x14ac:dyDescent="0.25">
      <c r="A4" s="531"/>
      <c r="B4" s="531"/>
      <c r="C4" s="531"/>
      <c r="D4" s="531"/>
      <c r="E4" s="531"/>
      <c r="F4" s="531"/>
      <c r="G4" s="531"/>
      <c r="H4" s="531"/>
      <c r="I4" s="531"/>
    </row>
    <row r="5" spans="1:9" ht="18.75" customHeight="1" x14ac:dyDescent="0.25">
      <c r="A5" s="531"/>
      <c r="B5" s="531"/>
      <c r="C5" s="531"/>
      <c r="D5" s="531"/>
      <c r="E5" s="531"/>
      <c r="F5" s="531"/>
      <c r="G5" s="531"/>
      <c r="H5" s="531"/>
      <c r="I5" s="531"/>
    </row>
    <row r="6" spans="1:9" ht="18.75" customHeight="1" x14ac:dyDescent="0.25">
      <c r="A6" s="531"/>
      <c r="B6" s="531"/>
      <c r="C6" s="531"/>
      <c r="D6" s="531"/>
      <c r="E6" s="531"/>
      <c r="F6" s="531"/>
      <c r="G6" s="531"/>
      <c r="H6" s="531"/>
      <c r="I6" s="531"/>
    </row>
    <row r="7" spans="1:9" ht="18.75" customHeight="1" x14ac:dyDescent="0.25">
      <c r="A7" s="531"/>
      <c r="B7" s="531"/>
      <c r="C7" s="531"/>
      <c r="D7" s="531"/>
      <c r="E7" s="531"/>
      <c r="F7" s="531"/>
      <c r="G7" s="531"/>
      <c r="H7" s="531"/>
      <c r="I7" s="531"/>
    </row>
    <row r="8" spans="1:9" x14ac:dyDescent="0.25">
      <c r="A8" s="532" t="s">
        <v>38</v>
      </c>
      <c r="B8" s="532"/>
      <c r="C8" s="532"/>
      <c r="D8" s="532"/>
      <c r="E8" s="532"/>
      <c r="F8" s="532"/>
      <c r="G8" s="532"/>
      <c r="H8" s="532"/>
      <c r="I8" s="532"/>
    </row>
    <row r="9" spans="1:9" x14ac:dyDescent="0.25">
      <c r="A9" s="532"/>
      <c r="B9" s="532"/>
      <c r="C9" s="532"/>
      <c r="D9" s="532"/>
      <c r="E9" s="532"/>
      <c r="F9" s="532"/>
      <c r="G9" s="532"/>
      <c r="H9" s="532"/>
      <c r="I9" s="532"/>
    </row>
    <row r="10" spans="1:9" x14ac:dyDescent="0.25">
      <c r="A10" s="532"/>
      <c r="B10" s="532"/>
      <c r="C10" s="532"/>
      <c r="D10" s="532"/>
      <c r="E10" s="532"/>
      <c r="F10" s="532"/>
      <c r="G10" s="532"/>
      <c r="H10" s="532"/>
      <c r="I10" s="532"/>
    </row>
    <row r="11" spans="1:9" x14ac:dyDescent="0.25">
      <c r="A11" s="532"/>
      <c r="B11" s="532"/>
      <c r="C11" s="532"/>
      <c r="D11" s="532"/>
      <c r="E11" s="532"/>
      <c r="F11" s="532"/>
      <c r="G11" s="532"/>
      <c r="H11" s="532"/>
      <c r="I11" s="532"/>
    </row>
    <row r="12" spans="1:9" x14ac:dyDescent="0.25">
      <c r="A12" s="532"/>
      <c r="B12" s="532"/>
      <c r="C12" s="532"/>
      <c r="D12" s="532"/>
      <c r="E12" s="532"/>
      <c r="F12" s="532"/>
      <c r="G12" s="532"/>
      <c r="H12" s="532"/>
      <c r="I12" s="532"/>
    </row>
    <row r="13" spans="1:9" x14ac:dyDescent="0.25">
      <c r="A13" s="532"/>
      <c r="B13" s="532"/>
      <c r="C13" s="532"/>
      <c r="D13" s="532"/>
      <c r="E13" s="532"/>
      <c r="F13" s="532"/>
      <c r="G13" s="532"/>
      <c r="H13" s="532"/>
      <c r="I13" s="532"/>
    </row>
    <row r="14" spans="1:9" x14ac:dyDescent="0.25">
      <c r="A14" s="532"/>
      <c r="B14" s="532"/>
      <c r="C14" s="532"/>
      <c r="D14" s="532"/>
      <c r="E14" s="532"/>
      <c r="F14" s="532"/>
      <c r="G14" s="532"/>
      <c r="H14" s="532"/>
      <c r="I14" s="532"/>
    </row>
    <row r="15" spans="1:9" ht="19.5" customHeight="1" thickBot="1" x14ac:dyDescent="0.35">
      <c r="A15" s="275"/>
    </row>
    <row r="16" spans="1:9" ht="19.5" customHeight="1" thickBot="1" x14ac:dyDescent="0.35">
      <c r="A16" s="502" t="s">
        <v>23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39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185" t="s">
        <v>25</v>
      </c>
      <c r="B18" s="506" t="s">
        <v>118</v>
      </c>
      <c r="C18" s="506"/>
      <c r="D18" s="329"/>
      <c r="E18" s="186"/>
      <c r="F18" s="342"/>
      <c r="G18" s="342"/>
      <c r="H18" s="342"/>
    </row>
    <row r="19" spans="1:14" ht="26.25" customHeight="1" x14ac:dyDescent="0.4">
      <c r="A19" s="185" t="s">
        <v>26</v>
      </c>
      <c r="B19" s="350" t="s">
        <v>131</v>
      </c>
      <c r="C19" s="342">
        <v>29</v>
      </c>
      <c r="D19" s="342"/>
      <c r="E19" s="342"/>
      <c r="F19" s="342"/>
      <c r="G19" s="342"/>
      <c r="H19" s="342"/>
    </row>
    <row r="20" spans="1:14" ht="26.25" customHeight="1" x14ac:dyDescent="0.4">
      <c r="A20" s="185" t="s">
        <v>27</v>
      </c>
      <c r="B20" s="507" t="s">
        <v>121</v>
      </c>
      <c r="C20" s="507"/>
      <c r="D20" s="342"/>
      <c r="E20" s="342"/>
      <c r="F20" s="342"/>
      <c r="G20" s="342"/>
      <c r="H20" s="342"/>
    </row>
    <row r="21" spans="1:14" ht="26.25" customHeight="1" x14ac:dyDescent="0.4">
      <c r="A21" s="185" t="s">
        <v>28</v>
      </c>
      <c r="B21" s="508" t="s">
        <v>132</v>
      </c>
      <c r="C21" s="507"/>
      <c r="D21" s="507"/>
      <c r="E21" s="507"/>
      <c r="F21" s="507"/>
      <c r="G21" s="507"/>
      <c r="H21" s="507"/>
      <c r="I21" s="187"/>
    </row>
    <row r="22" spans="1:14" ht="26.25" customHeight="1" x14ac:dyDescent="0.4">
      <c r="A22" s="185" t="s">
        <v>29</v>
      </c>
      <c r="B22" s="188" t="s">
        <v>8</v>
      </c>
      <c r="C22" s="342"/>
      <c r="D22" s="342"/>
      <c r="E22" s="342"/>
      <c r="F22" s="342"/>
      <c r="G22" s="342"/>
      <c r="H22" s="342"/>
    </row>
    <row r="23" spans="1:14" ht="26.25" customHeight="1" x14ac:dyDescent="0.4">
      <c r="A23" s="185" t="s">
        <v>30</v>
      </c>
      <c r="B23" s="188"/>
      <c r="C23" s="342"/>
      <c r="D23" s="342"/>
      <c r="E23" s="342"/>
      <c r="F23" s="342"/>
      <c r="G23" s="342"/>
      <c r="H23" s="342"/>
    </row>
    <row r="24" spans="1:14" ht="18.75" x14ac:dyDescent="0.3">
      <c r="A24" s="185"/>
      <c r="B24" s="189"/>
    </row>
    <row r="25" spans="1:14" ht="18.75" x14ac:dyDescent="0.3">
      <c r="A25" s="190" t="s">
        <v>1</v>
      </c>
      <c r="B25" s="189"/>
    </row>
    <row r="26" spans="1:14" ht="26.25" customHeight="1" x14ac:dyDescent="0.4">
      <c r="A26" s="324" t="s">
        <v>4</v>
      </c>
      <c r="B26" s="501" t="s">
        <v>121</v>
      </c>
      <c r="C26" s="501"/>
    </row>
    <row r="27" spans="1:14" ht="26.25" customHeight="1" x14ac:dyDescent="0.4">
      <c r="A27" s="282" t="s">
        <v>40</v>
      </c>
      <c r="B27" s="509" t="s">
        <v>122</v>
      </c>
      <c r="C27" s="509"/>
    </row>
    <row r="28" spans="1:14" ht="27" customHeight="1" thickBot="1" x14ac:dyDescent="0.45">
      <c r="A28" s="282" t="s">
        <v>5</v>
      </c>
      <c r="B28" s="277">
        <v>99.9</v>
      </c>
    </row>
    <row r="29" spans="1:14" s="2" customFormat="1" ht="27" customHeight="1" thickBot="1" x14ac:dyDescent="0.45">
      <c r="A29" s="282" t="s">
        <v>41</v>
      </c>
      <c r="B29" s="191">
        <v>0</v>
      </c>
      <c r="C29" s="510" t="s">
        <v>42</v>
      </c>
      <c r="D29" s="511"/>
      <c r="E29" s="511"/>
      <c r="F29" s="511"/>
      <c r="G29" s="512"/>
      <c r="I29" s="192"/>
      <c r="J29" s="192"/>
      <c r="K29" s="192"/>
      <c r="L29" s="192"/>
    </row>
    <row r="30" spans="1:14" s="2" customFormat="1" ht="19.5" customHeight="1" thickBot="1" x14ac:dyDescent="0.35">
      <c r="A30" s="282" t="s">
        <v>43</v>
      </c>
      <c r="B30" s="347">
        <f>B28-B29</f>
        <v>99.9</v>
      </c>
      <c r="C30" s="193"/>
      <c r="D30" s="193"/>
      <c r="E30" s="193"/>
      <c r="F30" s="193"/>
      <c r="G30" s="194"/>
      <c r="I30" s="192"/>
      <c r="J30" s="192"/>
      <c r="K30" s="192"/>
      <c r="L30" s="192"/>
    </row>
    <row r="31" spans="1:14" s="2" customFormat="1" ht="27" customHeight="1" thickBot="1" x14ac:dyDescent="0.45">
      <c r="A31" s="282" t="s">
        <v>44</v>
      </c>
      <c r="B31" s="195">
        <v>1</v>
      </c>
      <c r="C31" s="513" t="s">
        <v>45</v>
      </c>
      <c r="D31" s="514"/>
      <c r="E31" s="514"/>
      <c r="F31" s="514"/>
      <c r="G31" s="514"/>
      <c r="H31" s="515"/>
      <c r="I31" s="192"/>
      <c r="J31" s="192"/>
      <c r="K31" s="192"/>
      <c r="L31" s="192"/>
    </row>
    <row r="32" spans="1:14" s="2" customFormat="1" ht="27" customHeight="1" thickBot="1" x14ac:dyDescent="0.45">
      <c r="A32" s="282" t="s">
        <v>46</v>
      </c>
      <c r="B32" s="195">
        <v>1</v>
      </c>
      <c r="C32" s="513" t="s">
        <v>47</v>
      </c>
      <c r="D32" s="514"/>
      <c r="E32" s="514"/>
      <c r="F32" s="514"/>
      <c r="G32" s="514"/>
      <c r="H32" s="515"/>
      <c r="I32" s="192"/>
      <c r="J32" s="192"/>
      <c r="K32" s="192"/>
      <c r="L32" s="196"/>
      <c r="M32" s="196"/>
      <c r="N32" s="197"/>
    </row>
    <row r="33" spans="1:14" s="2" customFormat="1" ht="17.25" customHeight="1" x14ac:dyDescent="0.3">
      <c r="A33" s="282"/>
      <c r="B33" s="198"/>
      <c r="C33" s="199"/>
      <c r="D33" s="199"/>
      <c r="E33" s="199"/>
      <c r="F33" s="199"/>
      <c r="G33" s="199"/>
      <c r="H33" s="199"/>
      <c r="I33" s="192"/>
      <c r="J33" s="192"/>
      <c r="K33" s="192"/>
      <c r="L33" s="196"/>
      <c r="M33" s="196"/>
      <c r="N33" s="197"/>
    </row>
    <row r="34" spans="1:14" s="2" customFormat="1" ht="18.75" x14ac:dyDescent="0.3">
      <c r="A34" s="282" t="s">
        <v>48</v>
      </c>
      <c r="B34" s="200">
        <f>B31/B32</f>
        <v>1</v>
      </c>
      <c r="C34" s="275" t="s">
        <v>49</v>
      </c>
      <c r="D34" s="275"/>
      <c r="E34" s="275"/>
      <c r="F34" s="275"/>
      <c r="G34" s="275"/>
      <c r="I34" s="192"/>
      <c r="J34" s="192"/>
      <c r="K34" s="192"/>
      <c r="L34" s="196"/>
      <c r="M34" s="196"/>
      <c r="N34" s="197"/>
    </row>
    <row r="35" spans="1:14" s="2" customFormat="1" ht="19.5" customHeight="1" thickBot="1" x14ac:dyDescent="0.35">
      <c r="A35" s="282"/>
      <c r="B35" s="347"/>
      <c r="G35" s="275"/>
      <c r="I35" s="192"/>
      <c r="J35" s="192"/>
      <c r="K35" s="192"/>
      <c r="L35" s="196"/>
      <c r="M35" s="196"/>
      <c r="N35" s="197"/>
    </row>
    <row r="36" spans="1:14" s="2" customFormat="1" ht="27" customHeight="1" thickBot="1" x14ac:dyDescent="0.45">
      <c r="A36" s="201" t="s">
        <v>50</v>
      </c>
      <c r="B36" s="343">
        <v>50</v>
      </c>
      <c r="C36" s="275"/>
      <c r="D36" s="516" t="s">
        <v>51</v>
      </c>
      <c r="E36" s="517"/>
      <c r="F36" s="516" t="s">
        <v>52</v>
      </c>
      <c r="G36" s="518"/>
      <c r="J36" s="192"/>
      <c r="K36" s="192"/>
      <c r="L36" s="196"/>
      <c r="M36" s="196"/>
      <c r="N36" s="197"/>
    </row>
    <row r="37" spans="1:14" s="2" customFormat="1" ht="27" customHeight="1" thickBot="1" x14ac:dyDescent="0.45">
      <c r="A37" s="203" t="s">
        <v>53</v>
      </c>
      <c r="B37" s="344">
        <v>10</v>
      </c>
      <c r="C37" s="205" t="s">
        <v>54</v>
      </c>
      <c r="D37" s="206" t="s">
        <v>55</v>
      </c>
      <c r="E37" s="207" t="s">
        <v>56</v>
      </c>
      <c r="F37" s="206" t="s">
        <v>55</v>
      </c>
      <c r="G37" s="208" t="s">
        <v>56</v>
      </c>
      <c r="I37" s="209" t="s">
        <v>57</v>
      </c>
      <c r="J37" s="192"/>
      <c r="K37" s="192"/>
      <c r="L37" s="196"/>
      <c r="M37" s="196"/>
      <c r="N37" s="197"/>
    </row>
    <row r="38" spans="1:14" s="2" customFormat="1" ht="26.25" customHeight="1" x14ac:dyDescent="0.4">
      <c r="A38" s="203" t="s">
        <v>58</v>
      </c>
      <c r="B38" s="344">
        <v>25</v>
      </c>
      <c r="C38" s="210">
        <v>1</v>
      </c>
      <c r="D38" s="211">
        <v>50001939</v>
      </c>
      <c r="E38" s="212">
        <f>IF(ISBLANK(D38),"-",$D$48/$D$45*D38)</f>
        <v>50625749.485156089</v>
      </c>
      <c r="F38" s="211">
        <v>51861631</v>
      </c>
      <c r="G38" s="213">
        <f>IF(ISBLANK(F38),"-",$D$48/$F$45*F38)</f>
        <v>51603921.018433943</v>
      </c>
      <c r="I38" s="214"/>
      <c r="J38" s="192"/>
      <c r="K38" s="192"/>
      <c r="L38" s="196"/>
      <c r="M38" s="196"/>
      <c r="N38" s="197"/>
    </row>
    <row r="39" spans="1:14" s="2" customFormat="1" ht="26.25" customHeight="1" x14ac:dyDescent="0.4">
      <c r="A39" s="203" t="s">
        <v>59</v>
      </c>
      <c r="B39" s="204">
        <v>1</v>
      </c>
      <c r="C39" s="232">
        <v>2</v>
      </c>
      <c r="D39" s="215">
        <v>50204414</v>
      </c>
      <c r="E39" s="216">
        <f>IF(ISBLANK(D39),"-",$D$48/$D$45*D39)</f>
        <v>50830750.507756576</v>
      </c>
      <c r="F39" s="215">
        <v>51742080</v>
      </c>
      <c r="G39" s="217">
        <f>IF(ISBLANK(F39),"-",$D$48/$F$45*F39)</f>
        <v>51484964.089337848</v>
      </c>
      <c r="I39" s="520">
        <f>ABS((F43/D43*D42)-F42)/D42</f>
        <v>1.468143940989775E-2</v>
      </c>
      <c r="J39" s="192"/>
      <c r="K39" s="192"/>
      <c r="L39" s="196"/>
      <c r="M39" s="196"/>
      <c r="N39" s="197"/>
    </row>
    <row r="40" spans="1:14" ht="26.25" customHeight="1" x14ac:dyDescent="0.4">
      <c r="A40" s="203" t="s">
        <v>60</v>
      </c>
      <c r="B40" s="204">
        <v>1</v>
      </c>
      <c r="C40" s="232">
        <v>3</v>
      </c>
      <c r="D40" s="215">
        <v>50123653</v>
      </c>
      <c r="E40" s="216">
        <f>IF(ISBLANK(D40),"-",$D$48/$D$45*D40)</f>
        <v>50748981.955657609</v>
      </c>
      <c r="F40" s="215">
        <v>51568946</v>
      </c>
      <c r="G40" s="217">
        <f>IF(ISBLANK(F40),"-",$D$48/$F$45*F40)</f>
        <v>51312690.424022436</v>
      </c>
      <c r="I40" s="520"/>
      <c r="L40" s="196"/>
      <c r="M40" s="196"/>
      <c r="N40" s="275"/>
    </row>
    <row r="41" spans="1:14" ht="27" customHeight="1" thickBot="1" x14ac:dyDescent="0.45">
      <c r="A41" s="203" t="s">
        <v>61</v>
      </c>
      <c r="B41" s="204">
        <v>1</v>
      </c>
      <c r="C41" s="218">
        <v>4</v>
      </c>
      <c r="D41" s="219"/>
      <c r="E41" s="220" t="str">
        <f>IF(ISBLANK(D41),"-",$D$48/$D$45*D41)</f>
        <v>-</v>
      </c>
      <c r="F41" s="219"/>
      <c r="G41" s="221" t="str">
        <f>IF(ISBLANK(F41),"-",$D$48/$F$45*F41)</f>
        <v>-</v>
      </c>
      <c r="I41" s="222"/>
      <c r="L41" s="196"/>
      <c r="M41" s="196"/>
      <c r="N41" s="275"/>
    </row>
    <row r="42" spans="1:14" ht="27" customHeight="1" thickBot="1" x14ac:dyDescent="0.45">
      <c r="A42" s="203" t="s">
        <v>62</v>
      </c>
      <c r="B42" s="204">
        <v>1</v>
      </c>
      <c r="C42" s="223" t="s">
        <v>63</v>
      </c>
      <c r="D42" s="224">
        <f>AVERAGE(D38:D41)</f>
        <v>50110002</v>
      </c>
      <c r="E42" s="225">
        <f>AVERAGE(E38:E41)</f>
        <v>50735160.64952343</v>
      </c>
      <c r="F42" s="224">
        <f>AVERAGE(F38:F41)</f>
        <v>51724219</v>
      </c>
      <c r="G42" s="226">
        <f>AVERAGE(G38:G41)</f>
        <v>51467191.843931407</v>
      </c>
      <c r="H42" s="227"/>
    </row>
    <row r="43" spans="1:14" ht="26.25" customHeight="1" x14ac:dyDescent="0.4">
      <c r="A43" s="203" t="s">
        <v>64</v>
      </c>
      <c r="B43" s="204">
        <v>1</v>
      </c>
      <c r="C43" s="228" t="s">
        <v>65</v>
      </c>
      <c r="D43" s="229">
        <v>14.83</v>
      </c>
      <c r="E43" s="275"/>
      <c r="F43" s="229">
        <v>15.09</v>
      </c>
      <c r="H43" s="227"/>
    </row>
    <row r="44" spans="1:14" ht="26.25" customHeight="1" x14ac:dyDescent="0.4">
      <c r="A44" s="203" t="s">
        <v>66</v>
      </c>
      <c r="B44" s="204">
        <v>1</v>
      </c>
      <c r="C44" s="230" t="s">
        <v>67</v>
      </c>
      <c r="D44" s="231">
        <f>D43*$B$34</f>
        <v>14.83</v>
      </c>
      <c r="E44" s="290"/>
      <c r="F44" s="231">
        <f>F43*$B$34</f>
        <v>15.09</v>
      </c>
      <c r="H44" s="227"/>
    </row>
    <row r="45" spans="1:14" ht="19.5" customHeight="1" thickBot="1" x14ac:dyDescent="0.35">
      <c r="A45" s="203" t="s">
        <v>68</v>
      </c>
      <c r="B45" s="232">
        <f>(B44/B43)*(B42/B41)*(B40/B39)*(B38/B37)*B36</f>
        <v>125</v>
      </c>
      <c r="C45" s="230" t="s">
        <v>69</v>
      </c>
      <c r="D45" s="233">
        <f>D44*$B$30/100</f>
        <v>14.81517</v>
      </c>
      <c r="E45" s="272"/>
      <c r="F45" s="233">
        <f>F44*$B$30/100</f>
        <v>15.074909999999999</v>
      </c>
      <c r="H45" s="227"/>
    </row>
    <row r="46" spans="1:14" ht="19.5" customHeight="1" thickBot="1" x14ac:dyDescent="0.35">
      <c r="A46" s="521" t="s">
        <v>70</v>
      </c>
      <c r="B46" s="522"/>
      <c r="C46" s="230" t="s">
        <v>71</v>
      </c>
      <c r="D46" s="234">
        <f>D45/$B$45</f>
        <v>0.11852136000000001</v>
      </c>
      <c r="E46" s="235"/>
      <c r="F46" s="236">
        <f>F45/$B$45</f>
        <v>0.12059927999999999</v>
      </c>
      <c r="H46" s="227"/>
    </row>
    <row r="47" spans="1:14" ht="27" customHeight="1" thickBot="1" x14ac:dyDescent="0.45">
      <c r="A47" s="523"/>
      <c r="B47" s="524"/>
      <c r="C47" s="237" t="s">
        <v>72</v>
      </c>
      <c r="D47" s="238">
        <v>0.12</v>
      </c>
      <c r="E47" s="239"/>
      <c r="F47" s="235"/>
      <c r="H47" s="227"/>
    </row>
    <row r="48" spans="1:14" ht="18.75" x14ac:dyDescent="0.3">
      <c r="C48" s="240" t="s">
        <v>73</v>
      </c>
      <c r="D48" s="233">
        <f>D47*$B$45</f>
        <v>15</v>
      </c>
      <c r="F48" s="241"/>
      <c r="H48" s="227"/>
    </row>
    <row r="49" spans="1:12" ht="19.5" customHeight="1" thickBot="1" x14ac:dyDescent="0.35">
      <c r="C49" s="242" t="s">
        <v>74</v>
      </c>
      <c r="D49" s="243">
        <f>D48/B34</f>
        <v>15</v>
      </c>
      <c r="F49" s="241"/>
      <c r="H49" s="227"/>
    </row>
    <row r="50" spans="1:12" ht="18.75" x14ac:dyDescent="0.3">
      <c r="C50" s="201" t="s">
        <v>75</v>
      </c>
      <c r="D50" s="244">
        <f>AVERAGE(E38:E41,G38:G41)</f>
        <v>51101176.246727429</v>
      </c>
      <c r="F50" s="245"/>
      <c r="H50" s="227"/>
    </row>
    <row r="51" spans="1:12" ht="18.75" x14ac:dyDescent="0.3">
      <c r="C51" s="203" t="s">
        <v>76</v>
      </c>
      <c r="D51" s="246">
        <f>STDEV(E38:E41,G38:G41)/D50</f>
        <v>8.1534282238926552E-3</v>
      </c>
      <c r="F51" s="245"/>
      <c r="H51" s="227"/>
    </row>
    <row r="52" spans="1:12" ht="19.5" customHeight="1" thickBot="1" x14ac:dyDescent="0.35">
      <c r="C52" s="247" t="s">
        <v>16</v>
      </c>
      <c r="D52" s="248">
        <f>COUNT(E38:E41,G38:G41)</f>
        <v>6</v>
      </c>
      <c r="F52" s="245"/>
    </row>
    <row r="54" spans="1:12" ht="18.75" x14ac:dyDescent="0.3">
      <c r="A54" s="249" t="s">
        <v>1</v>
      </c>
      <c r="B54" s="250" t="s">
        <v>77</v>
      </c>
    </row>
    <row r="55" spans="1:12" ht="18.75" x14ac:dyDescent="0.3">
      <c r="A55" s="275" t="s">
        <v>78</v>
      </c>
      <c r="B55" s="251" t="str">
        <f>B21</f>
        <v>Each tablet contains Tenofovir disoproxil fumarate 300mg, lamivudine USP 300MG</v>
      </c>
    </row>
    <row r="56" spans="1:12" ht="26.25" customHeight="1" x14ac:dyDescent="0.4">
      <c r="A56" s="251" t="s">
        <v>79</v>
      </c>
      <c r="B56" s="252">
        <v>300</v>
      </c>
      <c r="C56" s="275" t="str">
        <f>B20</f>
        <v>Lamivudine</v>
      </c>
      <c r="H56" s="290"/>
    </row>
    <row r="57" spans="1:12" ht="18.75" x14ac:dyDescent="0.3">
      <c r="A57" s="251" t="s">
        <v>80</v>
      </c>
      <c r="B57" s="330">
        <f>'Uniformity  '!C46</f>
        <v>872.16550000000007</v>
      </c>
      <c r="H57" s="290"/>
    </row>
    <row r="58" spans="1:12" ht="19.5" customHeight="1" thickBot="1" x14ac:dyDescent="0.35">
      <c r="H58" s="290"/>
    </row>
    <row r="59" spans="1:12" s="2" customFormat="1" ht="27" customHeight="1" thickBot="1" x14ac:dyDescent="0.45">
      <c r="A59" s="201" t="s">
        <v>81</v>
      </c>
      <c r="B59" s="343">
        <v>200</v>
      </c>
      <c r="C59" s="275"/>
      <c r="D59" s="253" t="s">
        <v>82</v>
      </c>
      <c r="E59" s="254" t="s">
        <v>54</v>
      </c>
      <c r="F59" s="254" t="s">
        <v>55</v>
      </c>
      <c r="G59" s="254" t="s">
        <v>83</v>
      </c>
      <c r="H59" s="205" t="s">
        <v>84</v>
      </c>
      <c r="L59" s="192"/>
    </row>
    <row r="60" spans="1:12" s="2" customFormat="1" ht="26.25" customHeight="1" x14ac:dyDescent="0.4">
      <c r="A60" s="203" t="s">
        <v>85</v>
      </c>
      <c r="B60" s="344">
        <v>2</v>
      </c>
      <c r="C60" s="525" t="s">
        <v>86</v>
      </c>
      <c r="D60" s="528">
        <v>873.3</v>
      </c>
      <c r="E60" s="255">
        <v>1</v>
      </c>
      <c r="F60" s="256">
        <v>48016015</v>
      </c>
      <c r="G60" s="331">
        <f>IF(ISBLANK(F60),"-",(F60/$D$50*$D$47*$B$68)*($B$57/$D$60))</f>
        <v>281.52172496947003</v>
      </c>
      <c r="H60" s="257">
        <f t="shared" ref="H60:H71" si="0">IF(ISBLANK(F60),"-",G60/$B$56)</f>
        <v>0.93840574989823344</v>
      </c>
      <c r="L60" s="192"/>
    </row>
    <row r="61" spans="1:12" s="2" customFormat="1" ht="26.25" customHeight="1" x14ac:dyDescent="0.4">
      <c r="A61" s="203" t="s">
        <v>87</v>
      </c>
      <c r="B61" s="344">
        <v>25</v>
      </c>
      <c r="C61" s="526"/>
      <c r="D61" s="529"/>
      <c r="E61" s="258">
        <v>2</v>
      </c>
      <c r="F61" s="215">
        <v>47213365</v>
      </c>
      <c r="G61" s="332">
        <f>IF(ISBLANK(F61),"-",(F61/$D$50*$D$47*$B$68)*($B$57/$D$60))</f>
        <v>276.81572401235718</v>
      </c>
      <c r="H61" s="259">
        <f t="shared" si="0"/>
        <v>0.92271908004119063</v>
      </c>
      <c r="L61" s="192"/>
    </row>
    <row r="62" spans="1:12" s="2" customFormat="1" ht="26.25" customHeight="1" x14ac:dyDescent="0.4">
      <c r="A62" s="203" t="s">
        <v>88</v>
      </c>
      <c r="B62" s="204">
        <v>1</v>
      </c>
      <c r="C62" s="526"/>
      <c r="D62" s="529"/>
      <c r="E62" s="258">
        <v>3</v>
      </c>
      <c r="F62" s="260">
        <v>46927993</v>
      </c>
      <c r="G62" s="332">
        <f>IF(ISBLANK(F62),"-",(F62/$D$50*$D$47*$B$68)*($B$57/$D$60))</f>
        <v>275.14256521944225</v>
      </c>
      <c r="H62" s="259">
        <f t="shared" si="0"/>
        <v>0.91714188406480746</v>
      </c>
      <c r="L62" s="192"/>
    </row>
    <row r="63" spans="1:12" ht="27" customHeight="1" thickBot="1" x14ac:dyDescent="0.45">
      <c r="A63" s="203" t="s">
        <v>89</v>
      </c>
      <c r="B63" s="204">
        <v>1</v>
      </c>
      <c r="C63" s="527"/>
      <c r="D63" s="530"/>
      <c r="E63" s="261">
        <v>4</v>
      </c>
      <c r="F63" s="262"/>
      <c r="G63" s="332" t="str">
        <f>IF(ISBLANK(F63),"-",(F63/$D$50*$D$47*$B$68)*($B$57/$D$60))</f>
        <v>-</v>
      </c>
      <c r="H63" s="259" t="str">
        <f t="shared" si="0"/>
        <v>-</v>
      </c>
    </row>
    <row r="64" spans="1:12" ht="26.25" customHeight="1" x14ac:dyDescent="0.4">
      <c r="A64" s="203" t="s">
        <v>90</v>
      </c>
      <c r="B64" s="204">
        <v>1</v>
      </c>
      <c r="C64" s="525" t="s">
        <v>91</v>
      </c>
      <c r="D64" s="528">
        <v>877.47</v>
      </c>
      <c r="E64" s="255">
        <v>1</v>
      </c>
      <c r="F64" s="256">
        <v>49248827</v>
      </c>
      <c r="G64" s="333">
        <f>IF(ISBLANK(F64),"-",(F64/$D$50*$D$47*$B$68)*($B$57/$D$64))</f>
        <v>287.37757458512567</v>
      </c>
      <c r="H64" s="263">
        <f t="shared" si="0"/>
        <v>0.95792524861708561</v>
      </c>
    </row>
    <row r="65" spans="1:8" ht="26.25" customHeight="1" x14ac:dyDescent="0.4">
      <c r="A65" s="203" t="s">
        <v>92</v>
      </c>
      <c r="B65" s="204">
        <v>1</v>
      </c>
      <c r="C65" s="526"/>
      <c r="D65" s="529"/>
      <c r="E65" s="258">
        <v>2</v>
      </c>
      <c r="F65" s="215">
        <v>48400619</v>
      </c>
      <c r="G65" s="334">
        <f>IF(ISBLANK(F65),"-",(F65/$D$50*$D$47*$B$68)*($B$57/$D$64))</f>
        <v>282.42809715323267</v>
      </c>
      <c r="H65" s="264">
        <f t="shared" si="0"/>
        <v>0.94142699051077561</v>
      </c>
    </row>
    <row r="66" spans="1:8" ht="26.25" customHeight="1" x14ac:dyDescent="0.4">
      <c r="A66" s="203" t="s">
        <v>93</v>
      </c>
      <c r="B66" s="204">
        <v>1</v>
      </c>
      <c r="C66" s="526"/>
      <c r="D66" s="529"/>
      <c r="E66" s="258">
        <v>3</v>
      </c>
      <c r="F66" s="215">
        <v>48173782</v>
      </c>
      <c r="G66" s="334">
        <f>IF(ISBLANK(F66),"-",(F66/$D$50*$D$47*$B$68)*($B$57/$D$64))</f>
        <v>281.1044541173049</v>
      </c>
      <c r="H66" s="264">
        <f t="shared" si="0"/>
        <v>0.93701484705768301</v>
      </c>
    </row>
    <row r="67" spans="1:8" ht="27" customHeight="1" thickBot="1" x14ac:dyDescent="0.45">
      <c r="A67" s="203" t="s">
        <v>94</v>
      </c>
      <c r="B67" s="204">
        <v>1</v>
      </c>
      <c r="C67" s="527"/>
      <c r="D67" s="530"/>
      <c r="E67" s="261">
        <v>4</v>
      </c>
      <c r="F67" s="262"/>
      <c r="G67" s="335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4">
      <c r="A68" s="203" t="s">
        <v>95</v>
      </c>
      <c r="B68" s="266">
        <f>(B67/B66)*(B65/B64)*(B63/B62)*(B61/B60)*B59</f>
        <v>2500</v>
      </c>
      <c r="C68" s="525" t="s">
        <v>96</v>
      </c>
      <c r="D68" s="528">
        <v>877.74</v>
      </c>
      <c r="E68" s="255">
        <v>1</v>
      </c>
      <c r="F68" s="256">
        <v>49041402</v>
      </c>
      <c r="G68" s="333">
        <f>IF(ISBLANK(F68),"-",(F68/$D$50*$D$47*$B$68)*($B$57/$D$68))</f>
        <v>286.07917740276389</v>
      </c>
      <c r="H68" s="259">
        <f t="shared" si="0"/>
        <v>0.95359725800921291</v>
      </c>
    </row>
    <row r="69" spans="1:8" ht="27" customHeight="1" thickBot="1" x14ac:dyDescent="0.45">
      <c r="A69" s="247" t="s">
        <v>97</v>
      </c>
      <c r="B69" s="267">
        <f>(D47*B68)/B56*B57</f>
        <v>872.16550000000007</v>
      </c>
      <c r="C69" s="526"/>
      <c r="D69" s="529"/>
      <c r="E69" s="258">
        <v>2</v>
      </c>
      <c r="F69" s="215">
        <v>48168700</v>
      </c>
      <c r="G69" s="334">
        <f>IF(ISBLANK(F69),"-",(F69/$D$50*$D$47*$B$68)*($B$57/$D$68))</f>
        <v>280.98833864008446</v>
      </c>
      <c r="H69" s="259">
        <f t="shared" si="0"/>
        <v>0.93662779546694819</v>
      </c>
    </row>
    <row r="70" spans="1:8" ht="26.25" customHeight="1" x14ac:dyDescent="0.4">
      <c r="A70" s="538" t="s">
        <v>70</v>
      </c>
      <c r="B70" s="539"/>
      <c r="C70" s="526"/>
      <c r="D70" s="529"/>
      <c r="E70" s="258">
        <v>3</v>
      </c>
      <c r="F70" s="215">
        <v>47785294</v>
      </c>
      <c r="G70" s="334">
        <f>IF(ISBLANK(F70),"-",(F70/$D$50*$D$47*$B$68)*($B$57/$D$68))</f>
        <v>278.75176976933147</v>
      </c>
      <c r="H70" s="259">
        <f t="shared" si="0"/>
        <v>0.92917256589777153</v>
      </c>
    </row>
    <row r="71" spans="1:8" ht="27" customHeight="1" thickBot="1" x14ac:dyDescent="0.45">
      <c r="A71" s="540"/>
      <c r="B71" s="541"/>
      <c r="C71" s="537"/>
      <c r="D71" s="530"/>
      <c r="E71" s="261">
        <v>4</v>
      </c>
      <c r="F71" s="262"/>
      <c r="G71" s="33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290"/>
      <c r="B72" s="290"/>
      <c r="C72" s="290"/>
      <c r="D72" s="290"/>
      <c r="E72" s="290"/>
      <c r="F72" s="269" t="s">
        <v>63</v>
      </c>
      <c r="G72" s="340">
        <f>AVERAGE(G60:G71)</f>
        <v>281.13438065212364</v>
      </c>
      <c r="H72" s="270">
        <f>AVERAGE(H60:H71)</f>
        <v>0.93711460217374543</v>
      </c>
    </row>
    <row r="73" spans="1:8" ht="26.25" customHeight="1" x14ac:dyDescent="0.4">
      <c r="C73" s="290"/>
      <c r="D73" s="290"/>
      <c r="E73" s="290"/>
      <c r="F73" s="271" t="s">
        <v>76</v>
      </c>
      <c r="G73" s="336">
        <f>STDEV(G60:G71)/G72</f>
        <v>1.4088660634492437E-2</v>
      </c>
      <c r="H73" s="336">
        <f>STDEV(H60:H71)/H72</f>
        <v>1.4088660634492446E-2</v>
      </c>
    </row>
    <row r="74" spans="1:8" ht="27" customHeight="1" thickBot="1" x14ac:dyDescent="0.45">
      <c r="A74" s="290"/>
      <c r="B74" s="290"/>
      <c r="C74" s="290"/>
      <c r="D74" s="290"/>
      <c r="E74" s="272"/>
      <c r="F74" s="273" t="s">
        <v>16</v>
      </c>
      <c r="G74" s="274">
        <f>COUNT(G60:G71)</f>
        <v>9</v>
      </c>
      <c r="H74" s="274">
        <f>COUNT(H60:H71)</f>
        <v>9</v>
      </c>
    </row>
    <row r="76" spans="1:8" ht="26.25" customHeight="1" x14ac:dyDescent="0.4">
      <c r="A76" s="324" t="s">
        <v>98</v>
      </c>
      <c r="B76" s="282" t="s">
        <v>99</v>
      </c>
      <c r="C76" s="533" t="str">
        <f>B20</f>
        <v>Lamivudine</v>
      </c>
      <c r="D76" s="533"/>
      <c r="E76" s="275" t="s">
        <v>100</v>
      </c>
      <c r="F76" s="275"/>
      <c r="G76" s="276">
        <f>H72</f>
        <v>0.93711460217374543</v>
      </c>
      <c r="H76" s="347"/>
    </row>
    <row r="77" spans="1:8" ht="18.75" x14ac:dyDescent="0.3">
      <c r="A77" s="190" t="s">
        <v>101</v>
      </c>
      <c r="B77" s="190" t="s">
        <v>102</v>
      </c>
    </row>
    <row r="78" spans="1:8" ht="18.75" x14ac:dyDescent="0.3">
      <c r="A78" s="190"/>
      <c r="B78" s="190"/>
    </row>
    <row r="79" spans="1:8" ht="26.25" customHeight="1" x14ac:dyDescent="0.4">
      <c r="A79" s="324" t="s">
        <v>4</v>
      </c>
      <c r="B79" s="519" t="str">
        <f>B26</f>
        <v>Lamivudine</v>
      </c>
      <c r="C79" s="519"/>
    </row>
    <row r="80" spans="1:8" ht="26.25" customHeight="1" x14ac:dyDescent="0.4">
      <c r="A80" s="282" t="s">
        <v>40</v>
      </c>
      <c r="B80" s="519" t="s">
        <v>122</v>
      </c>
      <c r="C80" s="519"/>
    </row>
    <row r="81" spans="1:12" ht="27" customHeight="1" thickBot="1" x14ac:dyDescent="0.45">
      <c r="A81" s="282" t="s">
        <v>5</v>
      </c>
      <c r="B81" s="277">
        <v>99.9</v>
      </c>
    </row>
    <row r="82" spans="1:12" s="2" customFormat="1" ht="27" customHeight="1" thickBot="1" x14ac:dyDescent="0.45">
      <c r="A82" s="282" t="s">
        <v>41</v>
      </c>
      <c r="B82" s="191">
        <v>0</v>
      </c>
      <c r="C82" s="510" t="s">
        <v>42</v>
      </c>
      <c r="D82" s="511"/>
      <c r="E82" s="511"/>
      <c r="F82" s="511"/>
      <c r="G82" s="512"/>
      <c r="I82" s="192"/>
      <c r="J82" s="192"/>
      <c r="K82" s="192"/>
      <c r="L82" s="192"/>
    </row>
    <row r="83" spans="1:12" s="2" customFormat="1" ht="19.5" customHeight="1" thickBot="1" x14ac:dyDescent="0.35">
      <c r="A83" s="282" t="s">
        <v>43</v>
      </c>
      <c r="B83" s="347">
        <f>B81-B82</f>
        <v>99.9</v>
      </c>
      <c r="C83" s="193"/>
      <c r="D83" s="193"/>
      <c r="E83" s="193"/>
      <c r="F83" s="193"/>
      <c r="G83" s="194"/>
      <c r="I83" s="192"/>
      <c r="J83" s="192"/>
      <c r="K83" s="192"/>
      <c r="L83" s="192"/>
    </row>
    <row r="84" spans="1:12" s="2" customFormat="1" ht="27" customHeight="1" thickBot="1" x14ac:dyDescent="0.45">
      <c r="A84" s="282" t="s">
        <v>44</v>
      </c>
      <c r="B84" s="195">
        <v>1</v>
      </c>
      <c r="C84" s="513" t="s">
        <v>103</v>
      </c>
      <c r="D84" s="514"/>
      <c r="E84" s="514"/>
      <c r="F84" s="514"/>
      <c r="G84" s="514"/>
      <c r="H84" s="515"/>
      <c r="I84" s="192"/>
      <c r="J84" s="192"/>
      <c r="K84" s="192"/>
      <c r="L84" s="192"/>
    </row>
    <row r="85" spans="1:12" s="2" customFormat="1" ht="27" customHeight="1" thickBot="1" x14ac:dyDescent="0.45">
      <c r="A85" s="282" t="s">
        <v>46</v>
      </c>
      <c r="B85" s="195">
        <v>1</v>
      </c>
      <c r="C85" s="513" t="s">
        <v>104</v>
      </c>
      <c r="D85" s="514"/>
      <c r="E85" s="514"/>
      <c r="F85" s="514"/>
      <c r="G85" s="514"/>
      <c r="H85" s="515"/>
      <c r="I85" s="192"/>
      <c r="J85" s="192"/>
      <c r="K85" s="192"/>
      <c r="L85" s="192"/>
    </row>
    <row r="86" spans="1:12" s="2" customFormat="1" ht="18.75" x14ac:dyDescent="0.3">
      <c r="A86" s="282"/>
      <c r="B86" s="198"/>
      <c r="C86" s="199"/>
      <c r="D86" s="199"/>
      <c r="E86" s="199"/>
      <c r="F86" s="199"/>
      <c r="G86" s="199"/>
      <c r="H86" s="199"/>
      <c r="I86" s="192"/>
      <c r="J86" s="192"/>
      <c r="K86" s="192"/>
      <c r="L86" s="192"/>
    </row>
    <row r="87" spans="1:12" s="2" customFormat="1" ht="18.75" x14ac:dyDescent="0.3">
      <c r="A87" s="282" t="s">
        <v>48</v>
      </c>
      <c r="B87" s="200">
        <f>B84/B85</f>
        <v>1</v>
      </c>
      <c r="C87" s="275" t="s">
        <v>49</v>
      </c>
      <c r="D87" s="275"/>
      <c r="E87" s="275"/>
      <c r="F87" s="275"/>
      <c r="G87" s="275"/>
      <c r="I87" s="192"/>
      <c r="J87" s="192"/>
      <c r="K87" s="192"/>
      <c r="L87" s="192"/>
    </row>
    <row r="88" spans="1:12" ht="19.5" customHeight="1" thickBot="1" x14ac:dyDescent="0.35">
      <c r="A88" s="190"/>
      <c r="B88" s="190"/>
    </row>
    <row r="89" spans="1:12" ht="27" customHeight="1" thickBot="1" x14ac:dyDescent="0.45">
      <c r="A89" s="201" t="s">
        <v>50</v>
      </c>
      <c r="B89" s="202">
        <v>50</v>
      </c>
      <c r="D89" s="345" t="s">
        <v>51</v>
      </c>
      <c r="E89" s="346"/>
      <c r="F89" s="516" t="s">
        <v>52</v>
      </c>
      <c r="G89" s="518"/>
    </row>
    <row r="90" spans="1:12" ht="27" customHeight="1" thickBot="1" x14ac:dyDescent="0.45">
      <c r="A90" s="203" t="s">
        <v>53</v>
      </c>
      <c r="B90" s="204">
        <v>1</v>
      </c>
      <c r="C90" s="348" t="s">
        <v>54</v>
      </c>
      <c r="D90" s="206" t="s">
        <v>55</v>
      </c>
      <c r="E90" s="207" t="s">
        <v>56</v>
      </c>
      <c r="F90" s="206" t="s">
        <v>55</v>
      </c>
      <c r="G90" s="278" t="s">
        <v>56</v>
      </c>
      <c r="I90" s="209" t="s">
        <v>57</v>
      </c>
    </row>
    <row r="91" spans="1:12" ht="26.25" customHeight="1" x14ac:dyDescent="0.4">
      <c r="A91" s="203" t="s">
        <v>58</v>
      </c>
      <c r="B91" s="204">
        <v>1</v>
      </c>
      <c r="C91" s="279">
        <v>1</v>
      </c>
      <c r="D91" s="211">
        <v>53372754</v>
      </c>
      <c r="E91" s="212">
        <f>IF(ISBLANK(D91),"-",$D$101/$D$98*D91)</f>
        <v>47002504.557343267</v>
      </c>
      <c r="F91" s="211">
        <v>66082075</v>
      </c>
      <c r="G91" s="213">
        <f>IF(ISBLANK(F91),"-",$D$101/$F$98*F91)</f>
        <v>46322285.170324378</v>
      </c>
      <c r="I91" s="214"/>
    </row>
    <row r="92" spans="1:12" ht="26.25" customHeight="1" x14ac:dyDescent="0.4">
      <c r="A92" s="203" t="s">
        <v>59</v>
      </c>
      <c r="B92" s="204">
        <v>1</v>
      </c>
      <c r="C92" s="290">
        <v>2</v>
      </c>
      <c r="D92" s="215">
        <v>52596580</v>
      </c>
      <c r="E92" s="216">
        <f>IF(ISBLANK(D92),"-",$D$101/$D$98*D92)</f>
        <v>46318969.996389352</v>
      </c>
      <c r="F92" s="215">
        <v>65508348</v>
      </c>
      <c r="G92" s="217">
        <f>IF(ISBLANK(F92),"-",$D$101/$F$98*F92)</f>
        <v>45920113.390701614</v>
      </c>
      <c r="I92" s="520">
        <f>ABS((F96/D96*D95)-F95)/D95</f>
        <v>8.6331033904575062E-3</v>
      </c>
    </row>
    <row r="93" spans="1:12" ht="26.25" customHeight="1" x14ac:dyDescent="0.4">
      <c r="A93" s="203" t="s">
        <v>60</v>
      </c>
      <c r="B93" s="204">
        <v>1</v>
      </c>
      <c r="C93" s="290">
        <v>3</v>
      </c>
      <c r="D93" s="215">
        <v>52309796</v>
      </c>
      <c r="E93" s="216">
        <f>IF(ISBLANK(D93),"-",$D$101/$D$98*D93)</f>
        <v>46066414.801898673</v>
      </c>
      <c r="F93" s="215">
        <v>65889997</v>
      </c>
      <c r="G93" s="217">
        <f>IF(ISBLANK(F93),"-",$D$101/$F$98*F93)</f>
        <v>46187642.123916626</v>
      </c>
      <c r="I93" s="520"/>
    </row>
    <row r="94" spans="1:12" ht="27" customHeight="1" thickBot="1" x14ac:dyDescent="0.45">
      <c r="A94" s="203" t="s">
        <v>61</v>
      </c>
      <c r="B94" s="204">
        <v>1</v>
      </c>
      <c r="C94" s="280">
        <v>4</v>
      </c>
      <c r="D94" s="219"/>
      <c r="E94" s="220" t="str">
        <f>IF(ISBLANK(D94),"-",$D$101/$D$98*D94)</f>
        <v>-</v>
      </c>
      <c r="F94" s="281"/>
      <c r="G94" s="221" t="str">
        <f>IF(ISBLANK(F94),"-",$D$101/$F$98*F94)</f>
        <v>-</v>
      </c>
      <c r="I94" s="222"/>
      <c r="J94" s="293">
        <f>16/50*2/20</f>
        <v>3.2000000000000001E-2</v>
      </c>
    </row>
    <row r="95" spans="1:12" ht="27" customHeight="1" thickBot="1" x14ac:dyDescent="0.45">
      <c r="A95" s="203" t="s">
        <v>62</v>
      </c>
      <c r="B95" s="204">
        <v>1</v>
      </c>
      <c r="C95" s="282" t="s">
        <v>63</v>
      </c>
      <c r="D95" s="283">
        <f>AVERAGE(D91:D94)</f>
        <v>52759710</v>
      </c>
      <c r="E95" s="225">
        <f>AVERAGE(E91:E94)</f>
        <v>46462629.785210431</v>
      </c>
      <c r="F95" s="284">
        <f>AVERAGE(F91:F94)</f>
        <v>65826806.666666664</v>
      </c>
      <c r="G95" s="285">
        <f>AVERAGE(G91:G94)</f>
        <v>46143346.89498087</v>
      </c>
    </row>
    <row r="96" spans="1:12" ht="26.25" customHeight="1" x14ac:dyDescent="0.4">
      <c r="A96" s="203" t="s">
        <v>64</v>
      </c>
      <c r="B96" s="277">
        <v>1</v>
      </c>
      <c r="C96" s="286" t="s">
        <v>105</v>
      </c>
      <c r="D96" s="287">
        <v>17.05</v>
      </c>
      <c r="E96" s="275"/>
      <c r="F96" s="229">
        <v>21.42</v>
      </c>
    </row>
    <row r="97" spans="1:10" ht="26.25" customHeight="1" x14ac:dyDescent="0.4">
      <c r="A97" s="203" t="s">
        <v>66</v>
      </c>
      <c r="B97" s="277">
        <v>1</v>
      </c>
      <c r="C97" s="288" t="s">
        <v>106</v>
      </c>
      <c r="D97" s="289">
        <f>D96*$B$87</f>
        <v>17.05</v>
      </c>
      <c r="E97" s="290"/>
      <c r="F97" s="231">
        <f>F96*$B$87</f>
        <v>21.42</v>
      </c>
    </row>
    <row r="98" spans="1:10" ht="19.5" customHeight="1" thickBot="1" x14ac:dyDescent="0.35">
      <c r="A98" s="203" t="s">
        <v>68</v>
      </c>
      <c r="B98" s="290">
        <f>(B97/B96)*(B95/B94)*(B93/B92)*(B91/B90)*B89</f>
        <v>50</v>
      </c>
      <c r="C98" s="288" t="s">
        <v>107</v>
      </c>
      <c r="D98" s="291">
        <f>D97*$B$83/100</f>
        <v>17.03295</v>
      </c>
      <c r="E98" s="272"/>
      <c r="F98" s="233">
        <f>F97*$B$83/100</f>
        <v>21.398580000000003</v>
      </c>
    </row>
    <row r="99" spans="1:10" ht="19.5" customHeight="1" thickBot="1" x14ac:dyDescent="0.35">
      <c r="A99" s="521" t="s">
        <v>70</v>
      </c>
      <c r="B99" s="535"/>
      <c r="C99" s="288" t="s">
        <v>108</v>
      </c>
      <c r="D99" s="292">
        <f>D98/$B$98</f>
        <v>0.34065899999999999</v>
      </c>
      <c r="E99" s="272"/>
      <c r="F99" s="236">
        <f>F98/$B$98</f>
        <v>0.42797160000000006</v>
      </c>
      <c r="H99" s="227"/>
    </row>
    <row r="100" spans="1:10" ht="19.5" customHeight="1" thickBot="1" x14ac:dyDescent="0.35">
      <c r="A100" s="523"/>
      <c r="B100" s="536"/>
      <c r="C100" s="288" t="s">
        <v>72</v>
      </c>
      <c r="D100" s="294">
        <f>$B$56/$B$116</f>
        <v>0.3</v>
      </c>
      <c r="F100" s="241"/>
      <c r="G100" s="300"/>
      <c r="H100" s="227"/>
    </row>
    <row r="101" spans="1:10" ht="18.75" x14ac:dyDescent="0.3">
      <c r="C101" s="288" t="s">
        <v>73</v>
      </c>
      <c r="D101" s="289">
        <f>D100*$B$98</f>
        <v>15</v>
      </c>
      <c r="F101" s="241"/>
      <c r="H101" s="227"/>
    </row>
    <row r="102" spans="1:10" ht="19.5" customHeight="1" thickBot="1" x14ac:dyDescent="0.35">
      <c r="C102" s="295" t="s">
        <v>74</v>
      </c>
      <c r="D102" s="296">
        <f>D101/B34</f>
        <v>15</v>
      </c>
      <c r="F102" s="245"/>
      <c r="H102" s="227"/>
      <c r="J102" s="297"/>
    </row>
    <row r="103" spans="1:10" ht="18.75" x14ac:dyDescent="0.3">
      <c r="C103" s="298" t="s">
        <v>109</v>
      </c>
      <c r="D103" s="299">
        <f>AVERAGE(E91:E94,G91:G94)</f>
        <v>46302988.340095662</v>
      </c>
      <c r="F103" s="245"/>
      <c r="G103" s="300"/>
      <c r="H103" s="227"/>
      <c r="J103" s="301"/>
    </row>
    <row r="104" spans="1:10" ht="18.75" x14ac:dyDescent="0.3">
      <c r="C104" s="271" t="s">
        <v>76</v>
      </c>
      <c r="D104" s="302">
        <f>STDEV(E91:E94,G91:G94)/D103</f>
        <v>8.1143109235006488E-3</v>
      </c>
      <c r="F104" s="245"/>
      <c r="H104" s="227"/>
      <c r="J104" s="301"/>
    </row>
    <row r="105" spans="1:10" ht="19.5" customHeight="1" thickBot="1" x14ac:dyDescent="0.35">
      <c r="C105" s="273" t="s">
        <v>16</v>
      </c>
      <c r="D105" s="303">
        <f>COUNT(E91:E94,G91:G94)</f>
        <v>6</v>
      </c>
      <c r="F105" s="245"/>
      <c r="H105" s="227"/>
      <c r="J105" s="301"/>
    </row>
    <row r="106" spans="1:10" ht="19.5" customHeight="1" thickBot="1" x14ac:dyDescent="0.35">
      <c r="A106" s="249"/>
      <c r="B106" s="249"/>
      <c r="C106" s="249"/>
      <c r="D106" s="249"/>
      <c r="E106" s="249"/>
    </row>
    <row r="107" spans="1:10" ht="26.25" customHeight="1" x14ac:dyDescent="0.4">
      <c r="A107" s="201" t="s">
        <v>110</v>
      </c>
      <c r="B107" s="202">
        <v>1000</v>
      </c>
      <c r="C107" s="345" t="s">
        <v>111</v>
      </c>
      <c r="D107" s="304" t="s">
        <v>55</v>
      </c>
      <c r="E107" s="305" t="s">
        <v>112</v>
      </c>
      <c r="F107" s="306" t="s">
        <v>113</v>
      </c>
    </row>
    <row r="108" spans="1:10" ht="26.25" customHeight="1" x14ac:dyDescent="0.4">
      <c r="A108" s="203" t="s">
        <v>114</v>
      </c>
      <c r="B108" s="204">
        <v>1</v>
      </c>
      <c r="C108" s="307">
        <v>1</v>
      </c>
      <c r="D108" s="308">
        <v>43256539</v>
      </c>
      <c r="E108" s="337">
        <f t="shared" ref="E108:E113" si="1">IF(ISBLANK(D108),"-",D108/$D$103*$D$100*$B$116)</f>
        <v>280.26186138752337</v>
      </c>
      <c r="F108" s="309">
        <f t="shared" ref="F108:F113" si="2">IF(ISBLANK(D108), "-", E108/$B$56)</f>
        <v>0.93420620462507786</v>
      </c>
    </row>
    <row r="109" spans="1:10" ht="26.25" customHeight="1" x14ac:dyDescent="0.4">
      <c r="A109" s="203" t="s">
        <v>87</v>
      </c>
      <c r="B109" s="204">
        <v>1</v>
      </c>
      <c r="C109" s="307">
        <v>2</v>
      </c>
      <c r="D109" s="308">
        <v>45262330</v>
      </c>
      <c r="E109" s="338">
        <f t="shared" si="1"/>
        <v>293.25750857081607</v>
      </c>
      <c r="F109" s="310">
        <f t="shared" si="2"/>
        <v>0.97752502856938694</v>
      </c>
    </row>
    <row r="110" spans="1:10" ht="26.25" customHeight="1" x14ac:dyDescent="0.4">
      <c r="A110" s="203" t="s">
        <v>88</v>
      </c>
      <c r="B110" s="204">
        <v>1</v>
      </c>
      <c r="C110" s="307">
        <v>3</v>
      </c>
      <c r="D110" s="308">
        <v>43497144</v>
      </c>
      <c r="E110" s="338">
        <f t="shared" si="1"/>
        <v>281.82075645213183</v>
      </c>
      <c r="F110" s="310">
        <f t="shared" si="2"/>
        <v>0.93940252150710613</v>
      </c>
    </row>
    <row r="111" spans="1:10" ht="26.25" customHeight="1" x14ac:dyDescent="0.4">
      <c r="A111" s="203" t="s">
        <v>89</v>
      </c>
      <c r="B111" s="204">
        <v>1</v>
      </c>
      <c r="C111" s="307">
        <v>4</v>
      </c>
      <c r="D111" s="308">
        <v>45461460</v>
      </c>
      <c r="E111" s="338">
        <f t="shared" si="1"/>
        <v>294.54768447828053</v>
      </c>
      <c r="F111" s="310">
        <f t="shared" si="2"/>
        <v>0.98182561492760179</v>
      </c>
    </row>
    <row r="112" spans="1:10" ht="26.25" customHeight="1" x14ac:dyDescent="0.4">
      <c r="A112" s="203" t="s">
        <v>90</v>
      </c>
      <c r="B112" s="204">
        <v>1</v>
      </c>
      <c r="C112" s="307">
        <v>5</v>
      </c>
      <c r="D112" s="308">
        <v>45403440</v>
      </c>
      <c r="E112" s="338">
        <f t="shared" si="1"/>
        <v>294.17176921613475</v>
      </c>
      <c r="F112" s="310">
        <f t="shared" si="2"/>
        <v>0.98057256405378246</v>
      </c>
    </row>
    <row r="113" spans="1:10" ht="26.25" customHeight="1" x14ac:dyDescent="0.4">
      <c r="A113" s="203" t="s">
        <v>92</v>
      </c>
      <c r="B113" s="204">
        <v>1</v>
      </c>
      <c r="C113" s="311">
        <v>6</v>
      </c>
      <c r="D113" s="312">
        <v>45823167</v>
      </c>
      <c r="E113" s="339">
        <f t="shared" si="1"/>
        <v>296.8912070864323</v>
      </c>
      <c r="F113" s="313">
        <f t="shared" si="2"/>
        <v>0.98963735695477439</v>
      </c>
    </row>
    <row r="114" spans="1:10" ht="26.25" customHeight="1" x14ac:dyDescent="0.4">
      <c r="A114" s="203" t="s">
        <v>93</v>
      </c>
      <c r="B114" s="204">
        <v>1</v>
      </c>
      <c r="C114" s="307"/>
      <c r="D114" s="290"/>
      <c r="E114" s="275"/>
      <c r="F114" s="314"/>
    </row>
    <row r="115" spans="1:10" ht="26.25" customHeight="1" x14ac:dyDescent="0.4">
      <c r="A115" s="203" t="s">
        <v>94</v>
      </c>
      <c r="B115" s="204">
        <v>1</v>
      </c>
      <c r="C115" s="307"/>
      <c r="D115" s="315" t="s">
        <v>63</v>
      </c>
      <c r="E115" s="341">
        <f>AVERAGE(E108:E113)</f>
        <v>290.15846453188652</v>
      </c>
      <c r="F115" s="316">
        <f>AVERAGE(F108:F113)</f>
        <v>0.96719488177295487</v>
      </c>
    </row>
    <row r="116" spans="1:10" ht="27" customHeight="1" thickBot="1" x14ac:dyDescent="0.45">
      <c r="A116" s="203" t="s">
        <v>95</v>
      </c>
      <c r="B116" s="232">
        <f>(B115/B114)*(B113/B112)*(B111/B110)*(B109/B108)*B107</f>
        <v>1000</v>
      </c>
      <c r="C116" s="317"/>
      <c r="D116" s="282" t="s">
        <v>76</v>
      </c>
      <c r="E116" s="318">
        <f>STDEV(E108:E113)/E115</f>
        <v>2.4745286069087227E-2</v>
      </c>
      <c r="F116" s="318">
        <f>STDEV(F108:F113)/F115</f>
        <v>2.4745286069087248E-2</v>
      </c>
      <c r="I116" s="275"/>
    </row>
    <row r="117" spans="1:10" ht="27" customHeight="1" thickBot="1" x14ac:dyDescent="0.45">
      <c r="A117" s="521" t="s">
        <v>70</v>
      </c>
      <c r="B117" s="522"/>
      <c r="C117" s="319"/>
      <c r="D117" s="320" t="s">
        <v>16</v>
      </c>
      <c r="E117" s="321">
        <f>COUNT(E108:E113)</f>
        <v>6</v>
      </c>
      <c r="F117" s="321">
        <f>COUNT(F108:F113)</f>
        <v>6</v>
      </c>
      <c r="I117" s="275"/>
      <c r="J117" s="301"/>
    </row>
    <row r="118" spans="1:10" ht="19.5" customHeight="1" thickBot="1" x14ac:dyDescent="0.35">
      <c r="A118" s="523"/>
      <c r="B118" s="524"/>
      <c r="C118" s="275"/>
      <c r="D118" s="275"/>
      <c r="E118" s="275"/>
      <c r="F118" s="290"/>
      <c r="G118" s="275"/>
      <c r="H118" s="275"/>
      <c r="I118" s="275"/>
    </row>
    <row r="119" spans="1:10" ht="18.75" x14ac:dyDescent="0.3">
      <c r="A119" s="328"/>
      <c r="B119" s="199"/>
      <c r="C119" s="275"/>
      <c r="D119" s="275"/>
      <c r="E119" s="275"/>
      <c r="F119" s="290"/>
      <c r="G119" s="275"/>
      <c r="H119" s="275"/>
      <c r="I119" s="275"/>
    </row>
    <row r="120" spans="1:10" ht="26.25" customHeight="1" x14ac:dyDescent="0.4">
      <c r="A120" s="324" t="s">
        <v>98</v>
      </c>
      <c r="B120" s="282" t="s">
        <v>115</v>
      </c>
      <c r="C120" s="533" t="str">
        <f>B20</f>
        <v>Lamivudine</v>
      </c>
      <c r="D120" s="533"/>
      <c r="E120" s="275" t="s">
        <v>116</v>
      </c>
      <c r="F120" s="275"/>
      <c r="G120" s="276">
        <f>F115</f>
        <v>0.96719488177295487</v>
      </c>
      <c r="H120" s="275"/>
      <c r="I120" s="275"/>
    </row>
    <row r="121" spans="1:10" ht="19.5" customHeight="1" thickBot="1" x14ac:dyDescent="0.35">
      <c r="A121" s="349"/>
      <c r="B121" s="349"/>
      <c r="C121" s="322"/>
      <c r="D121" s="322"/>
      <c r="E121" s="322"/>
      <c r="F121" s="322"/>
      <c r="G121" s="322"/>
      <c r="H121" s="322"/>
    </row>
    <row r="122" spans="1:10" ht="18.75" x14ac:dyDescent="0.3">
      <c r="B122" s="534" t="s">
        <v>18</v>
      </c>
      <c r="C122" s="534"/>
      <c r="E122" s="348" t="s">
        <v>19</v>
      </c>
      <c r="F122" s="323"/>
      <c r="G122" s="534" t="s">
        <v>20</v>
      </c>
      <c r="H122" s="534"/>
    </row>
    <row r="123" spans="1:10" ht="69.95" customHeight="1" x14ac:dyDescent="0.3">
      <c r="A123" s="324" t="s">
        <v>21</v>
      </c>
      <c r="B123" s="325"/>
      <c r="C123" s="325"/>
      <c r="E123" s="325"/>
      <c r="F123" s="275"/>
      <c r="G123" s="325"/>
      <c r="H123" s="325"/>
    </row>
    <row r="124" spans="1:10" ht="69.95" customHeight="1" x14ac:dyDescent="0.3">
      <c r="A124" s="324" t="s">
        <v>22</v>
      </c>
      <c r="B124" s="326"/>
      <c r="C124" s="326"/>
      <c r="E124" s="326"/>
      <c r="F124" s="275"/>
      <c r="G124" s="327"/>
      <c r="H124" s="327"/>
    </row>
    <row r="125" spans="1:10" ht="18.75" x14ac:dyDescent="0.3">
      <c r="A125" s="290"/>
      <c r="B125" s="290"/>
      <c r="C125" s="290"/>
      <c r="D125" s="290"/>
      <c r="E125" s="290"/>
      <c r="F125" s="272"/>
      <c r="G125" s="290"/>
      <c r="H125" s="290"/>
      <c r="I125" s="275"/>
    </row>
    <row r="126" spans="1:10" ht="18.75" x14ac:dyDescent="0.3">
      <c r="A126" s="290"/>
      <c r="B126" s="290"/>
      <c r="C126" s="290"/>
      <c r="D126" s="290"/>
      <c r="E126" s="290"/>
      <c r="F126" s="272"/>
      <c r="G126" s="290"/>
      <c r="H126" s="290"/>
      <c r="I126" s="275"/>
    </row>
    <row r="127" spans="1:10" ht="18.75" x14ac:dyDescent="0.3">
      <c r="A127" s="290"/>
      <c r="B127" s="290"/>
      <c r="C127" s="290"/>
      <c r="D127" s="290"/>
      <c r="E127" s="290"/>
      <c r="F127" s="272"/>
      <c r="G127" s="290"/>
      <c r="H127" s="290"/>
      <c r="I127" s="275"/>
    </row>
    <row r="128" spans="1:10" ht="18.75" x14ac:dyDescent="0.3">
      <c r="A128" s="290"/>
      <c r="B128" s="290"/>
      <c r="C128" s="290"/>
      <c r="D128" s="290"/>
      <c r="E128" s="290"/>
      <c r="F128" s="272"/>
      <c r="G128" s="290"/>
      <c r="H128" s="290"/>
      <c r="I128" s="275"/>
    </row>
    <row r="129" spans="1:9" ht="18.75" x14ac:dyDescent="0.3">
      <c r="A129" s="290"/>
      <c r="B129" s="290"/>
      <c r="C129" s="290"/>
      <c r="D129" s="290"/>
      <c r="E129" s="290"/>
      <c r="F129" s="272"/>
      <c r="G129" s="290"/>
      <c r="H129" s="290"/>
      <c r="I129" s="275"/>
    </row>
    <row r="130" spans="1:9" ht="18.75" x14ac:dyDescent="0.3">
      <c r="A130" s="290"/>
      <c r="B130" s="290"/>
      <c r="C130" s="290"/>
      <c r="D130" s="290"/>
      <c r="E130" s="290"/>
      <c r="F130" s="272"/>
      <c r="G130" s="290"/>
      <c r="H130" s="290"/>
      <c r="I130" s="275"/>
    </row>
    <row r="131" spans="1:9" ht="18.75" x14ac:dyDescent="0.3">
      <c r="A131" s="290"/>
      <c r="B131" s="290"/>
      <c r="C131" s="290"/>
      <c r="D131" s="290"/>
      <c r="E131" s="290"/>
      <c r="F131" s="272"/>
      <c r="G131" s="290"/>
      <c r="H131" s="290"/>
      <c r="I131" s="275"/>
    </row>
    <row r="132" spans="1:9" ht="18.75" x14ac:dyDescent="0.3">
      <c r="A132" s="290"/>
      <c r="B132" s="290"/>
      <c r="C132" s="290"/>
      <c r="D132" s="290"/>
      <c r="E132" s="290"/>
      <c r="F132" s="272"/>
      <c r="G132" s="290"/>
      <c r="H132" s="290"/>
      <c r="I132" s="275"/>
    </row>
    <row r="133" spans="1:9" ht="18.75" x14ac:dyDescent="0.3">
      <c r="A133" s="290"/>
      <c r="B133" s="290"/>
      <c r="C133" s="290"/>
      <c r="D133" s="290"/>
      <c r="E133" s="290"/>
      <c r="F133" s="272"/>
      <c r="G133" s="290"/>
      <c r="H133" s="290"/>
      <c r="I133" s="275"/>
    </row>
    <row r="250" spans="1:1" x14ac:dyDescent="0.25">
      <c r="A250" s="293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39" sqref="B39"/>
    </sheetView>
  </sheetViews>
  <sheetFormatPr defaultRowHeight="13.5" x14ac:dyDescent="0.25"/>
  <cols>
    <col min="1" max="1" width="27.5703125" style="403" customWidth="1"/>
    <col min="2" max="2" width="20.42578125" style="403" customWidth="1"/>
    <col min="3" max="3" width="31.85546875" style="403" customWidth="1"/>
    <col min="4" max="4" width="25.85546875" style="403" customWidth="1"/>
    <col min="5" max="5" width="25.7109375" style="403" customWidth="1"/>
    <col min="6" max="6" width="23.140625" style="403" customWidth="1"/>
    <col min="7" max="7" width="28.42578125" style="403" customWidth="1"/>
    <col min="8" max="8" width="21.5703125" style="403" customWidth="1"/>
    <col min="9" max="9" width="9.140625" style="403" customWidth="1"/>
    <col min="10" max="16384" width="9.140625" style="439"/>
  </cols>
  <sheetData>
    <row r="14" spans="1:6" ht="15" customHeight="1" x14ac:dyDescent="0.3">
      <c r="A14" s="402"/>
      <c r="C14" s="404"/>
      <c r="F14" s="404"/>
    </row>
    <row r="15" spans="1:6" ht="18.75" customHeight="1" x14ac:dyDescent="0.3">
      <c r="A15" s="542" t="s">
        <v>0</v>
      </c>
      <c r="B15" s="542"/>
      <c r="C15" s="542"/>
      <c r="D15" s="542"/>
      <c r="E15" s="542"/>
    </row>
    <row r="16" spans="1:6" ht="16.5" customHeight="1" x14ac:dyDescent="0.3">
      <c r="A16" s="405" t="s">
        <v>1</v>
      </c>
      <c r="B16" s="406" t="s">
        <v>2</v>
      </c>
    </row>
    <row r="17" spans="1:5" ht="16.5" customHeight="1" x14ac:dyDescent="0.3">
      <c r="A17" s="407" t="s">
        <v>3</v>
      </c>
      <c r="B17" s="491" t="s">
        <v>123</v>
      </c>
      <c r="C17" s="491"/>
      <c r="D17" s="408"/>
      <c r="E17" s="409"/>
    </row>
    <row r="18" spans="1:5" ht="16.5" customHeight="1" x14ac:dyDescent="0.3">
      <c r="A18" s="410" t="s">
        <v>4</v>
      </c>
      <c r="B18" s="410" t="s">
        <v>121</v>
      </c>
      <c r="C18" s="409"/>
      <c r="D18" s="409"/>
      <c r="E18" s="409"/>
    </row>
    <row r="19" spans="1:5" ht="16.5" customHeight="1" x14ac:dyDescent="0.3">
      <c r="A19" s="410" t="s">
        <v>5</v>
      </c>
      <c r="B19" s="411">
        <v>99.9</v>
      </c>
      <c r="C19" s="409"/>
      <c r="D19" s="409"/>
      <c r="E19" s="409"/>
    </row>
    <row r="20" spans="1:5" ht="16.5" customHeight="1" x14ac:dyDescent="0.3">
      <c r="A20" s="407" t="s">
        <v>6</v>
      </c>
      <c r="B20" s="411">
        <v>14.83</v>
      </c>
      <c r="C20" s="409"/>
      <c r="D20" s="409"/>
      <c r="E20" s="409"/>
    </row>
    <row r="21" spans="1:5" ht="16.5" customHeight="1" x14ac:dyDescent="0.3">
      <c r="A21" s="407" t="s">
        <v>7</v>
      </c>
      <c r="B21" s="412">
        <f>B20/50*10/25</f>
        <v>0.11864</v>
      </c>
      <c r="C21" s="409"/>
      <c r="D21" s="409"/>
      <c r="E21" s="409"/>
    </row>
    <row r="22" spans="1:5" ht="15.75" customHeight="1" x14ac:dyDescent="0.25">
      <c r="A22" s="409"/>
      <c r="B22" s="409"/>
      <c r="C22" s="409"/>
      <c r="D22" s="409"/>
      <c r="E22" s="409"/>
    </row>
    <row r="23" spans="1:5" ht="16.5" customHeight="1" x14ac:dyDescent="0.3">
      <c r="A23" s="413" t="s">
        <v>9</v>
      </c>
      <c r="B23" s="414" t="s">
        <v>10</v>
      </c>
      <c r="C23" s="413" t="s">
        <v>11</v>
      </c>
      <c r="D23" s="413" t="s">
        <v>12</v>
      </c>
      <c r="E23" s="413" t="s">
        <v>13</v>
      </c>
    </row>
    <row r="24" spans="1:5" ht="16.5" customHeight="1" x14ac:dyDescent="0.3">
      <c r="A24" s="415">
        <v>1</v>
      </c>
      <c r="B24" s="416">
        <v>50213988</v>
      </c>
      <c r="C24" s="416">
        <v>8110.08</v>
      </c>
      <c r="D24" s="417">
        <v>0.81</v>
      </c>
      <c r="E24" s="418">
        <v>4.8</v>
      </c>
    </row>
    <row r="25" spans="1:5" ht="16.5" customHeight="1" x14ac:dyDescent="0.3">
      <c r="A25" s="415">
        <v>2</v>
      </c>
      <c r="B25" s="416">
        <v>50183994</v>
      </c>
      <c r="C25" s="416">
        <v>8189.79</v>
      </c>
      <c r="D25" s="417">
        <v>0.8</v>
      </c>
      <c r="E25" s="417">
        <v>4.8</v>
      </c>
    </row>
    <row r="26" spans="1:5" ht="16.5" customHeight="1" x14ac:dyDescent="0.3">
      <c r="A26" s="415">
        <v>3</v>
      </c>
      <c r="B26" s="416">
        <v>50315669</v>
      </c>
      <c r="C26" s="416">
        <v>8105.52</v>
      </c>
      <c r="D26" s="417">
        <v>0.81</v>
      </c>
      <c r="E26" s="417">
        <v>4.8</v>
      </c>
    </row>
    <row r="27" spans="1:5" ht="16.5" customHeight="1" x14ac:dyDescent="0.3">
      <c r="A27" s="415">
        <v>4</v>
      </c>
      <c r="B27" s="416">
        <v>49968694</v>
      </c>
      <c r="C27" s="416">
        <v>8138.95</v>
      </c>
      <c r="D27" s="417">
        <v>0.8</v>
      </c>
      <c r="E27" s="417">
        <v>4.8</v>
      </c>
    </row>
    <row r="28" spans="1:5" ht="16.5" customHeight="1" x14ac:dyDescent="0.3">
      <c r="A28" s="415">
        <v>5</v>
      </c>
      <c r="B28" s="416">
        <v>50071725</v>
      </c>
      <c r="C28" s="416">
        <v>8116.13</v>
      </c>
      <c r="D28" s="417">
        <v>0.8</v>
      </c>
      <c r="E28" s="417">
        <v>4.8</v>
      </c>
    </row>
    <row r="29" spans="1:5" ht="16.5" customHeight="1" x14ac:dyDescent="0.3">
      <c r="A29" s="415">
        <v>6</v>
      </c>
      <c r="B29" s="419">
        <v>50132017</v>
      </c>
      <c r="C29" s="419">
        <v>8084.85</v>
      </c>
      <c r="D29" s="420">
        <v>0.8</v>
      </c>
      <c r="E29" s="420">
        <v>4.8</v>
      </c>
    </row>
    <row r="30" spans="1:5" ht="16.5" customHeight="1" x14ac:dyDescent="0.3">
      <c r="A30" s="421" t="s">
        <v>14</v>
      </c>
      <c r="B30" s="422">
        <f>AVERAGE(B24:B29)</f>
        <v>50147681.166666664</v>
      </c>
      <c r="C30" s="423">
        <f>AVERAGE(C24:C29)</f>
        <v>8124.22</v>
      </c>
      <c r="D30" s="424">
        <f>AVERAGE(D24:D29)</f>
        <v>0.80333333333333323</v>
      </c>
      <c r="E30" s="424">
        <f>AVERAGE(E24:E29)</f>
        <v>4.8</v>
      </c>
    </row>
    <row r="31" spans="1:5" ht="16.5" customHeight="1" x14ac:dyDescent="0.3">
      <c r="A31" s="425" t="s">
        <v>15</v>
      </c>
      <c r="B31" s="426">
        <f>(STDEV(B24:B29)/B30)</f>
        <v>2.3927035334385294E-3</v>
      </c>
      <c r="C31" s="427"/>
      <c r="D31" s="427"/>
      <c r="E31" s="428"/>
    </row>
    <row r="32" spans="1:5" s="403" customFormat="1" ht="16.5" customHeight="1" x14ac:dyDescent="0.3">
      <c r="A32" s="429" t="s">
        <v>16</v>
      </c>
      <c r="B32" s="430">
        <f>COUNT(B24:B29)</f>
        <v>6</v>
      </c>
      <c r="C32" s="431"/>
      <c r="D32" s="432"/>
      <c r="E32" s="433"/>
    </row>
    <row r="33" spans="1:5" s="403" customFormat="1" ht="15.75" customHeight="1" x14ac:dyDescent="0.25">
      <c r="A33" s="409"/>
      <c r="B33" s="409"/>
      <c r="C33" s="409"/>
      <c r="D33" s="409"/>
      <c r="E33" s="409"/>
    </row>
    <row r="34" spans="1:5" s="403" customFormat="1" ht="16.5" customHeight="1" x14ac:dyDescent="0.3">
      <c r="A34" s="410" t="s">
        <v>17</v>
      </c>
      <c r="B34" s="434" t="s">
        <v>124</v>
      </c>
      <c r="C34" s="435"/>
      <c r="D34" s="435"/>
      <c r="E34" s="435"/>
    </row>
    <row r="35" spans="1:5" ht="16.5" customHeight="1" x14ac:dyDescent="0.3">
      <c r="A35" s="410"/>
      <c r="B35" s="434" t="s">
        <v>125</v>
      </c>
      <c r="C35" s="435"/>
      <c r="D35" s="435"/>
      <c r="E35" s="435"/>
    </row>
    <row r="36" spans="1:5" ht="16.5" customHeight="1" x14ac:dyDescent="0.3">
      <c r="A36" s="410"/>
      <c r="B36" s="434" t="s">
        <v>126</v>
      </c>
      <c r="C36" s="435"/>
      <c r="D36" s="435"/>
      <c r="E36" s="435"/>
    </row>
    <row r="37" spans="1:5" ht="15.75" customHeight="1" x14ac:dyDescent="0.25">
      <c r="A37" s="409"/>
      <c r="B37" s="409"/>
      <c r="C37" s="409"/>
      <c r="D37" s="409"/>
      <c r="E37" s="409"/>
    </row>
    <row r="38" spans="1:5" ht="16.5" customHeight="1" x14ac:dyDescent="0.3">
      <c r="A38" s="405" t="s">
        <v>1</v>
      </c>
      <c r="B38" s="406" t="s">
        <v>127</v>
      </c>
    </row>
    <row r="39" spans="1:5" ht="16.5" customHeight="1" x14ac:dyDescent="0.3">
      <c r="A39" s="410" t="s">
        <v>4</v>
      </c>
      <c r="B39" s="410" t="s">
        <v>121</v>
      </c>
      <c r="C39" s="409"/>
      <c r="D39" s="409"/>
      <c r="E39" s="409"/>
    </row>
    <row r="40" spans="1:5" ht="16.5" customHeight="1" x14ac:dyDescent="0.3">
      <c r="A40" s="410" t="s">
        <v>5</v>
      </c>
      <c r="B40" s="411">
        <v>99.9</v>
      </c>
      <c r="C40" s="409"/>
      <c r="D40" s="409"/>
      <c r="E40" s="409"/>
    </row>
    <row r="41" spans="1:5" ht="16.5" customHeight="1" x14ac:dyDescent="0.3">
      <c r="A41" s="407" t="s">
        <v>6</v>
      </c>
      <c r="B41" s="411">
        <v>17.05</v>
      </c>
      <c r="C41" s="409"/>
      <c r="D41" s="409"/>
      <c r="E41" s="409"/>
    </row>
    <row r="42" spans="1:5" ht="16.5" customHeight="1" x14ac:dyDescent="0.3">
      <c r="A42" s="407" t="s">
        <v>7</v>
      </c>
      <c r="B42" s="412">
        <f>B41/50</f>
        <v>0.34100000000000003</v>
      </c>
      <c r="C42" s="409"/>
      <c r="D42" s="409"/>
      <c r="E42" s="409"/>
    </row>
    <row r="43" spans="1:5" ht="15.75" customHeight="1" x14ac:dyDescent="0.25">
      <c r="A43" s="409"/>
      <c r="B43" s="409"/>
      <c r="C43" s="409"/>
      <c r="D43" s="409"/>
      <c r="E43" s="409"/>
    </row>
    <row r="44" spans="1:5" ht="16.5" customHeight="1" x14ac:dyDescent="0.3">
      <c r="A44" s="413" t="s">
        <v>9</v>
      </c>
      <c r="B44" s="414" t="s">
        <v>10</v>
      </c>
      <c r="C44" s="413" t="s">
        <v>11</v>
      </c>
      <c r="D44" s="413" t="s">
        <v>12</v>
      </c>
      <c r="E44" s="413" t="s">
        <v>13</v>
      </c>
    </row>
    <row r="45" spans="1:5" ht="16.5" customHeight="1" x14ac:dyDescent="0.3">
      <c r="A45" s="415">
        <v>1</v>
      </c>
      <c r="B45" s="416">
        <v>51124295</v>
      </c>
      <c r="C45" s="416">
        <v>1855.3</v>
      </c>
      <c r="D45" s="417">
        <v>1.4</v>
      </c>
      <c r="E45" s="418">
        <v>4</v>
      </c>
    </row>
    <row r="46" spans="1:5" ht="16.5" customHeight="1" x14ac:dyDescent="0.3">
      <c r="A46" s="415">
        <v>2</v>
      </c>
      <c r="B46" s="416">
        <v>50516546</v>
      </c>
      <c r="C46" s="416">
        <v>1932.9</v>
      </c>
      <c r="D46" s="417">
        <v>1.5</v>
      </c>
      <c r="E46" s="417">
        <v>4</v>
      </c>
    </row>
    <row r="47" spans="1:5" ht="16.5" customHeight="1" x14ac:dyDescent="0.3">
      <c r="A47" s="415">
        <v>3</v>
      </c>
      <c r="B47" s="416">
        <v>51420736</v>
      </c>
      <c r="C47" s="416">
        <v>1958.2</v>
      </c>
      <c r="D47" s="417">
        <v>1.5</v>
      </c>
      <c r="E47" s="417">
        <v>4</v>
      </c>
    </row>
    <row r="48" spans="1:5" ht="16.5" customHeight="1" x14ac:dyDescent="0.3">
      <c r="A48" s="415">
        <v>4</v>
      </c>
      <c r="B48" s="416">
        <v>51417287</v>
      </c>
      <c r="C48" s="416">
        <v>1914.3</v>
      </c>
      <c r="D48" s="417">
        <v>1.5</v>
      </c>
      <c r="E48" s="417">
        <v>4</v>
      </c>
    </row>
    <row r="49" spans="1:7" ht="16.5" customHeight="1" x14ac:dyDescent="0.3">
      <c r="A49" s="415">
        <v>5</v>
      </c>
      <c r="B49" s="416">
        <v>50799269</v>
      </c>
      <c r="C49" s="416">
        <v>1992.8</v>
      </c>
      <c r="D49" s="417">
        <v>1.5</v>
      </c>
      <c r="E49" s="417">
        <v>4</v>
      </c>
    </row>
    <row r="50" spans="1:7" ht="16.5" customHeight="1" x14ac:dyDescent="0.3">
      <c r="A50" s="415">
        <v>6</v>
      </c>
      <c r="B50" s="419"/>
      <c r="C50" s="419"/>
      <c r="D50" s="420"/>
      <c r="E50" s="420"/>
    </row>
    <row r="51" spans="1:7" ht="16.5" customHeight="1" x14ac:dyDescent="0.3">
      <c r="A51" s="421" t="s">
        <v>14</v>
      </c>
      <c r="B51" s="422">
        <f>AVERAGE(B45:B50)</f>
        <v>51055626.600000001</v>
      </c>
      <c r="C51" s="423">
        <f>AVERAGE(C45:C50)</f>
        <v>1930.7</v>
      </c>
      <c r="D51" s="424">
        <f>AVERAGE(D45:D50)</f>
        <v>1.48</v>
      </c>
      <c r="E51" s="424">
        <f>AVERAGE(E45:E50)</f>
        <v>4</v>
      </c>
    </row>
    <row r="52" spans="1:7" ht="16.5" customHeight="1" x14ac:dyDescent="0.3">
      <c r="A52" s="425" t="s">
        <v>15</v>
      </c>
      <c r="B52" s="426">
        <f>(STDEV(B45:B50)/B51)</f>
        <v>7.7431375881782168E-3</v>
      </c>
      <c r="C52" s="427"/>
      <c r="D52" s="427"/>
      <c r="E52" s="428"/>
    </row>
    <row r="53" spans="1:7" s="403" customFormat="1" ht="16.5" customHeight="1" x14ac:dyDescent="0.3">
      <c r="A53" s="429" t="s">
        <v>16</v>
      </c>
      <c r="B53" s="430">
        <f>COUNT(B45:B50)</f>
        <v>5</v>
      </c>
      <c r="C53" s="431"/>
      <c r="D53" s="432"/>
      <c r="E53" s="433"/>
    </row>
    <row r="54" spans="1:7" s="403" customFormat="1" ht="15.75" customHeight="1" x14ac:dyDescent="0.25">
      <c r="A54" s="409"/>
      <c r="B54" s="409"/>
      <c r="C54" s="409"/>
      <c r="D54" s="409"/>
      <c r="E54" s="409"/>
    </row>
    <row r="55" spans="1:7" s="403" customFormat="1" ht="16.5" customHeight="1" x14ac:dyDescent="0.3">
      <c r="A55" s="410" t="s">
        <v>17</v>
      </c>
      <c r="B55" s="434" t="s">
        <v>124</v>
      </c>
      <c r="C55" s="435"/>
      <c r="D55" s="435"/>
      <c r="E55" s="435"/>
    </row>
    <row r="56" spans="1:7" ht="16.5" customHeight="1" x14ac:dyDescent="0.3">
      <c r="A56" s="410"/>
      <c r="B56" s="434" t="s">
        <v>125</v>
      </c>
      <c r="C56" s="435"/>
      <c r="D56" s="435"/>
      <c r="E56" s="435"/>
    </row>
    <row r="57" spans="1:7" ht="16.5" customHeight="1" x14ac:dyDescent="0.3">
      <c r="A57" s="410"/>
      <c r="B57" s="434" t="s">
        <v>126</v>
      </c>
      <c r="C57" s="435"/>
      <c r="D57" s="435"/>
      <c r="E57" s="435"/>
    </row>
    <row r="58" spans="1:7" ht="14.25" customHeight="1" thickBot="1" x14ac:dyDescent="0.3">
      <c r="A58" s="436"/>
      <c r="B58" s="437"/>
      <c r="D58" s="438"/>
      <c r="F58" s="439"/>
      <c r="G58" s="439"/>
    </row>
    <row r="59" spans="1:7" ht="15" customHeight="1" x14ac:dyDescent="0.3">
      <c r="B59" s="543" t="s">
        <v>18</v>
      </c>
      <c r="C59" s="543"/>
      <c r="E59" s="440" t="s">
        <v>19</v>
      </c>
      <c r="F59" s="441"/>
      <c r="G59" s="440" t="s">
        <v>20</v>
      </c>
    </row>
    <row r="60" spans="1:7" ht="15" customHeight="1" x14ac:dyDescent="0.3">
      <c r="A60" s="442" t="s">
        <v>21</v>
      </c>
      <c r="B60" s="443"/>
      <c r="C60" s="443"/>
      <c r="E60" s="443"/>
      <c r="G60" s="443"/>
    </row>
    <row r="61" spans="1:7" ht="15" customHeight="1" x14ac:dyDescent="0.3">
      <c r="A61" s="442" t="s">
        <v>22</v>
      </c>
      <c r="B61" s="444"/>
      <c r="C61" s="444"/>
      <c r="E61" s="444"/>
      <c r="G61" s="445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tdf</vt:lpstr>
      <vt:lpstr>Uniformity  </vt:lpstr>
      <vt:lpstr>Tenofovir</vt:lpstr>
      <vt:lpstr>lamivudine</vt:lpstr>
      <vt:lpstr>SST (lam)</vt:lpstr>
      <vt:lpstr>lamivudine!Print_Area</vt:lpstr>
      <vt:lpstr>Tenofovir!Print_Area</vt:lpstr>
      <vt:lpstr>'Uniformity 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2016-02-29T10:21:57Z</cp:lastPrinted>
  <dcterms:created xsi:type="dcterms:W3CDTF">2005-07-05T10:19:27Z</dcterms:created>
  <dcterms:modified xsi:type="dcterms:W3CDTF">2016-03-04T10:09:49Z</dcterms:modified>
</cp:coreProperties>
</file>