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0730" windowHeight="9975" activeTab="3"/>
  </bookViews>
  <sheets>
    <sheet name="SST " sheetId="3" r:id="rId1"/>
    <sheet name="Uniformity" sheetId="2" r:id="rId2"/>
    <sheet name="Lamivudine" sheetId="4" r:id="rId3"/>
    <sheet name="Tenofovir DF " sheetId="5" r:id="rId4"/>
  </sheets>
  <externalReferences>
    <externalReference r:id="rId5"/>
  </externalReferences>
  <definedNames>
    <definedName name="_xlnm.Print_Area" localSheetId="2">Lamivudine!$A$1:$I$125</definedName>
    <definedName name="_xlnm.Print_Area" localSheetId="3">'Tenofovir DF '!$A$1:$I$126</definedName>
    <definedName name="_xlnm.Print_Area" localSheetId="1">Uniformity!$A$1:$F$44</definedName>
  </definedNames>
  <calcPr calcId="144525"/>
</workbook>
</file>

<file path=xl/calcChain.xml><?xml version="1.0" encoding="utf-8"?>
<calcChain xmlns="http://schemas.openxmlformats.org/spreadsheetml/2006/main">
  <c r="E51" i="5" l="1"/>
  <c r="B42" i="3"/>
  <c r="B21" i="3"/>
  <c r="C120" i="5"/>
  <c r="B116" i="5"/>
  <c r="D100" i="5" s="1"/>
  <c r="D101" i="5" s="1"/>
  <c r="B98" i="5"/>
  <c r="D97" i="5"/>
  <c r="D98" i="5" s="1"/>
  <c r="F95" i="5"/>
  <c r="D95" i="5"/>
  <c r="G94" i="5"/>
  <c r="E94" i="5"/>
  <c r="B87" i="5"/>
  <c r="F97" i="5" s="1"/>
  <c r="F98" i="5" s="1"/>
  <c r="B81" i="5"/>
  <c r="B83" i="5" s="1"/>
  <c r="B80" i="5"/>
  <c r="B79" i="5"/>
  <c r="C76" i="5"/>
  <c r="H71" i="5"/>
  <c r="G71" i="5"/>
  <c r="B68" i="5"/>
  <c r="B69" i="5" s="1"/>
  <c r="H67" i="5"/>
  <c r="G67" i="5"/>
  <c r="H63" i="5"/>
  <c r="G63" i="5"/>
  <c r="B57" i="5"/>
  <c r="C56" i="5"/>
  <c r="B55" i="5"/>
  <c r="D48" i="5"/>
  <c r="D49" i="5" s="1"/>
  <c r="B45" i="5"/>
  <c r="F42" i="5"/>
  <c r="D42" i="5"/>
  <c r="I39" i="5" s="1"/>
  <c r="G41" i="5"/>
  <c r="E41" i="5"/>
  <c r="B34" i="5"/>
  <c r="D44" i="5" s="1"/>
  <c r="B30" i="5"/>
  <c r="C120" i="4"/>
  <c r="B116" i="4"/>
  <c r="D100" i="4"/>
  <c r="D101" i="4" s="1"/>
  <c r="B98" i="4"/>
  <c r="F95" i="4"/>
  <c r="D95" i="4"/>
  <c r="I92" i="4" s="1"/>
  <c r="G94" i="4"/>
  <c r="E94" i="4"/>
  <c r="B87" i="4"/>
  <c r="F97" i="4" s="1"/>
  <c r="B81" i="4"/>
  <c r="B83" i="4" s="1"/>
  <c r="B80" i="4"/>
  <c r="B79" i="4"/>
  <c r="C76" i="4"/>
  <c r="H71" i="4"/>
  <c r="G71" i="4"/>
  <c r="B68" i="4"/>
  <c r="H67" i="4"/>
  <c r="G67" i="4"/>
  <c r="H63" i="4"/>
  <c r="G63" i="4"/>
  <c r="B57" i="4"/>
  <c r="C56" i="4"/>
  <c r="B55" i="4"/>
  <c r="B45" i="4"/>
  <c r="D48" i="4" s="1"/>
  <c r="D49" i="4" s="1"/>
  <c r="F42" i="4"/>
  <c r="D42" i="4"/>
  <c r="G41" i="4"/>
  <c r="E41" i="4"/>
  <c r="I39" i="4"/>
  <c r="B34" i="4"/>
  <c r="D44" i="4" s="1"/>
  <c r="D45" i="4" s="1"/>
  <c r="B30" i="4"/>
  <c r="B53" i="3"/>
  <c r="E51" i="3"/>
  <c r="D51" i="3"/>
  <c r="C51" i="3"/>
  <c r="B51" i="3"/>
  <c r="B52" i="3" s="1"/>
  <c r="B32" i="3"/>
  <c r="E30" i="3"/>
  <c r="D30" i="3"/>
  <c r="C30" i="3"/>
  <c r="B30" i="3"/>
  <c r="B31" i="3" s="1"/>
  <c r="C36" i="2"/>
  <c r="D40" i="2" s="1"/>
  <c r="C35" i="2"/>
  <c r="D31" i="2"/>
  <c r="D27" i="2"/>
  <c r="D23" i="2"/>
  <c r="D15" i="2"/>
  <c r="D45" i="5" l="1"/>
  <c r="E39" i="5" s="1"/>
  <c r="D19" i="2"/>
  <c r="B69" i="4"/>
  <c r="D97" i="4"/>
  <c r="D98" i="4" s="1"/>
  <c r="E93" i="4" s="1"/>
  <c r="I92" i="5"/>
  <c r="F98" i="4"/>
  <c r="G93" i="4" s="1"/>
  <c r="E91" i="5"/>
  <c r="E93" i="5"/>
  <c r="D99" i="5"/>
  <c r="F99" i="5"/>
  <c r="G91" i="5"/>
  <c r="D46" i="5"/>
  <c r="G92" i="5"/>
  <c r="F44" i="5"/>
  <c r="F45" i="5" s="1"/>
  <c r="F46" i="5" s="1"/>
  <c r="E40" i="5"/>
  <c r="E92" i="5"/>
  <c r="G93" i="5"/>
  <c r="D102" i="5"/>
  <c r="E91" i="4"/>
  <c r="D99" i="4"/>
  <c r="G91" i="4"/>
  <c r="E38" i="4"/>
  <c r="D46" i="4"/>
  <c r="E39" i="4"/>
  <c r="F44" i="4"/>
  <c r="F45" i="4" s="1"/>
  <c r="F46" i="4" s="1"/>
  <c r="E40" i="4"/>
  <c r="E92" i="4"/>
  <c r="D102" i="4"/>
  <c r="C40" i="2"/>
  <c r="D14" i="2"/>
  <c r="D18" i="2"/>
  <c r="D22" i="2"/>
  <c r="D26" i="2"/>
  <c r="D30" i="2"/>
  <c r="D39" i="2"/>
  <c r="D17" i="2"/>
  <c r="D21" i="2"/>
  <c r="D25" i="2"/>
  <c r="D29" i="2"/>
  <c r="D33" i="2"/>
  <c r="C39" i="2"/>
  <c r="D16" i="2"/>
  <c r="D20" i="2"/>
  <c r="D24" i="2"/>
  <c r="D28" i="2"/>
  <c r="D32" i="2"/>
  <c r="B39" i="2"/>
  <c r="G92" i="4" l="1"/>
  <c r="D103" i="4" s="1"/>
  <c r="F99" i="4"/>
  <c r="G40" i="5"/>
  <c r="E38" i="5"/>
  <c r="G40" i="4"/>
  <c r="D103" i="5"/>
  <c r="D105" i="5"/>
  <c r="E95" i="5"/>
  <c r="G38" i="5"/>
  <c r="G39" i="5"/>
  <c r="G95" i="5"/>
  <c r="E42" i="5"/>
  <c r="E42" i="4"/>
  <c r="E95" i="4"/>
  <c r="G38" i="4"/>
  <c r="G42" i="4" s="1"/>
  <c r="G39" i="4"/>
  <c r="D50" i="4" l="1"/>
  <c r="G65" i="4" s="1"/>
  <c r="H65" i="4" s="1"/>
  <c r="G42" i="5"/>
  <c r="G95" i="4"/>
  <c r="D105" i="4"/>
  <c r="E113" i="5"/>
  <c r="F113" i="5" s="1"/>
  <c r="E111" i="5"/>
  <c r="F111" i="5" s="1"/>
  <c r="E109" i="5"/>
  <c r="F109" i="5" s="1"/>
  <c r="D104" i="5"/>
  <c r="E112" i="5"/>
  <c r="F112" i="5" s="1"/>
  <c r="E110" i="5"/>
  <c r="F110" i="5" s="1"/>
  <c r="E108" i="5"/>
  <c r="D52" i="5"/>
  <c r="D50" i="5"/>
  <c r="G70" i="4"/>
  <c r="H70" i="4" s="1"/>
  <c r="D51" i="4"/>
  <c r="G69" i="4"/>
  <c r="H69" i="4" s="1"/>
  <c r="G66" i="4"/>
  <c r="H66" i="4" s="1"/>
  <c r="G62" i="4"/>
  <c r="H62" i="4" s="1"/>
  <c r="G60" i="4"/>
  <c r="G68" i="4"/>
  <c r="H68" i="4" s="1"/>
  <c r="E113" i="4"/>
  <c r="F113" i="4" s="1"/>
  <c r="E111" i="4"/>
  <c r="F111" i="4" s="1"/>
  <c r="E109" i="4"/>
  <c r="F109" i="4" s="1"/>
  <c r="D104" i="4"/>
  <c r="E112" i="4"/>
  <c r="F112" i="4" s="1"/>
  <c r="E110" i="4"/>
  <c r="F110" i="4" s="1"/>
  <c r="E108" i="4"/>
  <c r="D52" i="4"/>
  <c r="G61" i="4" l="1"/>
  <c r="H61" i="4" s="1"/>
  <c r="G64" i="4"/>
  <c r="H64" i="4" s="1"/>
  <c r="E117" i="5"/>
  <c r="F108" i="5"/>
  <c r="E115" i="5"/>
  <c r="E116" i="5" s="1"/>
  <c r="D51" i="5"/>
  <c r="G69" i="5"/>
  <c r="H69" i="5" s="1"/>
  <c r="G66" i="5"/>
  <c r="H66" i="5" s="1"/>
  <c r="G64" i="5"/>
  <c r="H64" i="5" s="1"/>
  <c r="G62" i="5"/>
  <c r="H62" i="5" s="1"/>
  <c r="G60" i="5"/>
  <c r="G68" i="5"/>
  <c r="H68" i="5" s="1"/>
  <c r="G70" i="5"/>
  <c r="H70" i="5" s="1"/>
  <c r="G65" i="5"/>
  <c r="H65" i="5" s="1"/>
  <c r="G61" i="5"/>
  <c r="H61" i="5" s="1"/>
  <c r="H60" i="4"/>
  <c r="G72" i="4"/>
  <c r="G73" i="4" s="1"/>
  <c r="E117" i="4"/>
  <c r="E115" i="4"/>
  <c r="E116" i="4" s="1"/>
  <c r="F108" i="4"/>
  <c r="G74" i="4" l="1"/>
  <c r="F115" i="5"/>
  <c r="F117" i="5"/>
  <c r="G72" i="5"/>
  <c r="G73" i="5" s="1"/>
  <c r="H60" i="5"/>
  <c r="G74" i="5"/>
  <c r="F115" i="4"/>
  <c r="F117" i="4"/>
  <c r="H74" i="4"/>
  <c r="H72" i="4"/>
  <c r="G120" i="5" l="1"/>
  <c r="F116" i="5"/>
  <c r="H74" i="5"/>
  <c r="H72" i="5"/>
  <c r="G76" i="4"/>
  <c r="H73" i="4"/>
  <c r="G120" i="4"/>
  <c r="F116" i="4"/>
  <c r="G76" i="5" l="1"/>
  <c r="H73" i="5"/>
</calcChain>
</file>

<file path=xl/sharedStrings.xml><?xml version="1.0" encoding="utf-8"?>
<sst xmlns="http://schemas.openxmlformats.org/spreadsheetml/2006/main" count="396" uniqueCount="135">
  <si>
    <t>HPLC System Suitability Report</t>
  </si>
  <si>
    <t>Analysis Data</t>
  </si>
  <si>
    <t>Assay</t>
  </si>
  <si>
    <t>Sample(s)</t>
  </si>
  <si>
    <t>Reference Substance:</t>
  </si>
  <si>
    <t>TENOFOVIR DISOPROXIL FUMARATE/ LAMIVUDINE TABLETS 300 MG/300 MG</t>
  </si>
  <si>
    <t>% age Purity:</t>
  </si>
  <si>
    <t>NDQB201602758</t>
  </si>
  <si>
    <t>Weight (mg):</t>
  </si>
  <si>
    <t xml:space="preserve">Tenofovir Disoproxil Fumarate 300mg, Lamivudine 300mg  </t>
  </si>
  <si>
    <t>Standard Conc (mg/mL):</t>
  </si>
  <si>
    <t>2016-02-18 14:13:42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</si>
  <si>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</si>
  <si>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</si>
  <si>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</si>
  <si>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</si>
  <si>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</si>
  <si>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</si>
  <si>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</si>
  <si>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</si>
  <si>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</si>
  <si>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</si>
  <si>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</si>
  <si>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</si>
  <si>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</si>
  <si>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</si>
  <si>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</si>
  <si>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</si>
  <si>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</si>
  <si>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</si>
  <si>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</si>
  <si>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</si>
  <si>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TENOFOVIR DISOPROXIL FUMARATE/ LAMIVUDINE TABLETS 300 mg/300 mg</t>
  </si>
  <si>
    <t>Laboratory Ref No:</t>
  </si>
  <si>
    <t>Active Ingredient:</t>
  </si>
  <si>
    <t xml:space="preserve">Tenofovir Disoproxil Fumarate , Lamivudine </t>
  </si>
  <si>
    <t>Label Claim:</t>
  </si>
  <si>
    <t>Each film coated tablet contains: Tenofovir disoproxil fumarate 300 mg, Lamivudine USP 300 mg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</si>
  <si>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</si>
  <si>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</si>
  <si>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</si>
  <si>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</si>
  <si>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</si>
  <si>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</si>
  <si>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</si>
  <si>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</si>
  <si>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</si>
  <si>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</si>
  <si>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</si>
  <si>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Lamivudine</t>
  </si>
  <si>
    <t>Code:</t>
  </si>
  <si>
    <t>L3-7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</si>
  <si>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</si>
  <si>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</si>
  <si>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</si>
  <si>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</si>
  <si>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</si>
  <si>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</si>
  <si>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</si>
  <si>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</si>
  <si>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</si>
  <si>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</si>
  <si>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</si>
  <si>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</si>
  <si>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</si>
  <si>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</si>
  <si>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</si>
  <si>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</si>
  <si>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</si>
  <si>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</si>
  <si>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</si>
  <si>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</si>
  <si>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</si>
  <si>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</si>
  <si>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</si>
  <si>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</si>
  <si>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</si>
  <si>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</si>
  <si>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</si>
  <si>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</si>
  <si>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</si>
  <si>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</si>
  <si>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</si>
  <si>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</si>
  <si>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</si>
  <si>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</si>
  <si>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</si>
  <si>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</si>
  <si>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</si>
  <si>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</si>
  <si>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</si>
  <si>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</si>
  <si>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</si>
  <si>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</si>
  <si>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</si>
  <si>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</si>
  <si>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</si>
  <si>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</si>
  <si>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</si>
  <si>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</si>
  <si>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</si>
  <si>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</si>
  <si>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</si>
  <si>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</si>
  <si>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</si>
  <si>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</si>
  <si>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</si>
  <si>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</si>
  <si>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</si>
  <si>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</si>
  <si>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</si>
  <si>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</si>
  <si>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</si>
  <si>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</si>
  <si>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</si>
  <si>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</si>
  <si>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</si>
  <si>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</si>
  <si>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</si>
  <si>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</si>
  <si>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</si>
  <si>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</si>
  <si>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</si>
  <si>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</si>
  <si>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</si>
  <si>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</si>
  <si>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</si>
  <si>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</si>
  <si>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Tenofovir DF</t>
  </si>
  <si>
    <t>T11-6</t>
  </si>
  <si>
    <t>NDQB201602757</t>
  </si>
  <si>
    <t xml:space="preserve">Each film coated tablet contains Tenofovir Disoproxil Fumarate 300mg, Lamivudine 300mg
Lamivudine USP 300 mg   </t>
  </si>
  <si>
    <t xml:space="preserve">Each film coated tablet contains Tenofovir Disoproxil Fumarate 300mg, lamivudine 300mg
Lamivudine USP 300 mg   </t>
  </si>
  <si>
    <t>TENOFOVIR DF</t>
  </si>
  <si>
    <t>E. Tanui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</si>
</sst>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[$-409]d/mmm/yy;@"/>
    <numFmt numFmtId="167" formatCode="0.0000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6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0"/>
      <color rgb="FF000000"/>
      <name val="Book Antiqua"/>
    </font>
    <font>
      <sz val="12"/>
      <color rgb="FF000000"/>
      <name val="Arial"/>
    </font>
    <font>
      <b/>
      <sz val="10"/>
      <color rgb="FF000000"/>
      <name val="Arial"/>
    </font>
    <font>
      <b/>
      <sz val="72"/>
      <color rgb="FF000000"/>
      <name val="Book Antiqua"/>
    </font>
    <font>
      <b/>
      <sz val="52"/>
      <color rgb="FF000000"/>
      <name val="Book Antiqua"/>
    </font>
    <font>
      <sz val="14"/>
      <color rgb="FF000000"/>
      <name val="Book Antiqua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vertAlign val="superscript"/>
      <sz val="14"/>
      <color rgb="FF000000"/>
      <name val="Book Antiqua"/>
    </font>
    <font>
      <b/>
      <sz val="12"/>
      <color rgb="FF00000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02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/>
    <xf numFmtId="0" fontId="6" fillId="0" borderId="0" xfId="0" applyFont="1" applyFill="1"/>
    <xf numFmtId="2" fontId="6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8" fillId="2" borderId="3" xfId="0" applyFont="1" applyFill="1" applyBorder="1" applyAlignment="1" applyProtection="1">
      <alignment horizontal="center"/>
      <protection locked="0"/>
    </xf>
    <xf numFmtId="2" fontId="8" fillId="2" borderId="3" xfId="0" applyNumberFormat="1" applyFont="1" applyFill="1" applyBorder="1" applyAlignment="1" applyProtection="1">
      <alignment horizontal="center"/>
      <protection locked="0"/>
    </xf>
    <xf numFmtId="2" fontId="8" fillId="2" borderId="4" xfId="0" applyNumberFormat="1" applyFont="1" applyFill="1" applyBorder="1" applyAlignment="1" applyProtection="1">
      <alignment horizontal="center"/>
      <protection locked="0"/>
    </xf>
    <xf numFmtId="0" fontId="8" fillId="2" borderId="5" xfId="0" applyFont="1" applyFill="1" applyBorder="1" applyAlignment="1" applyProtection="1">
      <alignment horizontal="center"/>
      <protection locked="0"/>
    </xf>
    <xf numFmtId="2" fontId="8" fillId="2" borderId="5" xfId="0" applyNumberFormat="1" applyFont="1" applyFill="1" applyBorder="1" applyAlignment="1" applyProtection="1">
      <alignment horizontal="center"/>
      <protection locked="0"/>
    </xf>
    <xf numFmtId="0" fontId="7" fillId="0" borderId="4" xfId="0" applyFont="1" applyFill="1" applyBorder="1"/>
    <xf numFmtId="1" fontId="6" fillId="3" borderId="2" xfId="0" applyNumberFormat="1" applyFont="1" applyFill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10" fontId="6" fillId="4" borderId="1" xfId="0" applyNumberFormat="1" applyFont="1" applyFill="1" applyBorder="1" applyAlignment="1">
      <alignment horizontal="center"/>
    </xf>
    <xf numFmtId="165" fontId="6" fillId="0" borderId="0" xfId="0" applyNumberFormat="1" applyFont="1" applyFill="1" applyAlignment="1">
      <alignment horizontal="center"/>
    </xf>
    <xf numFmtId="0" fontId="7" fillId="0" borderId="6" xfId="0" applyFont="1" applyFill="1" applyBorder="1"/>
    <xf numFmtId="0" fontId="7" fillId="0" borderId="5" xfId="0" applyFont="1" applyFill="1" applyBorder="1"/>
    <xf numFmtId="0" fontId="6" fillId="3" borderId="1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/>
    </xf>
    <xf numFmtId="0" fontId="7" fillId="0" borderId="7" xfId="0" applyFont="1" applyFill="1" applyBorder="1"/>
    <xf numFmtId="0" fontId="7" fillId="0" borderId="8" xfId="0" applyFont="1" applyFill="1" applyBorder="1"/>
    <xf numFmtId="0" fontId="7" fillId="0" borderId="0" xfId="0" applyFont="1" applyFill="1" applyAlignment="1" applyProtection="1">
      <alignment horizontal="left"/>
      <protection locked="0"/>
    </xf>
    <xf numFmtId="0" fontId="7" fillId="0" borderId="0" xfId="0" applyFont="1" applyFill="1" applyProtection="1">
      <protection locked="0"/>
    </xf>
    <xf numFmtId="0" fontId="3" fillId="0" borderId="9" xfId="0" applyFont="1" applyFill="1" applyBorder="1"/>
    <xf numFmtId="0" fontId="3" fillId="0" borderId="0" xfId="0" applyFont="1" applyFill="1" applyAlignment="1">
      <alignment horizontal="center"/>
    </xf>
    <xf numFmtId="10" fontId="3" fillId="0" borderId="9" xfId="0" applyNumberFormat="1" applyFont="1" applyFill="1" applyBorder="1"/>
    <xf numFmtId="0" fontId="0" fillId="0" borderId="0" xfId="0" applyFill="1"/>
    <xf numFmtId="0" fontId="2" fillId="0" borderId="10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right"/>
    </xf>
    <xf numFmtId="0" fontId="3" fillId="0" borderId="7" xfId="0" applyFont="1" applyFill="1" applyBorder="1"/>
    <xf numFmtId="0" fontId="2" fillId="0" borderId="11" xfId="0" applyFont="1" applyFill="1" applyBorder="1"/>
    <xf numFmtId="0" fontId="3" fillId="0" borderId="11" xfId="0" applyFont="1" applyFill="1" applyBorder="1"/>
    <xf numFmtId="0" fontId="9" fillId="0" borderId="0" xfId="1" applyFont="1" applyFill="1" applyAlignment="1">
      <alignment wrapText="1"/>
    </xf>
    <xf numFmtId="0" fontId="2" fillId="0" borderId="0" xfId="1" applyFont="1" applyFill="1"/>
    <xf numFmtId="0" fontId="5" fillId="0" borderId="0" xfId="1" applyFont="1" applyFill="1"/>
    <xf numFmtId="0" fontId="7" fillId="0" borderId="0" xfId="1" applyFont="1" applyFill="1"/>
    <xf numFmtId="166" fontId="7" fillId="0" borderId="0" xfId="1" applyNumberFormat="1" applyFont="1" applyFill="1" applyAlignment="1">
      <alignment horizontal="center"/>
    </xf>
    <xf numFmtId="0" fontId="6" fillId="0" borderId="0" xfId="1" applyFont="1" applyFill="1" applyAlignment="1">
      <alignment horizontal="right"/>
    </xf>
    <xf numFmtId="166" fontId="7" fillId="0" borderId="0" xfId="1" applyNumberFormat="1" applyFont="1" applyFill="1"/>
    <xf numFmtId="0" fontId="5" fillId="0" borderId="0" xfId="1" applyFont="1" applyFill="1" applyAlignment="1">
      <alignment horizontal="left"/>
    </xf>
    <xf numFmtId="0" fontId="10" fillId="0" borderId="0" xfId="1" applyFont="1" applyFill="1"/>
    <xf numFmtId="164" fontId="2" fillId="0" borderId="0" xfId="1" applyNumberFormat="1" applyFont="1" applyFill="1"/>
    <xf numFmtId="164" fontId="6" fillId="0" borderId="15" xfId="1" applyNumberFormat="1" applyFont="1" applyFill="1" applyBorder="1" applyAlignment="1">
      <alignment horizontal="center" wrapText="1"/>
    </xf>
    <xf numFmtId="0" fontId="6" fillId="0" borderId="15" xfId="1" applyFont="1" applyFill="1" applyBorder="1" applyAlignment="1">
      <alignment horizontal="center" wrapText="1"/>
    </xf>
    <xf numFmtId="0" fontId="3" fillId="0" borderId="0" xfId="1" applyFont="1" applyFill="1" applyAlignment="1">
      <alignment horizontal="center"/>
    </xf>
    <xf numFmtId="2" fontId="7" fillId="2" borderId="16" xfId="1" applyNumberFormat="1" applyFont="1" applyFill="1" applyBorder="1" applyProtection="1">
      <protection locked="0"/>
    </xf>
    <xf numFmtId="10" fontId="7" fillId="0" borderId="17" xfId="1" applyNumberFormat="1" applyFont="1" applyFill="1" applyBorder="1" applyAlignment="1">
      <alignment horizontal="center"/>
    </xf>
    <xf numFmtId="10" fontId="7" fillId="0" borderId="0" xfId="1" applyNumberFormat="1" applyFont="1" applyFill="1" applyAlignment="1">
      <alignment horizontal="center"/>
    </xf>
    <xf numFmtId="10" fontId="7" fillId="0" borderId="16" xfId="1" applyNumberFormat="1" applyFont="1" applyFill="1" applyBorder="1" applyAlignment="1">
      <alignment horizontal="center"/>
    </xf>
    <xf numFmtId="2" fontId="7" fillId="2" borderId="18" xfId="1" applyNumberFormat="1" applyFont="1" applyFill="1" applyBorder="1" applyProtection="1">
      <protection locked="0"/>
    </xf>
    <xf numFmtId="10" fontId="7" fillId="0" borderId="18" xfId="1" applyNumberFormat="1" applyFont="1" applyFill="1" applyBorder="1" applyAlignment="1">
      <alignment horizontal="center"/>
    </xf>
    <xf numFmtId="167" fontId="3" fillId="0" borderId="0" xfId="1" applyNumberFormat="1" applyFont="1" applyFill="1" applyAlignment="1">
      <alignment horizontal="center"/>
    </xf>
    <xf numFmtId="10" fontId="3" fillId="0" borderId="0" xfId="1" applyNumberFormat="1" applyFont="1" applyFill="1" applyAlignment="1">
      <alignment horizontal="center"/>
    </xf>
    <xf numFmtId="0" fontId="7" fillId="0" borderId="15" xfId="1" applyFont="1" applyFill="1" applyBorder="1" applyAlignment="1">
      <alignment horizontal="right" vertical="center"/>
    </xf>
    <xf numFmtId="167" fontId="7" fillId="0" borderId="15" xfId="1" applyNumberFormat="1" applyFont="1" applyFill="1" applyBorder="1" applyAlignment="1">
      <alignment horizontal="center" vertical="center"/>
    </xf>
    <xf numFmtId="167" fontId="7" fillId="0" borderId="0" xfId="1" applyNumberFormat="1" applyFont="1" applyFill="1" applyAlignment="1">
      <alignment horizontal="center"/>
    </xf>
    <xf numFmtId="164" fontId="6" fillId="0" borderId="15" xfId="1" applyNumberFormat="1" applyFont="1" applyFill="1" applyBorder="1" applyAlignment="1">
      <alignment horizontal="center" vertical="center"/>
    </xf>
    <xf numFmtId="2" fontId="11" fillId="0" borderId="0" xfId="1" applyNumberFormat="1" applyFont="1" applyFill="1" applyAlignment="1">
      <alignment horizontal="right"/>
    </xf>
    <xf numFmtId="2" fontId="6" fillId="0" borderId="0" xfId="1" applyNumberFormat="1" applyFont="1" applyFill="1"/>
    <xf numFmtId="2" fontId="11" fillId="0" borderId="0" xfId="1" applyNumberFormat="1" applyFont="1" applyFill="1"/>
    <xf numFmtId="0" fontId="6" fillId="0" borderId="15" xfId="1" applyFont="1" applyFill="1" applyBorder="1" applyAlignment="1">
      <alignment horizontal="center" vertical="center"/>
    </xf>
    <xf numFmtId="10" fontId="3" fillId="0" borderId="0" xfId="1" applyNumberFormat="1" applyFont="1" applyFill="1"/>
    <xf numFmtId="165" fontId="6" fillId="0" borderId="19" xfId="1" applyNumberFormat="1" applyFont="1" applyFill="1" applyBorder="1" applyAlignment="1">
      <alignment horizontal="center"/>
    </xf>
    <xf numFmtId="2" fontId="6" fillId="0" borderId="15" xfId="1" applyNumberFormat="1" applyFont="1" applyFill="1" applyBorder="1" applyAlignment="1">
      <alignment horizontal="center" vertical="center"/>
    </xf>
    <xf numFmtId="165" fontId="6" fillId="0" borderId="20" xfId="1" applyNumberFormat="1" applyFont="1" applyFill="1" applyBorder="1" applyAlignment="1">
      <alignment horizontal="center"/>
    </xf>
    <xf numFmtId="0" fontId="7" fillId="0" borderId="9" xfId="1" applyFont="1" applyFill="1" applyBorder="1"/>
    <xf numFmtId="0" fontId="7" fillId="0" borderId="0" xfId="1" applyFont="1" applyFill="1" applyAlignment="1">
      <alignment horizontal="center"/>
    </xf>
    <xf numFmtId="10" fontId="7" fillId="0" borderId="9" xfId="1" applyNumberFormat="1" applyFont="1" applyFill="1" applyBorder="1"/>
    <xf numFmtId="0" fontId="6" fillId="0" borderId="10" xfId="1" applyFont="1" applyFill="1" applyBorder="1"/>
    <xf numFmtId="0" fontId="6" fillId="0" borderId="10" xfId="1" applyFont="1" applyFill="1" applyBorder="1" applyAlignment="1">
      <alignment horizontal="center"/>
    </xf>
    <xf numFmtId="0" fontId="7" fillId="0" borderId="10" xfId="1" applyFont="1" applyFill="1" applyBorder="1" applyAlignment="1">
      <alignment horizontal="center"/>
    </xf>
    <xf numFmtId="0" fontId="7" fillId="0" borderId="7" xfId="1" applyFont="1" applyFill="1" applyBorder="1"/>
    <xf numFmtId="0" fontId="7" fillId="0" borderId="11" xfId="1" applyFont="1" applyFill="1" applyBorder="1"/>
    <xf numFmtId="0" fontId="0" fillId="0" borderId="0" xfId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 applyAlignment="1" applyProtection="1">
      <alignment horizontal="right"/>
      <protection locked="0"/>
    </xf>
    <xf numFmtId="0" fontId="18" fillId="0" borderId="0" xfId="0" applyFont="1" applyFill="1" applyAlignment="1" applyProtection="1">
      <alignment horizontal="left"/>
      <protection locked="0"/>
    </xf>
    <xf numFmtId="0" fontId="19" fillId="0" borderId="0" xfId="0" applyFont="1" applyFill="1"/>
    <xf numFmtId="0" fontId="19" fillId="2" borderId="0" xfId="0" applyFont="1" applyFill="1" applyAlignment="1" applyProtection="1">
      <alignment horizontal="left"/>
      <protection locked="0"/>
    </xf>
    <xf numFmtId="0" fontId="14" fillId="2" borderId="0" xfId="0" applyFont="1" applyFill="1" applyProtection="1">
      <protection locked="0"/>
    </xf>
    <xf numFmtId="168" fontId="19" fillId="2" borderId="0" xfId="0" applyNumberFormat="1" applyFont="1" applyFill="1" applyAlignment="1" applyProtection="1">
      <alignment horizontal="center"/>
      <protection locked="0"/>
    </xf>
    <xf numFmtId="169" fontId="14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7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/>
    </xf>
    <xf numFmtId="0" fontId="18" fillId="2" borderId="0" xfId="0" applyFont="1" applyFill="1" applyAlignment="1" applyProtection="1">
      <alignment horizontal="center"/>
      <protection locked="0"/>
    </xf>
    <xf numFmtId="0" fontId="19" fillId="2" borderId="0" xfId="0" applyFont="1" applyFill="1" applyAlignment="1" applyProtection="1">
      <alignment horizontal="center"/>
      <protection locked="0"/>
    </xf>
    <xf numFmtId="0" fontId="20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center"/>
    </xf>
    <xf numFmtId="0" fontId="21" fillId="0" borderId="0" xfId="0" applyFont="1" applyFill="1"/>
    <xf numFmtId="0" fontId="22" fillId="0" borderId="0" xfId="0" applyFont="1" applyFill="1"/>
    <xf numFmtId="2" fontId="18" fillId="2" borderId="0" xfId="0" applyNumberFormat="1" applyFont="1" applyFill="1" applyAlignment="1" applyProtection="1">
      <alignment horizontal="center"/>
      <protection locked="0"/>
    </xf>
    <xf numFmtId="0" fontId="17" fillId="0" borderId="0" xfId="0" applyFont="1" applyFill="1" applyAlignment="1">
      <alignment vertical="center" wrapText="1"/>
    </xf>
    <xf numFmtId="0" fontId="23" fillId="0" borderId="0" xfId="0" applyFont="1" applyFill="1"/>
    <xf numFmtId="2" fontId="17" fillId="0" borderId="0" xfId="0" applyNumberFormat="1" applyFont="1" applyFill="1" applyAlignment="1">
      <alignment horizontal="center"/>
    </xf>
    <xf numFmtId="0" fontId="15" fillId="0" borderId="0" xfId="0" applyFont="1" applyFill="1" applyAlignment="1">
      <alignment horizontal="left" vertical="center" wrapText="1"/>
    </xf>
    <xf numFmtId="170" fontId="17" fillId="0" borderId="0" xfId="0" applyNumberFormat="1" applyFont="1" applyFill="1" applyAlignment="1">
      <alignment horizontal="center"/>
    </xf>
    <xf numFmtId="0" fontId="14" fillId="0" borderId="21" xfId="0" applyFont="1" applyFill="1" applyBorder="1" applyAlignment="1">
      <alignment horizontal="right"/>
    </xf>
    <xf numFmtId="0" fontId="18" fillId="2" borderId="22" xfId="0" applyFont="1" applyFill="1" applyBorder="1" applyAlignment="1" applyProtection="1">
      <alignment horizontal="center"/>
      <protection locked="0"/>
    </xf>
    <xf numFmtId="0" fontId="14" fillId="0" borderId="26" xfId="0" applyFont="1" applyFill="1" applyBorder="1" applyAlignment="1">
      <alignment horizontal="right"/>
    </xf>
    <xf numFmtId="0" fontId="18" fillId="2" borderId="27" xfId="0" applyFont="1" applyFill="1" applyBorder="1" applyAlignment="1" applyProtection="1">
      <alignment horizontal="center"/>
      <protection locked="0"/>
    </xf>
    <xf numFmtId="0" fontId="17" fillId="0" borderId="22" xfId="0" applyFont="1" applyFill="1" applyBorder="1" applyAlignment="1">
      <alignment horizontal="center"/>
    </xf>
    <xf numFmtId="0" fontId="17" fillId="0" borderId="28" xfId="0" applyFont="1" applyFill="1" applyBorder="1" applyAlignment="1">
      <alignment horizontal="center"/>
    </xf>
    <xf numFmtId="0" fontId="17" fillId="0" borderId="29" xfId="0" applyFont="1" applyFill="1" applyBorder="1" applyAlignment="1">
      <alignment horizontal="center"/>
    </xf>
    <xf numFmtId="0" fontId="17" fillId="0" borderId="30" xfId="0" applyFont="1" applyFill="1" applyBorder="1" applyAlignment="1">
      <alignment horizontal="center"/>
    </xf>
    <xf numFmtId="0" fontId="17" fillId="0" borderId="15" xfId="0" applyFont="1" applyFill="1" applyBorder="1" applyAlignment="1">
      <alignment horizontal="center"/>
    </xf>
    <xf numFmtId="0" fontId="14" fillId="0" borderId="31" xfId="0" applyFont="1" applyFill="1" applyBorder="1" applyAlignment="1">
      <alignment horizontal="center"/>
    </xf>
    <xf numFmtId="0" fontId="18" fillId="2" borderId="32" xfId="0" applyFont="1" applyFill="1" applyBorder="1" applyAlignment="1" applyProtection="1">
      <alignment horizontal="center"/>
      <protection locked="0"/>
    </xf>
    <xf numFmtId="171" fontId="14" fillId="0" borderId="29" xfId="0" applyNumberFormat="1" applyFont="1" applyFill="1" applyBorder="1" applyAlignment="1">
      <alignment horizontal="center"/>
    </xf>
    <xf numFmtId="171" fontId="14" fillId="0" borderId="33" xfId="0" applyNumberFormat="1" applyFont="1" applyFill="1" applyBorder="1" applyAlignment="1">
      <alignment horizontal="center"/>
    </xf>
    <xf numFmtId="0" fontId="23" fillId="0" borderId="17" xfId="0" applyFont="1" applyFill="1" applyBorder="1"/>
    <xf numFmtId="0" fontId="14" fillId="0" borderId="27" xfId="0" applyFont="1" applyFill="1" applyBorder="1" applyAlignment="1">
      <alignment horizontal="center"/>
    </xf>
    <xf numFmtId="0" fontId="18" fillId="2" borderId="26" xfId="0" applyFont="1" applyFill="1" applyBorder="1" applyAlignment="1" applyProtection="1">
      <alignment horizontal="center"/>
      <protection locked="0"/>
    </xf>
    <xf numFmtId="171" fontId="14" fillId="0" borderId="34" xfId="0" applyNumberFormat="1" applyFont="1" applyFill="1" applyBorder="1" applyAlignment="1">
      <alignment horizontal="center"/>
    </xf>
    <xf numFmtId="171" fontId="14" fillId="0" borderId="35" xfId="0" applyNumberFormat="1" applyFont="1" applyFill="1" applyBorder="1" applyAlignment="1">
      <alignment horizontal="center"/>
    </xf>
    <xf numFmtId="0" fontId="14" fillId="0" borderId="36" xfId="0" applyFont="1" applyFill="1" applyBorder="1" applyAlignment="1">
      <alignment horizontal="center"/>
    </xf>
    <xf numFmtId="0" fontId="18" fillId="2" borderId="37" xfId="0" applyFont="1" applyFill="1" applyBorder="1" applyAlignment="1" applyProtection="1">
      <alignment horizontal="center"/>
      <protection locked="0"/>
    </xf>
    <xf numFmtId="171" fontId="14" fillId="0" borderId="38" xfId="0" applyNumberFormat="1" applyFont="1" applyFill="1" applyBorder="1" applyAlignment="1">
      <alignment horizontal="center"/>
    </xf>
    <xf numFmtId="171" fontId="14" fillId="0" borderId="39" xfId="0" applyNumberFormat="1" applyFont="1" applyFill="1" applyBorder="1" applyAlignment="1">
      <alignment horizontal="center"/>
    </xf>
    <xf numFmtId="0" fontId="14" fillId="0" borderId="18" xfId="0" applyFont="1" applyFill="1" applyBorder="1"/>
    <xf numFmtId="0" fontId="14" fillId="0" borderId="27" xfId="0" applyFont="1" applyFill="1" applyBorder="1" applyAlignment="1">
      <alignment horizontal="right"/>
    </xf>
    <xf numFmtId="1" fontId="17" fillId="5" borderId="40" xfId="0" applyNumberFormat="1" applyFont="1" applyFill="1" applyBorder="1" applyAlignment="1">
      <alignment horizontal="center"/>
    </xf>
    <xf numFmtId="171" fontId="17" fillId="5" borderId="41" xfId="0" applyNumberFormat="1" applyFont="1" applyFill="1" applyBorder="1" applyAlignment="1">
      <alignment horizontal="center"/>
    </xf>
    <xf numFmtId="171" fontId="17" fillId="5" borderId="42" xfId="0" applyNumberFormat="1" applyFont="1" applyFill="1" applyBorder="1" applyAlignment="1">
      <alignment horizontal="center"/>
    </xf>
    <xf numFmtId="0" fontId="14" fillId="0" borderId="24" xfId="0" applyFont="1" applyFill="1" applyBorder="1" applyAlignment="1">
      <alignment horizontal="right"/>
    </xf>
    <xf numFmtId="0" fontId="18" fillId="2" borderId="19" xfId="0" applyFont="1" applyFill="1" applyBorder="1" applyAlignment="1" applyProtection="1">
      <alignment horizontal="center"/>
      <protection locked="0"/>
    </xf>
    <xf numFmtId="0" fontId="14" fillId="0" borderId="11" xfId="0" applyFont="1" applyFill="1" applyBorder="1" applyAlignment="1">
      <alignment horizontal="right"/>
    </xf>
    <xf numFmtId="2" fontId="14" fillId="5" borderId="43" xfId="0" applyNumberFormat="1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2" fontId="14" fillId="6" borderId="43" xfId="0" applyNumberFormat="1" applyFont="1" applyFill="1" applyBorder="1" applyAlignment="1">
      <alignment horizontal="center"/>
    </xf>
    <xf numFmtId="2" fontId="14" fillId="0" borderId="0" xfId="0" applyNumberFormat="1" applyFont="1" applyFill="1" applyAlignment="1">
      <alignment horizontal="center"/>
    </xf>
    <xf numFmtId="167" fontId="14" fillId="5" borderId="43" xfId="0" applyNumberFormat="1" applyFont="1" applyFill="1" applyBorder="1" applyAlignment="1">
      <alignment horizontal="center"/>
    </xf>
    <xf numFmtId="167" fontId="14" fillId="0" borderId="0" xfId="0" applyNumberFormat="1" applyFont="1" applyFill="1" applyAlignment="1">
      <alignment horizontal="center"/>
    </xf>
    <xf numFmtId="167" fontId="14" fillId="5" borderId="20" xfId="0" applyNumberFormat="1" applyFont="1" applyFill="1" applyBorder="1" applyAlignment="1">
      <alignment horizontal="center"/>
    </xf>
    <xf numFmtId="0" fontId="14" fillId="0" borderId="46" xfId="0" applyFont="1" applyFill="1" applyBorder="1" applyAlignment="1">
      <alignment horizontal="right"/>
    </xf>
    <xf numFmtId="167" fontId="18" fillId="2" borderId="43" xfId="0" applyNumberFormat="1" applyFont="1" applyFill="1" applyBorder="1" applyAlignment="1" applyProtection="1">
      <alignment horizontal="center"/>
      <protection locked="0"/>
    </xf>
    <xf numFmtId="167" fontId="14" fillId="0" borderId="0" xfId="0" applyNumberFormat="1" applyFont="1" applyFill="1"/>
    <xf numFmtId="0" fontId="14" fillId="0" borderId="32" xfId="0" applyFont="1" applyFill="1" applyBorder="1" applyAlignment="1">
      <alignment horizontal="right"/>
    </xf>
    <xf numFmtId="1" fontId="14" fillId="0" borderId="0" xfId="0" applyNumberFormat="1" applyFont="1" applyFill="1" applyAlignment="1">
      <alignment horizontal="center"/>
    </xf>
    <xf numFmtId="0" fontId="14" fillId="0" borderId="18" xfId="0" applyFont="1" applyFill="1" applyBorder="1" applyAlignment="1">
      <alignment horizontal="right"/>
    </xf>
    <xf numFmtId="2" fontId="14" fillId="5" borderId="18" xfId="0" applyNumberFormat="1" applyFont="1" applyFill="1" applyBorder="1" applyAlignment="1">
      <alignment horizontal="center"/>
    </xf>
    <xf numFmtId="171" fontId="17" fillId="6" borderId="17" xfId="0" applyNumberFormat="1" applyFont="1" applyFill="1" applyBorder="1" applyAlignment="1">
      <alignment horizontal="center"/>
    </xf>
    <xf numFmtId="171" fontId="14" fillId="0" borderId="0" xfId="0" applyNumberFormat="1" applyFont="1" applyFill="1" applyAlignment="1">
      <alignment horizontal="center"/>
    </xf>
    <xf numFmtId="10" fontId="14" fillId="5" borderId="43" xfId="0" applyNumberFormat="1" applyFont="1" applyFill="1" applyBorder="1" applyAlignment="1">
      <alignment horizontal="center"/>
    </xf>
    <xf numFmtId="0" fontId="14" fillId="0" borderId="44" xfId="0" applyFont="1" applyFill="1" applyBorder="1" applyAlignment="1">
      <alignment horizontal="right"/>
    </xf>
    <xf numFmtId="0" fontId="14" fillId="6" borderId="18" xfId="0" applyFont="1" applyFill="1" applyBorder="1" applyAlignment="1">
      <alignment horizontal="center"/>
    </xf>
    <xf numFmtId="0" fontId="4" fillId="0" borderId="0" xfId="0" applyFont="1" applyFill="1"/>
    <xf numFmtId="0" fontId="17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172" fontId="18" fillId="2" borderId="0" xfId="0" applyNumberFormat="1" applyFont="1" applyFill="1" applyAlignment="1" applyProtection="1">
      <alignment horizontal="center"/>
      <protection locked="0"/>
    </xf>
    <xf numFmtId="167" fontId="17" fillId="0" borderId="0" xfId="0" applyNumberFormat="1" applyFont="1" applyFill="1" applyAlignment="1" applyProtection="1">
      <alignment horizontal="center"/>
      <protection locked="0"/>
    </xf>
    <xf numFmtId="2" fontId="17" fillId="0" borderId="17" xfId="0" applyNumberFormat="1" applyFont="1" applyFill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center"/>
    </xf>
    <xf numFmtId="0" fontId="18" fillId="2" borderId="21" xfId="0" applyFont="1" applyFill="1" applyBorder="1" applyAlignment="1" applyProtection="1">
      <alignment horizontal="center"/>
      <protection locked="0"/>
    </xf>
    <xf numFmtId="167" fontId="14" fillId="0" borderId="21" xfId="0" applyNumberFormat="1" applyFont="1" applyFill="1" applyBorder="1" applyAlignment="1">
      <alignment horizontal="center"/>
    </xf>
    <xf numFmtId="10" fontId="14" fillId="0" borderId="17" xfId="0" applyNumberFormat="1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/>
    </xf>
    <xf numFmtId="167" fontId="14" fillId="0" borderId="26" xfId="0" applyNumberFormat="1" applyFont="1" applyFill="1" applyBorder="1" applyAlignment="1">
      <alignment horizontal="center"/>
    </xf>
    <xf numFmtId="10" fontId="14" fillId="0" borderId="16" xfId="0" applyNumberFormat="1" applyFont="1" applyFill="1" applyBorder="1" applyAlignment="1">
      <alignment horizontal="center" vertical="center"/>
    </xf>
    <xf numFmtId="1" fontId="18" fillId="2" borderId="26" xfId="0" applyNumberFormat="1" applyFont="1" applyFill="1" applyBorder="1" applyAlignment="1" applyProtection="1">
      <alignment horizontal="center"/>
      <protection locked="0"/>
    </xf>
    <xf numFmtId="0" fontId="14" fillId="0" borderId="18" xfId="0" applyFont="1" applyFill="1" applyBorder="1" applyAlignment="1">
      <alignment horizontal="center"/>
    </xf>
    <xf numFmtId="0" fontId="18" fillId="2" borderId="44" xfId="0" applyFont="1" applyFill="1" applyBorder="1" applyAlignment="1" applyProtection="1">
      <alignment horizontal="center"/>
      <protection locked="0"/>
    </xf>
    <xf numFmtId="167" fontId="14" fillId="0" borderId="17" xfId="0" applyNumberFormat="1" applyFont="1" applyFill="1" applyBorder="1" applyAlignment="1">
      <alignment horizontal="center"/>
    </xf>
    <xf numFmtId="10" fontId="14" fillId="0" borderId="22" xfId="0" applyNumberFormat="1" applyFont="1" applyFill="1" applyBorder="1" applyAlignment="1">
      <alignment horizontal="center" vertical="center"/>
    </xf>
    <xf numFmtId="167" fontId="14" fillId="0" borderId="16" xfId="0" applyNumberFormat="1" applyFont="1" applyFill="1" applyBorder="1" applyAlignment="1">
      <alignment horizontal="center"/>
    </xf>
    <xf numFmtId="10" fontId="14" fillId="0" borderId="27" xfId="0" applyNumberFormat="1" applyFont="1" applyFill="1" applyBorder="1" applyAlignment="1">
      <alignment horizontal="center" vertical="center"/>
    </xf>
    <xf numFmtId="167" fontId="14" fillId="0" borderId="18" xfId="0" applyNumberFormat="1" applyFont="1" applyFill="1" applyBorder="1" applyAlignment="1">
      <alignment horizontal="center"/>
    </xf>
    <xf numFmtId="10" fontId="14" fillId="0" borderId="45" xfId="0" applyNumberFormat="1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/>
    </xf>
    <xf numFmtId="2" fontId="19" fillId="0" borderId="45" xfId="0" applyNumberFormat="1" applyFont="1" applyFill="1" applyBorder="1" applyAlignment="1">
      <alignment horizontal="center"/>
    </xf>
    <xf numFmtId="10" fontId="14" fillId="0" borderId="18" xfId="0" applyNumberFormat="1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right"/>
    </xf>
    <xf numFmtId="2" fontId="18" fillId="6" borderId="36" xfId="0" applyNumberFormat="1" applyFont="1" applyFill="1" applyBorder="1" applyAlignment="1">
      <alignment horizontal="center"/>
    </xf>
    <xf numFmtId="10" fontId="18" fillId="6" borderId="36" xfId="0" applyNumberFormat="1" applyFont="1" applyFill="1" applyBorder="1" applyAlignment="1">
      <alignment horizontal="center"/>
    </xf>
    <xf numFmtId="0" fontId="14" fillId="0" borderId="43" xfId="0" applyFont="1" applyFill="1" applyBorder="1" applyAlignment="1">
      <alignment horizontal="right"/>
    </xf>
    <xf numFmtId="10" fontId="18" fillId="5" borderId="48" xfId="0" applyNumberFormat="1" applyFont="1" applyFill="1" applyBorder="1" applyAlignment="1">
      <alignment horizontal="center"/>
    </xf>
    <xf numFmtId="0" fontId="14" fillId="0" borderId="20" xfId="0" applyFont="1" applyFill="1" applyBorder="1" applyAlignment="1">
      <alignment horizontal="right"/>
    </xf>
    <xf numFmtId="0" fontId="18" fillId="6" borderId="49" xfId="0" applyFont="1" applyFill="1" applyBorder="1" applyAlignment="1">
      <alignment horizontal="center"/>
    </xf>
    <xf numFmtId="165" fontId="18" fillId="0" borderId="0" xfId="0" applyNumberFormat="1" applyFont="1" applyFill="1" applyAlignment="1">
      <alignment horizontal="center"/>
    </xf>
    <xf numFmtId="0" fontId="17" fillId="0" borderId="23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33" xfId="0" applyFont="1" applyFill="1" applyBorder="1" applyAlignment="1">
      <alignment horizontal="center"/>
    </xf>
    <xf numFmtId="0" fontId="14" fillId="0" borderId="50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171" fontId="18" fillId="2" borderId="37" xfId="0" applyNumberFormat="1" applyFont="1" applyFill="1" applyBorder="1" applyAlignment="1" applyProtection="1">
      <alignment horizontal="center"/>
      <protection locked="0"/>
    </xf>
    <xf numFmtId="1" fontId="17" fillId="5" borderId="51" xfId="0" applyNumberFormat="1" applyFont="1" applyFill="1" applyBorder="1" applyAlignment="1">
      <alignment horizontal="center"/>
    </xf>
    <xf numFmtId="1" fontId="17" fillId="5" borderId="52" xfId="0" applyNumberFormat="1" applyFont="1" applyFill="1" applyBorder="1" applyAlignment="1">
      <alignment horizontal="center"/>
    </xf>
    <xf numFmtId="171" fontId="17" fillId="5" borderId="18" xfId="0" applyNumberFormat="1" applyFont="1" applyFill="1" applyBorder="1" applyAlignment="1">
      <alignment horizontal="center"/>
    </xf>
    <xf numFmtId="0" fontId="14" fillId="0" borderId="53" xfId="0" applyFont="1" applyFill="1" applyBorder="1" applyAlignment="1">
      <alignment horizontal="right"/>
    </xf>
    <xf numFmtId="0" fontId="18" fillId="2" borderId="54" xfId="0" applyFont="1" applyFill="1" applyBorder="1" applyAlignment="1" applyProtection="1">
      <alignment horizontal="center"/>
      <protection locked="0"/>
    </xf>
    <xf numFmtId="0" fontId="14" fillId="0" borderId="28" xfId="0" applyFont="1" applyFill="1" applyBorder="1" applyAlignment="1">
      <alignment horizontal="right"/>
    </xf>
    <xf numFmtId="2" fontId="14" fillId="5" borderId="30" xfId="0" applyNumberFormat="1" applyFont="1" applyFill="1" applyBorder="1" applyAlignment="1">
      <alignment horizontal="center"/>
    </xf>
    <xf numFmtId="2" fontId="14" fillId="6" borderId="30" xfId="0" applyNumberFormat="1" applyFont="1" applyFill="1" applyBorder="1" applyAlignment="1">
      <alignment horizontal="center"/>
    </xf>
    <xf numFmtId="167" fontId="14" fillId="5" borderId="30" xfId="0" applyNumberFormat="1" applyFont="1" applyFill="1" applyBorder="1" applyAlignment="1">
      <alignment horizontal="center"/>
    </xf>
    <xf numFmtId="167" fontId="14" fillId="6" borderId="30" xfId="0" applyNumberFormat="1" applyFont="1" applyFill="1" applyBorder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14" fillId="0" borderId="55" xfId="0" applyFont="1" applyFill="1" applyBorder="1" applyAlignment="1">
      <alignment horizontal="right"/>
    </xf>
    <xf numFmtId="2" fontId="14" fillId="6" borderId="33" xfId="0" applyNumberFormat="1" applyFont="1" applyFill="1" applyBorder="1" applyAlignment="1">
      <alignment horizontal="center"/>
    </xf>
    <xf numFmtId="0" fontId="17" fillId="0" borderId="0" xfId="0" applyFont="1" applyFill="1" applyAlignment="1">
      <alignment horizontal="center" wrapText="1"/>
    </xf>
    <xf numFmtId="0" fontId="14" fillId="0" borderId="19" xfId="0" applyFont="1" applyFill="1" applyBorder="1" applyAlignment="1">
      <alignment horizontal="right"/>
    </xf>
    <xf numFmtId="171" fontId="17" fillId="6" borderId="19" xfId="0" applyNumberFormat="1" applyFont="1" applyFill="1" applyBorder="1" applyAlignment="1">
      <alignment horizontal="center"/>
    </xf>
    <xf numFmtId="10" fontId="14" fillId="0" borderId="0" xfId="0" applyNumberFormat="1" applyFont="1" applyFill="1" applyAlignment="1">
      <alignment horizontal="center"/>
    </xf>
    <xf numFmtId="10" fontId="17" fillId="5" borderId="43" xfId="0" applyNumberFormat="1" applyFont="1" applyFill="1" applyBorder="1" applyAlignment="1">
      <alignment horizontal="center"/>
    </xf>
    <xf numFmtId="0" fontId="17" fillId="6" borderId="20" xfId="0" applyFont="1" applyFill="1" applyBorder="1" applyAlignment="1">
      <alignment horizontal="center"/>
    </xf>
    <xf numFmtId="0" fontId="17" fillId="0" borderId="56" xfId="0" applyFont="1" applyFill="1" applyBorder="1" applyAlignment="1">
      <alignment horizontal="center"/>
    </xf>
    <xf numFmtId="0" fontId="17" fillId="0" borderId="57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 wrapText="1"/>
    </xf>
    <xf numFmtId="0" fontId="14" fillId="0" borderId="26" xfId="0" applyFont="1" applyFill="1" applyBorder="1" applyAlignment="1">
      <alignment horizontal="center"/>
    </xf>
    <xf numFmtId="1" fontId="18" fillId="2" borderId="34" xfId="0" applyNumberFormat="1" applyFont="1" applyFill="1" applyBorder="1" applyAlignment="1" applyProtection="1">
      <alignment horizontal="center"/>
      <protection locked="0"/>
    </xf>
    <xf numFmtId="167" fontId="14" fillId="0" borderId="29" xfId="0" applyNumberFormat="1" applyFont="1" applyFill="1" applyBorder="1" applyAlignment="1">
      <alignment horizontal="center"/>
    </xf>
    <xf numFmtId="10" fontId="14" fillId="0" borderId="33" xfId="0" applyNumberFormat="1" applyFont="1" applyFill="1" applyBorder="1" applyAlignment="1">
      <alignment horizontal="center"/>
    </xf>
    <xf numFmtId="167" fontId="14" fillId="0" borderId="34" xfId="0" applyNumberFormat="1" applyFont="1" applyFill="1" applyBorder="1" applyAlignment="1">
      <alignment horizontal="center"/>
    </xf>
    <xf numFmtId="10" fontId="14" fillId="0" borderId="35" xfId="0" applyNumberFormat="1" applyFont="1" applyFill="1" applyBorder="1" applyAlignment="1">
      <alignment horizontal="center"/>
    </xf>
    <xf numFmtId="0" fontId="14" fillId="0" borderId="37" xfId="0" applyFont="1" applyFill="1" applyBorder="1" applyAlignment="1">
      <alignment horizontal="center"/>
    </xf>
    <xf numFmtId="1" fontId="18" fillId="2" borderId="38" xfId="0" applyNumberFormat="1" applyFont="1" applyFill="1" applyBorder="1" applyAlignment="1" applyProtection="1">
      <alignment horizontal="center"/>
      <protection locked="0"/>
    </xf>
    <xf numFmtId="167" fontId="14" fillId="0" borderId="38" xfId="0" applyNumberFormat="1" applyFont="1" applyFill="1" applyBorder="1" applyAlignment="1">
      <alignment horizontal="center"/>
    </xf>
    <xf numFmtId="10" fontId="14" fillId="0" borderId="39" xfId="0" applyNumberFormat="1" applyFont="1" applyFill="1" applyBorder="1" applyAlignment="1">
      <alignment horizontal="center"/>
    </xf>
    <xf numFmtId="2" fontId="14" fillId="0" borderId="27" xfId="0" applyNumberFormat="1" applyFont="1" applyFill="1" applyBorder="1" applyAlignment="1">
      <alignment horizontal="center"/>
    </xf>
    <xf numFmtId="171" fontId="14" fillId="0" borderId="2" xfId="0" applyNumberFormat="1" applyFont="1" applyFill="1" applyBorder="1" applyAlignment="1">
      <alignment horizontal="right"/>
    </xf>
    <xf numFmtId="2" fontId="18" fillId="6" borderId="30" xfId="0" applyNumberFormat="1" applyFont="1" applyFill="1" applyBorder="1" applyAlignment="1">
      <alignment horizontal="center"/>
    </xf>
    <xf numFmtId="10" fontId="18" fillId="6" borderId="30" xfId="0" applyNumberFormat="1" applyFont="1" applyFill="1" applyBorder="1" applyAlignment="1">
      <alignment horizontal="center"/>
    </xf>
    <xf numFmtId="0" fontId="14" fillId="0" borderId="26" xfId="0" applyFont="1" applyFill="1" applyBorder="1"/>
    <xf numFmtId="10" fontId="18" fillId="5" borderId="30" xfId="0" applyNumberFormat="1" applyFont="1" applyFill="1" applyBorder="1" applyAlignment="1">
      <alignment horizontal="center"/>
    </xf>
    <xf numFmtId="0" fontId="14" fillId="0" borderId="44" xfId="0" applyFont="1" applyFill="1" applyBorder="1"/>
    <xf numFmtId="0" fontId="14" fillId="0" borderId="58" xfId="0" applyFont="1" applyFill="1" applyBorder="1" applyAlignment="1">
      <alignment horizontal="right"/>
    </xf>
    <xf numFmtId="0" fontId="18" fillId="6" borderId="20" xfId="0" applyFont="1" applyFill="1" applyBorder="1" applyAlignment="1">
      <alignment horizontal="center"/>
    </xf>
    <xf numFmtId="0" fontId="15" fillId="0" borderId="0" xfId="0" applyFont="1" applyFill="1" applyAlignment="1">
      <alignment horizontal="righ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4" fillId="0" borderId="9" xfId="0" applyFont="1" applyFill="1" applyBorder="1"/>
    <xf numFmtId="0" fontId="14" fillId="0" borderId="10" xfId="0" applyFont="1" applyFill="1" applyBorder="1" applyAlignment="1">
      <alignment horizontal="center"/>
    </xf>
    <xf numFmtId="0" fontId="14" fillId="0" borderId="7" xfId="0" applyFont="1" applyFill="1" applyBorder="1"/>
    <xf numFmtId="0" fontId="17" fillId="0" borderId="11" xfId="0" applyFont="1" applyFill="1" applyBorder="1"/>
    <xf numFmtId="0" fontId="14" fillId="0" borderId="11" xfId="0" applyFont="1" applyFill="1" applyBorder="1"/>
    <xf numFmtId="0" fontId="25" fillId="0" borderId="0" xfId="0" applyFont="1" applyFill="1"/>
    <xf numFmtId="2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2" fillId="0" borderId="10" xfId="0" applyFont="1" applyFill="1" applyBorder="1" applyAlignment="1">
      <alignment horizontal="center"/>
    </xf>
    <xf numFmtId="167" fontId="6" fillId="0" borderId="17" xfId="1" applyNumberFormat="1" applyFont="1" applyFill="1" applyBorder="1" applyAlignment="1">
      <alignment horizontal="center" vertical="center"/>
    </xf>
    <xf numFmtId="167" fontId="6" fillId="0" borderId="18" xfId="1" applyNumberFormat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wrapText="1"/>
    </xf>
    <xf numFmtId="0" fontId="9" fillId="0" borderId="13" xfId="1" applyFont="1" applyFill="1" applyBorder="1" applyAlignment="1">
      <alignment horizontal="center" wrapText="1"/>
    </xf>
    <xf numFmtId="0" fontId="9" fillId="0" borderId="14" xfId="1" applyFont="1" applyFill="1" applyBorder="1" applyAlignment="1">
      <alignment horizontal="center" wrapText="1"/>
    </xf>
    <xf numFmtId="0" fontId="5" fillId="0" borderId="0" xfId="1" applyFont="1" applyFill="1" applyAlignment="1">
      <alignment horizontal="center"/>
    </xf>
    <xf numFmtId="0" fontId="6" fillId="0" borderId="0" xfId="1" applyFont="1" applyFill="1" applyAlignment="1">
      <alignment horizontal="right"/>
    </xf>
    <xf numFmtId="164" fontId="2" fillId="0" borderId="0" xfId="1" applyNumberFormat="1" applyFont="1" applyFill="1" applyAlignment="1">
      <alignment horizontal="center"/>
    </xf>
    <xf numFmtId="0" fontId="15" fillId="0" borderId="12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" vertical="center"/>
    </xf>
    <xf numFmtId="0" fontId="18" fillId="2" borderId="0" xfId="0" applyFont="1" applyFill="1" applyAlignment="1" applyProtection="1">
      <alignment horizontal="left" wrapText="1"/>
      <protection locked="0"/>
    </xf>
    <xf numFmtId="0" fontId="19" fillId="2" borderId="0" xfId="0" applyFont="1" applyFill="1" applyAlignment="1" applyProtection="1">
      <alignment horizontal="left" wrapText="1"/>
      <protection locked="0"/>
    </xf>
    <xf numFmtId="0" fontId="19" fillId="2" borderId="0" xfId="0" applyFont="1" applyFill="1" applyAlignment="1" applyProtection="1">
      <alignment horizontal="left"/>
      <protection locked="0"/>
    </xf>
    <xf numFmtId="0" fontId="15" fillId="0" borderId="12" xfId="0" applyFont="1" applyFill="1" applyBorder="1" applyAlignment="1">
      <alignment horizontal="justify" vertical="center" wrapText="1"/>
    </xf>
    <xf numFmtId="0" fontId="15" fillId="0" borderId="13" xfId="0" applyFont="1" applyFill="1" applyBorder="1" applyAlignment="1">
      <alignment horizontal="justify" vertical="center" wrapText="1"/>
    </xf>
    <xf numFmtId="0" fontId="15" fillId="0" borderId="14" xfId="0" applyFont="1" applyFill="1" applyBorder="1" applyAlignment="1">
      <alignment horizontal="justify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5" fillId="0" borderId="44" xfId="0" applyFont="1" applyFill="1" applyBorder="1" applyAlignment="1">
      <alignment horizontal="center" vertical="center" wrapText="1"/>
    </xf>
    <xf numFmtId="0" fontId="15" fillId="0" borderId="45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/>
    </xf>
    <xf numFmtId="0" fontId="17" fillId="0" borderId="23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7" fillId="0" borderId="25" xfId="0" applyFont="1" applyFill="1" applyBorder="1" applyAlignment="1">
      <alignment horizontal="center"/>
    </xf>
    <xf numFmtId="10" fontId="20" fillId="0" borderId="16" xfId="0" applyNumberFormat="1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left" vertical="center" wrapText="1"/>
    </xf>
    <xf numFmtId="0" fontId="15" fillId="0" borderId="22" xfId="0" applyFont="1" applyFill="1" applyBorder="1" applyAlignment="1">
      <alignment horizontal="left" vertical="center" wrapText="1"/>
    </xf>
    <xf numFmtId="0" fontId="15" fillId="0" borderId="44" xfId="0" applyFont="1" applyFill="1" applyBorder="1" applyAlignment="1">
      <alignment horizontal="left" vertical="center" wrapText="1"/>
    </xf>
    <xf numFmtId="0" fontId="15" fillId="0" borderId="45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  <xf numFmtId="2" fontId="18" fillId="2" borderId="17" xfId="0" applyNumberFormat="1" applyFont="1" applyFill="1" applyBorder="1" applyAlignment="1" applyProtection="1">
      <alignment horizontal="center" vertical="center"/>
      <protection locked="0"/>
    </xf>
    <xf numFmtId="2" fontId="18" fillId="2" borderId="16" xfId="0" applyNumberFormat="1" applyFont="1" applyFill="1" applyBorder="1" applyAlignment="1" applyProtection="1">
      <alignment horizontal="center" vertical="center"/>
      <protection locked="0"/>
    </xf>
    <xf numFmtId="2" fontId="18" fillId="2" borderId="18" xfId="0" applyNumberFormat="1" applyFont="1" applyFill="1" applyBorder="1" applyAlignment="1" applyProtection="1">
      <alignment horizontal="center" vertical="center"/>
      <protection locked="0"/>
    </xf>
    <xf numFmtId="0" fontId="17" fillId="0" borderId="44" xfId="0" applyFont="1" applyFill="1" applyBorder="1" applyAlignment="1">
      <alignment horizontal="center" vertical="center"/>
    </xf>
    <xf numFmtId="0" fontId="18" fillId="2" borderId="0" xfId="0" applyFont="1" applyFill="1" applyAlignment="1" applyProtection="1">
      <alignment horizontal="left"/>
      <protection locked="0"/>
    </xf>
    <xf numFmtId="0" fontId="15" fillId="0" borderId="10" xfId="0" applyFont="1" applyFill="1" applyBorder="1" applyAlignment="1">
      <alignment horizontal="left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7" fillId="0" borderId="10" xfId="0" applyFont="1" applyFill="1" applyBorder="1" applyAlignment="1">
      <alignment horizontal="center"/>
    </xf>
    <xf numFmtId="15" fontId="2" fillId="0" borderId="11" xfId="0" applyNumberFormat="1" applyFont="1" applyFill="1" applyBorder="1"/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oyfrida\Desktop\Sarah\NDQB20160275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formity"/>
      <sheetName val="SST"/>
      <sheetName val="Lamivudine"/>
      <sheetName val="Tenofovir DF"/>
      <sheetName val="Uniformity (2)"/>
      <sheetName val="Lamivudine (2)"/>
      <sheetName val="Tenofovir DF (2)"/>
    </sheetNames>
    <sheetDataSet>
      <sheetData sheetId="0">
        <row r="36">
          <cell r="C36">
            <v>866.43900000000008</v>
          </cell>
        </row>
      </sheetData>
      <sheetData sheetId="1"/>
      <sheetData sheetId="2"/>
      <sheetData sheetId="3"/>
      <sheetData sheetId="4">
        <row r="36">
          <cell r="C36">
            <v>866.7700000000001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41" workbookViewId="0">
      <selection activeCell="C61" sqref="C61:E61"/>
    </sheetView>
  </sheetViews>
  <sheetFormatPr defaultRowHeight="13.5" x14ac:dyDescent="0.25"/>
  <cols>
    <col min="1" max="1" width="27.5703125" style="2" customWidth="1"/>
    <col min="2" max="2" width="20.42578125" style="2" customWidth="1"/>
    <col min="3" max="3" width="31.85546875" style="2" customWidth="1"/>
    <col min="4" max="4" width="25.85546875" style="2" customWidth="1"/>
    <col min="5" max="5" width="25.7109375" style="2" customWidth="1"/>
    <col min="6" max="6" width="23.140625" style="2" customWidth="1"/>
    <col min="7" max="7" width="28.42578125" style="2" customWidth="1"/>
    <col min="8" max="8" width="21.5703125" style="2" customWidth="1"/>
    <col min="9" max="9" width="9.140625" style="2" customWidth="1"/>
    <col min="10" max="16384" width="9.140625" style="38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252" t="s">
        <v>0</v>
      </c>
      <c r="B15" s="252"/>
      <c r="C15" s="252"/>
      <c r="D15" s="252"/>
      <c r="E15" s="252"/>
    </row>
    <row r="16" spans="1:6" ht="16.5" customHeight="1" x14ac:dyDescent="0.3">
      <c r="A16" s="4" t="s">
        <v>1</v>
      </c>
      <c r="B16" s="5" t="s">
        <v>2</v>
      </c>
    </row>
    <row r="17" spans="1:5" ht="16.5" customHeight="1" x14ac:dyDescent="0.3">
      <c r="A17" s="6" t="s">
        <v>3</v>
      </c>
      <c r="B17" s="6" t="s">
        <v>5</v>
      </c>
      <c r="D17" s="7"/>
      <c r="E17" s="8"/>
    </row>
    <row r="18" spans="1:5" ht="16.5" customHeight="1" x14ac:dyDescent="0.3">
      <c r="A18" s="9" t="s">
        <v>4</v>
      </c>
      <c r="B18" s="249" t="s">
        <v>133</v>
      </c>
      <c r="C18" s="8"/>
      <c r="D18" s="8"/>
      <c r="E18" s="8"/>
    </row>
    <row r="19" spans="1:5" ht="16.5" customHeight="1" x14ac:dyDescent="0.3">
      <c r="A19" s="9" t="s">
        <v>6</v>
      </c>
      <c r="B19" s="250" t="s">
        <v>130</v>
      </c>
      <c r="C19" s="8"/>
      <c r="D19" s="8"/>
      <c r="E19" s="8"/>
    </row>
    <row r="20" spans="1:5" ht="16.5" customHeight="1" x14ac:dyDescent="0.3">
      <c r="A20" s="6" t="s">
        <v>8</v>
      </c>
      <c r="B20" s="10">
        <v>16.309999999999999</v>
      </c>
      <c r="C20" s="8"/>
      <c r="D20" s="8"/>
      <c r="E20" s="8"/>
    </row>
    <row r="21" spans="1:5" ht="16.5" customHeight="1" x14ac:dyDescent="0.3">
      <c r="A21" s="6" t="s">
        <v>10</v>
      </c>
      <c r="B21" s="11">
        <f>B20/20*4/25</f>
        <v>0.13047999999999998</v>
      </c>
      <c r="C21" s="8"/>
      <c r="D21" s="8"/>
      <c r="E21" s="8"/>
    </row>
    <row r="22" spans="1:5" ht="15.75" customHeight="1" x14ac:dyDescent="0.25">
      <c r="A22" s="8"/>
      <c r="B22" s="8"/>
      <c r="C22" s="8"/>
      <c r="D22" s="8"/>
      <c r="E22" s="8"/>
    </row>
    <row r="23" spans="1:5" ht="16.5" customHeight="1" x14ac:dyDescent="0.3">
      <c r="A23" s="12" t="s">
        <v>12</v>
      </c>
      <c r="B23" s="13" t="s">
        <v>13</v>
      </c>
      <c r="C23" s="12" t="s">
        <v>14</v>
      </c>
      <c r="D23" s="12" t="s">
        <v>15</v>
      </c>
      <c r="E23" s="12" t="s">
        <v>16</v>
      </c>
    </row>
    <row r="24" spans="1:5" ht="16.5" customHeight="1" x14ac:dyDescent="0.3">
      <c r="A24" s="14">
        <v>1</v>
      </c>
      <c r="B24" s="15">
        <v>52261896</v>
      </c>
      <c r="C24" s="15">
        <v>47450</v>
      </c>
      <c r="D24" s="16">
        <v>1.1000000000000001</v>
      </c>
      <c r="E24" s="17">
        <v>16.399999999999999</v>
      </c>
    </row>
    <row r="25" spans="1:5" ht="16.5" customHeight="1" x14ac:dyDescent="0.3">
      <c r="A25" s="14">
        <v>2</v>
      </c>
      <c r="B25" s="15">
        <v>52239640</v>
      </c>
      <c r="C25" s="15">
        <v>47532.3</v>
      </c>
      <c r="D25" s="16">
        <v>1.1000000000000001</v>
      </c>
      <c r="E25" s="16">
        <v>16.399999999999999</v>
      </c>
    </row>
    <row r="26" spans="1:5" ht="16.5" customHeight="1" x14ac:dyDescent="0.3">
      <c r="A26" s="14">
        <v>3</v>
      </c>
      <c r="B26" s="15">
        <v>52121198</v>
      </c>
      <c r="C26" s="15">
        <v>47536.3</v>
      </c>
      <c r="D26" s="16">
        <v>1.1000000000000001</v>
      </c>
      <c r="E26" s="16">
        <v>16.399999999999999</v>
      </c>
    </row>
    <row r="27" spans="1:5" ht="16.5" customHeight="1" x14ac:dyDescent="0.3">
      <c r="A27" s="14">
        <v>4</v>
      </c>
      <c r="B27" s="15">
        <v>52301742</v>
      </c>
      <c r="C27" s="15">
        <v>47548.5</v>
      </c>
      <c r="D27" s="16">
        <v>1.1000000000000001</v>
      </c>
      <c r="E27" s="16">
        <v>16.399999999999999</v>
      </c>
    </row>
    <row r="28" spans="1:5" ht="16.5" customHeight="1" x14ac:dyDescent="0.3">
      <c r="A28" s="14">
        <v>5</v>
      </c>
      <c r="B28" s="15">
        <v>52163233</v>
      </c>
      <c r="C28" s="15">
        <v>47522</v>
      </c>
      <c r="D28" s="16">
        <v>1.1000000000000001</v>
      </c>
      <c r="E28" s="16">
        <v>16.399999999999999</v>
      </c>
    </row>
    <row r="29" spans="1:5" ht="16.5" customHeight="1" x14ac:dyDescent="0.3">
      <c r="A29" s="14">
        <v>6</v>
      </c>
      <c r="B29" s="18"/>
      <c r="C29" s="18"/>
      <c r="D29" s="19"/>
      <c r="E29" s="19"/>
    </row>
    <row r="30" spans="1:5" ht="16.5" customHeight="1" x14ac:dyDescent="0.3">
      <c r="A30" s="20" t="s">
        <v>17</v>
      </c>
      <c r="B30" s="21">
        <f>AVERAGE(B24:B29)</f>
        <v>52217541.799999997</v>
      </c>
      <c r="C30" s="22">
        <f>AVERAGE(C24:C29)</f>
        <v>47517.82</v>
      </c>
      <c r="D30" s="23">
        <f>AVERAGE(D24:D29)</f>
        <v>1.1000000000000001</v>
      </c>
      <c r="E30" s="23">
        <f>AVERAGE(E24:E29)</f>
        <v>16.399999999999999</v>
      </c>
    </row>
    <row r="31" spans="1:5" ht="16.5" customHeight="1" x14ac:dyDescent="0.3">
      <c r="A31" s="24" t="s">
        <v>18</v>
      </c>
      <c r="B31" s="25">
        <f>(STDEV(B24:B29)/B30)</f>
        <v>1.4130298548818382E-3</v>
      </c>
      <c r="C31" s="26"/>
      <c r="D31" s="26"/>
      <c r="E31" s="27"/>
    </row>
    <row r="32" spans="1:5" s="2" customFormat="1" ht="16.5" customHeight="1" x14ac:dyDescent="0.3">
      <c r="A32" s="28" t="s">
        <v>19</v>
      </c>
      <c r="B32" s="29">
        <f>COUNT(B24:B29)</f>
        <v>5</v>
      </c>
      <c r="C32" s="30"/>
      <c r="D32" s="31"/>
      <c r="E32" s="32"/>
    </row>
    <row r="33" spans="1:5" s="2" customFormat="1" ht="15.75" customHeight="1" x14ac:dyDescent="0.25">
      <c r="A33" s="8"/>
      <c r="B33" s="8"/>
      <c r="C33" s="8"/>
      <c r="D33" s="8"/>
      <c r="E33" s="8"/>
    </row>
    <row r="34" spans="1:5" s="2" customFormat="1" ht="16.5" customHeight="1" x14ac:dyDescent="0.3">
      <c r="A34" s="9" t="s">
        <v>20</v>
      </c>
      <c r="B34" s="33" t="s">
        <v>21</v>
      </c>
      <c r="C34" s="34"/>
      <c r="D34" s="34"/>
      <c r="E34" s="34"/>
    </row>
    <row r="35" spans="1:5" ht="16.5" customHeight="1" x14ac:dyDescent="0.3">
      <c r="A35" s="9"/>
      <c r="B35" s="33" t="s">
        <v>22</v>
      </c>
      <c r="C35" s="34"/>
      <c r="D35" s="34"/>
      <c r="E35" s="34"/>
    </row>
    <row r="36" spans="1:5" ht="16.5" customHeight="1" x14ac:dyDescent="0.3">
      <c r="A36" s="9"/>
      <c r="B36" s="33" t="s">
        <v>23</v>
      </c>
      <c r="C36" s="34"/>
      <c r="D36" s="34"/>
      <c r="E36" s="34"/>
    </row>
    <row r="37" spans="1:5" ht="15.75" customHeight="1" x14ac:dyDescent="0.25">
      <c r="A37" s="8"/>
      <c r="B37" s="8"/>
      <c r="C37" s="8"/>
      <c r="D37" s="8"/>
      <c r="E37" s="8"/>
    </row>
    <row r="38" spans="1:5" ht="16.5" customHeight="1" x14ac:dyDescent="0.3">
      <c r="A38" s="4" t="s">
        <v>1</v>
      </c>
      <c r="B38" s="5"/>
    </row>
    <row r="39" spans="1:5" ht="16.5" customHeight="1" x14ac:dyDescent="0.3">
      <c r="A39" s="9" t="s">
        <v>4</v>
      </c>
      <c r="B39" s="251" t="s">
        <v>49</v>
      </c>
      <c r="C39" s="8"/>
      <c r="D39" s="8"/>
      <c r="E39" s="8"/>
    </row>
    <row r="40" spans="1:5" ht="16.5" customHeight="1" x14ac:dyDescent="0.3">
      <c r="A40" s="9" t="s">
        <v>6</v>
      </c>
      <c r="B40" s="10">
        <v>100.4</v>
      </c>
      <c r="C40" s="8"/>
      <c r="D40" s="8"/>
      <c r="E40" s="8"/>
    </row>
    <row r="41" spans="1:5" ht="16.5" customHeight="1" x14ac:dyDescent="0.3">
      <c r="A41" s="6" t="s">
        <v>8</v>
      </c>
      <c r="B41" s="10">
        <v>19.12</v>
      </c>
      <c r="C41" s="8"/>
      <c r="D41" s="8"/>
      <c r="E41" s="8"/>
    </row>
    <row r="42" spans="1:5" ht="16.5" customHeight="1" x14ac:dyDescent="0.3">
      <c r="A42" s="6" t="s">
        <v>10</v>
      </c>
      <c r="B42" s="11">
        <f>B41/25*4/25</f>
        <v>0.122368</v>
      </c>
      <c r="C42" s="8"/>
      <c r="D42" s="8"/>
      <c r="E42" s="8"/>
    </row>
    <row r="43" spans="1:5" ht="15.75" customHeight="1" x14ac:dyDescent="0.25">
      <c r="A43" s="8"/>
      <c r="B43" s="8"/>
      <c r="C43" s="8"/>
      <c r="D43" s="8"/>
      <c r="E43" s="8"/>
    </row>
    <row r="44" spans="1:5" ht="16.5" customHeight="1" x14ac:dyDescent="0.3">
      <c r="A44" s="12" t="s">
        <v>12</v>
      </c>
      <c r="B44" s="13" t="s">
        <v>13</v>
      </c>
      <c r="C44" s="12" t="s">
        <v>14</v>
      </c>
      <c r="D44" s="12" t="s">
        <v>15</v>
      </c>
      <c r="E44" s="12" t="s">
        <v>16</v>
      </c>
    </row>
    <row r="45" spans="1:5" ht="16.5" customHeight="1" x14ac:dyDescent="0.3">
      <c r="A45" s="14">
        <v>1</v>
      </c>
      <c r="B45" s="15">
        <v>97966249</v>
      </c>
      <c r="C45" s="15">
        <v>6752</v>
      </c>
      <c r="D45" s="16">
        <v>1</v>
      </c>
      <c r="E45" s="17">
        <v>4.2</v>
      </c>
    </row>
    <row r="46" spans="1:5" ht="16.5" customHeight="1" x14ac:dyDescent="0.3">
      <c r="A46" s="14">
        <v>2</v>
      </c>
      <c r="B46" s="15">
        <v>97987055</v>
      </c>
      <c r="C46" s="15">
        <v>6246</v>
      </c>
      <c r="D46" s="16">
        <v>1</v>
      </c>
      <c r="E46" s="16">
        <v>4.2</v>
      </c>
    </row>
    <row r="47" spans="1:5" ht="16.5" customHeight="1" x14ac:dyDescent="0.3">
      <c r="A47" s="14">
        <v>3</v>
      </c>
      <c r="B47" s="15">
        <v>97735333</v>
      </c>
      <c r="C47" s="15">
        <v>6452.2</v>
      </c>
      <c r="D47" s="16">
        <v>1.1000000000000001</v>
      </c>
      <c r="E47" s="16">
        <v>4.2</v>
      </c>
    </row>
    <row r="48" spans="1:5" ht="16.5" customHeight="1" x14ac:dyDescent="0.3">
      <c r="A48" s="14">
        <v>4</v>
      </c>
      <c r="B48" s="15">
        <v>98100023</v>
      </c>
      <c r="C48" s="15">
        <v>6809.6</v>
      </c>
      <c r="D48" s="16">
        <v>1</v>
      </c>
      <c r="E48" s="16">
        <v>4.2</v>
      </c>
    </row>
    <row r="49" spans="1:7" ht="16.5" customHeight="1" x14ac:dyDescent="0.3">
      <c r="A49" s="14">
        <v>5</v>
      </c>
      <c r="B49" s="15">
        <v>97871783</v>
      </c>
      <c r="C49" s="15">
        <v>6344</v>
      </c>
      <c r="D49" s="16">
        <v>1</v>
      </c>
      <c r="E49" s="16">
        <v>4.3</v>
      </c>
    </row>
    <row r="50" spans="1:7" ht="16.5" customHeight="1" x14ac:dyDescent="0.3">
      <c r="A50" s="14">
        <v>6</v>
      </c>
      <c r="B50" s="18"/>
      <c r="C50" s="18"/>
      <c r="D50" s="19"/>
      <c r="E50" s="19"/>
    </row>
    <row r="51" spans="1:7" ht="16.5" customHeight="1" x14ac:dyDescent="0.3">
      <c r="A51" s="20" t="s">
        <v>17</v>
      </c>
      <c r="B51" s="21">
        <f>AVERAGE(B45:B50)</f>
        <v>97932088.599999994</v>
      </c>
      <c r="C51" s="22">
        <f>AVERAGE(C45:C50)</f>
        <v>6520.76</v>
      </c>
      <c r="D51" s="23">
        <f>AVERAGE(D45:D50)</f>
        <v>1.02</v>
      </c>
      <c r="E51" s="23">
        <f>AVERAGE(E45:E50)</f>
        <v>4.2200000000000006</v>
      </c>
    </row>
    <row r="52" spans="1:7" ht="16.5" customHeight="1" x14ac:dyDescent="0.3">
      <c r="A52" s="24" t="s">
        <v>18</v>
      </c>
      <c r="B52" s="25">
        <f>(STDEV(B45:B50)/B51)</f>
        <v>1.3957921659327956E-3</v>
      </c>
      <c r="C52" s="26"/>
      <c r="D52" s="26"/>
      <c r="E52" s="27"/>
    </row>
    <row r="53" spans="1:7" s="2" customFormat="1" ht="16.5" customHeight="1" x14ac:dyDescent="0.3">
      <c r="A53" s="28" t="s">
        <v>19</v>
      </c>
      <c r="B53" s="29">
        <f>COUNT(B45:B50)</f>
        <v>5</v>
      </c>
      <c r="C53" s="30"/>
      <c r="D53" s="31"/>
      <c r="E53" s="32"/>
    </row>
    <row r="54" spans="1:7" s="2" customFormat="1" ht="15.75" customHeight="1" x14ac:dyDescent="0.25">
      <c r="A54" s="8"/>
      <c r="B54" s="8"/>
      <c r="C54" s="8"/>
      <c r="D54" s="8"/>
      <c r="E54" s="8"/>
    </row>
    <row r="55" spans="1:7" s="2" customFormat="1" ht="16.5" customHeight="1" x14ac:dyDescent="0.3">
      <c r="A55" s="9" t="s">
        <v>20</v>
      </c>
      <c r="B55" s="33" t="s">
        <v>21</v>
      </c>
      <c r="C55" s="34"/>
      <c r="D55" s="34"/>
      <c r="E55" s="34"/>
    </row>
    <row r="56" spans="1:7" ht="16.5" customHeight="1" x14ac:dyDescent="0.3">
      <c r="A56" s="9"/>
      <c r="B56" s="33" t="s">
        <v>22</v>
      </c>
      <c r="C56" s="34"/>
      <c r="D56" s="34"/>
      <c r="E56" s="34"/>
    </row>
    <row r="57" spans="1:7" ht="16.5" customHeight="1" x14ac:dyDescent="0.3">
      <c r="A57" s="9"/>
      <c r="B57" s="33" t="s">
        <v>23</v>
      </c>
      <c r="C57" s="34"/>
      <c r="D57" s="34"/>
      <c r="E57" s="34"/>
    </row>
    <row r="58" spans="1:7" ht="14.25" customHeight="1" thickBot="1" x14ac:dyDescent="0.3">
      <c r="A58" s="35"/>
      <c r="B58" s="36"/>
      <c r="D58" s="37"/>
      <c r="F58" s="38"/>
      <c r="G58" s="38"/>
    </row>
    <row r="59" spans="1:7" ht="15" customHeight="1" x14ac:dyDescent="0.3">
      <c r="B59" s="253" t="s">
        <v>24</v>
      </c>
      <c r="C59" s="253"/>
      <c r="E59" s="39" t="s">
        <v>25</v>
      </c>
      <c r="F59" s="40"/>
      <c r="G59" s="39" t="s">
        <v>26</v>
      </c>
    </row>
    <row r="60" spans="1:7" ht="15" customHeight="1" x14ac:dyDescent="0.3">
      <c r="A60" s="41" t="s">
        <v>27</v>
      </c>
      <c r="B60" s="42"/>
      <c r="C60" s="42"/>
      <c r="E60" s="42"/>
      <c r="G60" s="42"/>
    </row>
    <row r="61" spans="1:7" ht="15" customHeight="1" x14ac:dyDescent="0.3">
      <c r="A61" s="41" t="s">
        <v>28</v>
      </c>
      <c r="B61" s="43"/>
      <c r="C61" s="43" t="s">
        <v>134</v>
      </c>
      <c r="E61" s="301">
        <v>42431</v>
      </c>
      <c r="G61" s="44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view="pageBreakPreview" topLeftCell="A12" workbookViewId="0">
      <selection activeCell="F24" sqref="F24"/>
    </sheetView>
  </sheetViews>
  <sheetFormatPr defaultRowHeight="15" x14ac:dyDescent="0.3"/>
  <cols>
    <col min="1" max="1" width="15.5703125" style="46" customWidth="1"/>
    <col min="2" max="2" width="18.42578125" style="46" customWidth="1"/>
    <col min="3" max="3" width="14.28515625" style="46" customWidth="1"/>
    <col min="4" max="4" width="15" style="46" customWidth="1"/>
    <col min="5" max="5" width="9.140625" style="46" customWidth="1"/>
    <col min="6" max="6" width="27.85546875" style="46" customWidth="1"/>
    <col min="7" max="7" width="12.28515625" style="46" customWidth="1"/>
    <col min="8" max="8" width="9.140625" style="46" customWidth="1"/>
    <col min="9" max="16384" width="9.140625" style="86"/>
  </cols>
  <sheetData>
    <row r="1" spans="1:7" ht="13.5" customHeight="1" thickBot="1" x14ac:dyDescent="0.35">
      <c r="A1" s="256" t="s">
        <v>29</v>
      </c>
      <c r="B1" s="257"/>
      <c r="C1" s="257"/>
      <c r="D1" s="257"/>
      <c r="E1" s="257"/>
      <c r="F1" s="258"/>
      <c r="G1" s="45"/>
    </row>
    <row r="2" spans="1:7" ht="16.5" customHeight="1" x14ac:dyDescent="0.3">
      <c r="A2" s="259" t="s">
        <v>30</v>
      </c>
      <c r="B2" s="259"/>
      <c r="C2" s="259"/>
      <c r="D2" s="259"/>
      <c r="E2" s="259"/>
      <c r="F2" s="259"/>
      <c r="G2" s="47"/>
    </row>
    <row r="4" spans="1:7" ht="16.5" customHeight="1" x14ac:dyDescent="0.3">
      <c r="A4" s="260" t="s">
        <v>31</v>
      </c>
      <c r="B4" s="260"/>
      <c r="C4" s="48" t="s">
        <v>32</v>
      </c>
    </row>
    <row r="5" spans="1:7" ht="16.5" customHeight="1" x14ac:dyDescent="0.3">
      <c r="A5" s="260" t="s">
        <v>33</v>
      </c>
      <c r="B5" s="260"/>
      <c r="C5" s="48" t="s">
        <v>7</v>
      </c>
    </row>
    <row r="6" spans="1:7" ht="16.5" customHeight="1" x14ac:dyDescent="0.3">
      <c r="A6" s="260" t="s">
        <v>34</v>
      </c>
      <c r="B6" s="260"/>
      <c r="C6" s="48" t="s">
        <v>35</v>
      </c>
    </row>
    <row r="7" spans="1:7" ht="16.5" customHeight="1" x14ac:dyDescent="0.3">
      <c r="A7" s="260" t="s">
        <v>36</v>
      </c>
      <c r="B7" s="260"/>
      <c r="C7" s="48" t="s">
        <v>37</v>
      </c>
    </row>
    <row r="8" spans="1:7" ht="16.5" customHeight="1" x14ac:dyDescent="0.3">
      <c r="A8" s="260" t="s">
        <v>38</v>
      </c>
      <c r="B8" s="260"/>
      <c r="C8" s="49">
        <v>42425</v>
      </c>
    </row>
    <row r="9" spans="1:7" ht="16.5" customHeight="1" x14ac:dyDescent="0.3">
      <c r="A9" s="260" t="s">
        <v>39</v>
      </c>
      <c r="B9" s="260"/>
      <c r="C9" s="49">
        <v>42429</v>
      </c>
    </row>
    <row r="10" spans="1:7" ht="16.5" customHeight="1" x14ac:dyDescent="0.3">
      <c r="A10" s="50"/>
      <c r="B10" s="50"/>
      <c r="C10" s="51"/>
    </row>
    <row r="11" spans="1:7" ht="16.5" customHeight="1" x14ac:dyDescent="0.3">
      <c r="A11" s="259" t="s">
        <v>1</v>
      </c>
      <c r="B11" s="259"/>
      <c r="C11" s="52" t="s">
        <v>40</v>
      </c>
      <c r="D11" s="53"/>
    </row>
    <row r="12" spans="1:7" ht="15.75" customHeight="1" thickBot="1" x14ac:dyDescent="0.35">
      <c r="A12" s="261"/>
      <c r="B12" s="261"/>
      <c r="C12" s="54"/>
      <c r="D12" s="261"/>
      <c r="E12" s="261"/>
    </row>
    <row r="13" spans="1:7" ht="33.75" customHeight="1" thickBot="1" x14ac:dyDescent="0.35">
      <c r="C13" s="55" t="s">
        <v>41</v>
      </c>
      <c r="D13" s="56" t="s">
        <v>42</v>
      </c>
      <c r="E13" s="57"/>
    </row>
    <row r="14" spans="1:7" ht="15.75" customHeight="1" x14ac:dyDescent="0.3">
      <c r="C14" s="58">
        <v>862.97</v>
      </c>
      <c r="D14" s="59">
        <f t="shared" ref="D14:D33" si="0">(C14-$C$36)/$C$36</f>
        <v>-4.3840926658745318E-3</v>
      </c>
      <c r="E14" s="60"/>
    </row>
    <row r="15" spans="1:7" ht="15.75" customHeight="1" x14ac:dyDescent="0.3">
      <c r="C15" s="58">
        <v>869.79</v>
      </c>
      <c r="D15" s="61">
        <f t="shared" si="0"/>
        <v>3.4841999607737551E-3</v>
      </c>
      <c r="E15" s="60"/>
    </row>
    <row r="16" spans="1:7" ht="15.75" customHeight="1" x14ac:dyDescent="0.3">
      <c r="C16" s="58">
        <v>859.34</v>
      </c>
      <c r="D16" s="61">
        <f t="shared" si="0"/>
        <v>-8.5720548703809123E-3</v>
      </c>
      <c r="E16" s="60"/>
    </row>
    <row r="17" spans="3:5" ht="15.75" customHeight="1" x14ac:dyDescent="0.3">
      <c r="C17" s="58">
        <v>867.87</v>
      </c>
      <c r="D17" s="61">
        <f t="shared" si="0"/>
        <v>1.269079455910921E-3</v>
      </c>
      <c r="E17" s="60"/>
    </row>
    <row r="18" spans="3:5" ht="15.75" customHeight="1" x14ac:dyDescent="0.3">
      <c r="C18" s="58">
        <v>863.66</v>
      </c>
      <c r="D18" s="61">
        <f t="shared" si="0"/>
        <v>-3.5880337344395019E-3</v>
      </c>
      <c r="E18" s="60"/>
    </row>
    <row r="19" spans="3:5" ht="15.75" customHeight="1" x14ac:dyDescent="0.3">
      <c r="C19" s="58">
        <v>858.09</v>
      </c>
      <c r="D19" s="61">
        <f t="shared" si="0"/>
        <v>-1.001419061573435E-2</v>
      </c>
      <c r="E19" s="60"/>
    </row>
    <row r="20" spans="3:5" ht="15.75" customHeight="1" x14ac:dyDescent="0.3">
      <c r="C20" s="58">
        <v>859.35</v>
      </c>
      <c r="D20" s="61">
        <f t="shared" si="0"/>
        <v>-8.5605177844180948E-3</v>
      </c>
      <c r="E20" s="60"/>
    </row>
    <row r="21" spans="3:5" ht="15.75" customHeight="1" x14ac:dyDescent="0.3">
      <c r="C21" s="58">
        <v>875.68</v>
      </c>
      <c r="D21" s="61">
        <f t="shared" si="0"/>
        <v>1.0279543592879142E-2</v>
      </c>
      <c r="E21" s="60"/>
    </row>
    <row r="22" spans="3:5" ht="15.75" customHeight="1" x14ac:dyDescent="0.3">
      <c r="C22" s="58">
        <v>867.76</v>
      </c>
      <c r="D22" s="61">
        <f t="shared" si="0"/>
        <v>1.1421715103198027E-3</v>
      </c>
      <c r="E22" s="60"/>
    </row>
    <row r="23" spans="3:5" ht="15.75" customHeight="1" x14ac:dyDescent="0.3">
      <c r="C23" s="58">
        <v>861.33</v>
      </c>
      <c r="D23" s="61">
        <f t="shared" si="0"/>
        <v>-6.2761747637782271E-3</v>
      </c>
      <c r="E23" s="60"/>
    </row>
    <row r="24" spans="3:5" ht="15.75" customHeight="1" x14ac:dyDescent="0.3">
      <c r="C24" s="58">
        <v>873.68</v>
      </c>
      <c r="D24" s="61">
        <f t="shared" si="0"/>
        <v>7.9721264003136394E-3</v>
      </c>
      <c r="E24" s="60"/>
    </row>
    <row r="25" spans="3:5" ht="15.75" customHeight="1" x14ac:dyDescent="0.3">
      <c r="C25" s="58">
        <v>860.02</v>
      </c>
      <c r="D25" s="61">
        <f t="shared" si="0"/>
        <v>-7.7875330249086985E-3</v>
      </c>
      <c r="E25" s="60"/>
    </row>
    <row r="26" spans="3:5" ht="15.75" customHeight="1" x14ac:dyDescent="0.3">
      <c r="C26" s="58">
        <v>866.46</v>
      </c>
      <c r="D26" s="61">
        <f t="shared" si="0"/>
        <v>-3.5764966484772096E-4</v>
      </c>
      <c r="E26" s="60"/>
    </row>
    <row r="27" spans="3:5" ht="15.75" customHeight="1" x14ac:dyDescent="0.3">
      <c r="C27" s="58">
        <v>863.57</v>
      </c>
      <c r="D27" s="61">
        <f t="shared" si="0"/>
        <v>-3.6918675081048548E-3</v>
      </c>
      <c r="E27" s="60"/>
    </row>
    <row r="28" spans="3:5" ht="15.75" customHeight="1" x14ac:dyDescent="0.3">
      <c r="C28" s="58">
        <v>863.02</v>
      </c>
      <c r="D28" s="61">
        <f t="shared" si="0"/>
        <v>-4.3264072360604464E-3</v>
      </c>
      <c r="E28" s="60"/>
    </row>
    <row r="29" spans="3:5" ht="15.75" customHeight="1" x14ac:dyDescent="0.3">
      <c r="C29" s="58">
        <v>875.44</v>
      </c>
      <c r="D29" s="61">
        <f t="shared" si="0"/>
        <v>1.0002653529771402E-2</v>
      </c>
      <c r="E29" s="60"/>
    </row>
    <row r="30" spans="3:5" ht="15.75" customHeight="1" x14ac:dyDescent="0.3">
      <c r="C30" s="58">
        <v>868.97</v>
      </c>
      <c r="D30" s="61">
        <f t="shared" si="0"/>
        <v>2.538158911821973E-3</v>
      </c>
      <c r="E30" s="60"/>
    </row>
    <row r="31" spans="3:5" ht="15.75" customHeight="1" x14ac:dyDescent="0.3">
      <c r="C31" s="58">
        <v>870.69</v>
      </c>
      <c r="D31" s="61">
        <f t="shared" si="0"/>
        <v>4.5225376974283357E-3</v>
      </c>
      <c r="E31" s="60"/>
    </row>
    <row r="32" spans="3:5" ht="15.75" customHeight="1" x14ac:dyDescent="0.3">
      <c r="C32" s="58">
        <v>876.2</v>
      </c>
      <c r="D32" s="61">
        <f t="shared" si="0"/>
        <v>1.0879472062946281E-2</v>
      </c>
      <c r="E32" s="60"/>
    </row>
    <row r="33" spans="1:7" ht="16.5" customHeight="1" thickBot="1" x14ac:dyDescent="0.35">
      <c r="C33" s="62">
        <v>871.51</v>
      </c>
      <c r="D33" s="63">
        <f t="shared" si="0"/>
        <v>5.4685787463801183E-3</v>
      </c>
      <c r="E33" s="60"/>
    </row>
    <row r="34" spans="1:7" ht="16.5" customHeight="1" thickBot="1" x14ac:dyDescent="0.35">
      <c r="C34" s="64"/>
      <c r="D34" s="60"/>
      <c r="E34" s="65"/>
    </row>
    <row r="35" spans="1:7" ht="16.5" customHeight="1" thickBot="1" x14ac:dyDescent="0.35">
      <c r="B35" s="66" t="s">
        <v>43</v>
      </c>
      <c r="C35" s="67">
        <f>SUM(C14:C34)</f>
        <v>17335.400000000001</v>
      </c>
      <c r="D35" s="68"/>
      <c r="E35" s="64"/>
    </row>
    <row r="36" spans="1:7" ht="17.25" customHeight="1" thickBot="1" x14ac:dyDescent="0.35">
      <c r="B36" s="66" t="s">
        <v>44</v>
      </c>
      <c r="C36" s="69">
        <f>AVERAGE(C14:C34)</f>
        <v>866.7700000000001</v>
      </c>
      <c r="E36" s="70"/>
    </row>
    <row r="37" spans="1:7" ht="17.25" customHeight="1" thickBot="1" x14ac:dyDescent="0.35">
      <c r="A37" s="48"/>
      <c r="B37" s="71"/>
      <c r="D37" s="72"/>
      <c r="E37" s="70"/>
    </row>
    <row r="38" spans="1:7" ht="33.75" customHeight="1" thickBot="1" x14ac:dyDescent="0.35">
      <c r="B38" s="73" t="s">
        <v>44</v>
      </c>
      <c r="C38" s="56" t="s">
        <v>45</v>
      </c>
      <c r="D38" s="74"/>
      <c r="G38" s="72"/>
    </row>
    <row r="39" spans="1:7" ht="17.25" customHeight="1" thickBot="1" x14ac:dyDescent="0.35">
      <c r="B39" s="254">
        <f>C36</f>
        <v>866.7700000000001</v>
      </c>
      <c r="C39" s="75">
        <f>-IF(C36&lt;=80,10%,IF(C36&lt;250,7.5%,5%))</f>
        <v>-0.05</v>
      </c>
      <c r="D39" s="76">
        <f>IF(C36&lt;=80,C36*0.9,IF(C36&lt;250,C36*0.925,C36*0.95))</f>
        <v>823.43150000000003</v>
      </c>
    </row>
    <row r="40" spans="1:7" ht="17.25" customHeight="1" thickBot="1" x14ac:dyDescent="0.35">
      <c r="B40" s="255"/>
      <c r="C40" s="77">
        <f>IF(C36&lt;=80, 10%, IF(C36&lt;250, 7.5%, 5%))</f>
        <v>0.05</v>
      </c>
      <c r="D40" s="76">
        <f>IF(C36&lt;=80, C36*1.1, IF(C36&lt;250, C36*1.075, C36*1.05))</f>
        <v>910.10850000000016</v>
      </c>
    </row>
    <row r="41" spans="1:7" ht="16.5" customHeight="1" thickBot="1" x14ac:dyDescent="0.35">
      <c r="A41" s="78"/>
      <c r="B41" s="79"/>
      <c r="C41" s="48"/>
      <c r="D41" s="80"/>
      <c r="E41" s="48"/>
      <c r="F41" s="53"/>
    </row>
    <row r="42" spans="1:7" ht="16.5" customHeight="1" x14ac:dyDescent="0.3">
      <c r="A42" s="48"/>
      <c r="B42" s="81" t="s">
        <v>24</v>
      </c>
      <c r="C42" s="81"/>
      <c r="D42" s="82" t="s">
        <v>25</v>
      </c>
      <c r="E42" s="83"/>
      <c r="F42" s="82" t="s">
        <v>26</v>
      </c>
    </row>
    <row r="43" spans="1:7" ht="34.5" customHeight="1" x14ac:dyDescent="0.3">
      <c r="A43" s="50" t="s">
        <v>27</v>
      </c>
      <c r="B43" s="84"/>
      <c r="C43" s="48"/>
      <c r="D43" s="84"/>
      <c r="E43" s="48"/>
      <c r="F43" s="84"/>
    </row>
    <row r="44" spans="1:7" ht="34.5" customHeight="1" x14ac:dyDescent="0.3">
      <c r="A44" s="50" t="s">
        <v>28</v>
      </c>
      <c r="B44" s="43" t="s">
        <v>134</v>
      </c>
      <c r="C44" s="2"/>
      <c r="D44" s="301">
        <v>42431</v>
      </c>
      <c r="E44" s="48"/>
      <c r="F44" s="85"/>
    </row>
  </sheetData>
  <sheetProtection formatCells="0" formatColumns="0" formatRows="0" insertColumns="0" insertRows="0" insertHyperlinks="0" deleteColumns="0" deleteRows="0" sort="0" autoFilter="0" pivotTables="0"/>
  <mergeCells count="12">
    <mergeCell ref="B39:B40"/>
    <mergeCell ref="A1:F1"/>
    <mergeCell ref="A2:F2"/>
    <mergeCell ref="A4:B4"/>
    <mergeCell ref="A5:B5"/>
    <mergeCell ref="A6:B6"/>
    <mergeCell ref="A7:B7"/>
    <mergeCell ref="A8:B8"/>
    <mergeCell ref="A9:B9"/>
    <mergeCell ref="A11:B11"/>
    <mergeCell ref="A12:B12"/>
    <mergeCell ref="D12:E12"/>
  </mergeCells>
  <conditionalFormatting sqref="D14">
    <cfRule type="cellIs" dxfId="38" priority="21" operator="notBetween">
      <formula>IF(C36&lt;=80,-10.5%,IF(C36&lt;250,-7.5%,-5.5%))</formula>
      <formula>IF(C36&lt;=80,10.5%, IF(C36&lt;250,7.5%, C36*5.5%))</formula>
    </cfRule>
  </conditionalFormatting>
  <conditionalFormatting sqref="D15">
    <cfRule type="cellIs" dxfId="37" priority="20" operator="notBetween">
      <formula>IF(C36&lt;=80,-10.5%,IF(C36&lt;250,-7.5%,-5.5%))</formula>
      <formula>IF(C36&lt;=80,10.5%, IF(C36&lt;250,7.5%, C36*5.5%))</formula>
    </cfRule>
  </conditionalFormatting>
  <conditionalFormatting sqref="D16">
    <cfRule type="cellIs" dxfId="36" priority="19" operator="notBetween">
      <formula>IF(C36&lt;=80,-10.5%,IF(C36&lt;250,-7.5%,-5.5%))</formula>
      <formula>IF(C36&lt;=80,10.5%, IF(C36&lt;250,7.5%, C36*5.5%))</formula>
    </cfRule>
  </conditionalFormatting>
  <conditionalFormatting sqref="D17">
    <cfRule type="cellIs" dxfId="35" priority="18" operator="notBetween">
      <formula>IF(C36&lt;=80,-10.5%,IF(C36&lt;250,-7.5%,-5.5%))</formula>
      <formula>IF(C36&lt;=80,10.5%, IF(C36&lt;250,7.5%, C36*5.5%))</formula>
    </cfRule>
  </conditionalFormatting>
  <conditionalFormatting sqref="D18">
    <cfRule type="cellIs" dxfId="34" priority="17" operator="notBetween">
      <formula>IF(C36&lt;=80,-10.5%,IF(C36&lt;250,-7.5%,-5.5%))</formula>
      <formula>IF(C36&lt;=80,10.5%, IF(C36&lt;250,7.5%, C36*5.5%))</formula>
    </cfRule>
  </conditionalFormatting>
  <conditionalFormatting sqref="D19">
    <cfRule type="cellIs" dxfId="33" priority="16" operator="notBetween">
      <formula>IF(C36&lt;=80,-10.5%,IF(C36&lt;250,-7.5%,-5.5%))</formula>
      <formula>IF(C36&lt;=80,10.5%, IF(C36&lt;250,7.5%, C36*5.5%))</formula>
    </cfRule>
  </conditionalFormatting>
  <conditionalFormatting sqref="D20">
    <cfRule type="cellIs" dxfId="32" priority="15" operator="notBetween">
      <formula>IF(C36&lt;=80,-10.5%,IF(C36&lt;250,-7.5%,-5.5%))</formula>
      <formula>IF(C36&lt;=80,10.5%, IF(C36&lt;250,7.5%, C36*5.5%))</formula>
    </cfRule>
  </conditionalFormatting>
  <conditionalFormatting sqref="D21">
    <cfRule type="cellIs" dxfId="31" priority="14" operator="notBetween">
      <formula>IF(C36&lt;=80,-10.5%,IF(C36&lt;250,-7.5%,-5.5%))</formula>
      <formula>IF(C36&lt;=80,10.5%, IF(C36&lt;250,7.5%, C36*5.5%))</formula>
    </cfRule>
  </conditionalFormatting>
  <conditionalFormatting sqref="D22">
    <cfRule type="cellIs" dxfId="30" priority="13" operator="notBetween">
      <formula>IF(C36&lt;=80,-10.5%,IF(C36&lt;250,-7.5%,-5.5%))</formula>
      <formula>IF(C36&lt;=80,10.5%, IF(C36&lt;250,7.5%, C36*5.5%))</formula>
    </cfRule>
  </conditionalFormatting>
  <conditionalFormatting sqref="D23">
    <cfRule type="cellIs" dxfId="29" priority="12" operator="notBetween">
      <formula>IF(C36&lt;=80,-10.5%,IF(C36&lt;250,-7.5%,-5.5%))</formula>
      <formula>IF(C36&lt;=80,10.5%, IF(C36&lt;250,7.5%, C36*5.5%))</formula>
    </cfRule>
  </conditionalFormatting>
  <conditionalFormatting sqref="D24">
    <cfRule type="cellIs" dxfId="28" priority="11" operator="notBetween">
      <formula>IF(C36&lt;=80,-10.5%,IF(C36&lt;250,-7.5%,-5.5%))</formula>
      <formula>IF(C36&lt;=80,10.5%, IF(C36&lt;250,7.5%, C36*5.5%))</formula>
    </cfRule>
  </conditionalFormatting>
  <conditionalFormatting sqref="D25">
    <cfRule type="cellIs" dxfId="27" priority="10" operator="notBetween">
      <formula>IF(C36&lt;=80,-10.5%,IF(C36&lt;250,-7.5%,-5.5%))</formula>
      <formula>IF(C36&lt;=80,10.5%, IF(C36&lt;250,7.5%, C36*5.5%))</formula>
    </cfRule>
  </conditionalFormatting>
  <conditionalFormatting sqref="D26">
    <cfRule type="cellIs" dxfId="26" priority="9" operator="notBetween">
      <formula>IF(C36&lt;=80,-10.5%,IF(C36&lt;250,-7.5%,-5.5%))</formula>
      <formula>IF(C36&lt;=80,10.5%, IF(C36&lt;250,7.5%, C36*5.5%))</formula>
    </cfRule>
  </conditionalFormatting>
  <conditionalFormatting sqref="D27">
    <cfRule type="cellIs" dxfId="25" priority="8" operator="notBetween">
      <formula>IF(C36&lt;=80,-10.5%,IF(C36&lt;250,-7.5%,-5.5%))</formula>
      <formula>IF(C36&lt;=80,10.5%, IF(C36&lt;250,7.5%, C36*5.5%))</formula>
    </cfRule>
  </conditionalFormatting>
  <conditionalFormatting sqref="D28">
    <cfRule type="cellIs" dxfId="24" priority="7" operator="notBetween">
      <formula>IF(C36&lt;=80,-10.5%,IF(C36&lt;250,-7.5%,-5.5%))</formula>
      <formula>IF(C36&lt;=80,10.5%, IF(C36&lt;250,7.5%, C36*5.5%))</formula>
    </cfRule>
  </conditionalFormatting>
  <conditionalFormatting sqref="D29">
    <cfRule type="cellIs" dxfId="23" priority="6" operator="notBetween">
      <formula>IF(C36&lt;=80,-10.5%,IF(C36&lt;250,-7.5%,-5.5%))</formula>
      <formula>IF(C36&lt;=80,10.5%, IF(C36&lt;250,7.5%, C36*5.5%))</formula>
    </cfRule>
  </conditionalFormatting>
  <conditionalFormatting sqref="D30">
    <cfRule type="cellIs" dxfId="22" priority="5" operator="notBetween">
      <formula>IF(C36&lt;=80,-10.5%,IF(C36&lt;250,-7.5%,-5.5%))</formula>
      <formula>IF(C36&lt;=80,10.5%, IF(C36&lt;250,7.5%, C36*5.5%))</formula>
    </cfRule>
  </conditionalFormatting>
  <conditionalFormatting sqref="D31">
    <cfRule type="cellIs" dxfId="21" priority="4" operator="notBetween">
      <formula>IF(C36&lt;=80,-10.5%,IF(C36&lt;250,-7.5%,-5.5%))</formula>
      <formula>IF(C36&lt;=80,10.5%, IF(C36&lt;250,7.5%, C36*5.5%))</formula>
    </cfRule>
  </conditionalFormatting>
  <conditionalFormatting sqref="D32">
    <cfRule type="cellIs" dxfId="20" priority="3" operator="notBetween">
      <formula>IF(C36&lt;=80,-10.5%,IF(C36&lt;250,-7.5%,-5.5%))</formula>
      <formula>IF(C36&lt;=80,10.5%, IF(C36&lt;250,7.5%, C36*5.5%))</formula>
    </cfRule>
  </conditionalFormatting>
  <conditionalFormatting sqref="D33">
    <cfRule type="cellIs" dxfId="19" priority="2" operator="notBetween">
      <formula>IF(C36&lt;=80,-10.5%,IF(C36&lt;250,-7.5%,-5.5%))</formula>
      <formula>IF(C36&lt;=80,10.5%, IF(C36&lt;250,7.5%, C36*5.5%))</formula>
    </cfRule>
  </conditionalFormatting>
  <conditionalFormatting sqref="D34">
    <cfRule type="cellIs" dxfId="18" priority="1" operator="notBetween">
      <formula>IF(C36&lt;=80,-10.5%,IF(C36&lt;250,-7.5%,-5.5%))</formula>
      <formula>IF(C36&lt;=80,10.5%, IF(C36&lt;250,7.5%, C36*5.5%))</formula>
    </cfRule>
  </conditionalFormatting>
  <pageMargins left="0.75" right="0.75" top="1" bottom="1" header="0.5" footer="0.5"/>
  <pageSetup scale="6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97" zoomScale="60" zoomScaleNormal="60" zoomScalePageLayoutView="50" workbookViewId="0">
      <selection activeCell="C124" sqref="C124:E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  <col min="13" max="16384" width="9.140625" style="38"/>
  </cols>
  <sheetData>
    <row r="1" spans="1:9" ht="18.75" customHeight="1" x14ac:dyDescent="0.25">
      <c r="A1" s="265" t="s">
        <v>46</v>
      </c>
      <c r="B1" s="265"/>
      <c r="C1" s="265"/>
      <c r="D1" s="265"/>
      <c r="E1" s="265"/>
      <c r="F1" s="265"/>
      <c r="G1" s="265"/>
      <c r="H1" s="265"/>
      <c r="I1" s="265"/>
    </row>
    <row r="2" spans="1:9" ht="18.75" customHeight="1" x14ac:dyDescent="0.25">
      <c r="A2" s="265"/>
      <c r="B2" s="265"/>
      <c r="C2" s="265"/>
      <c r="D2" s="265"/>
      <c r="E2" s="265"/>
      <c r="F2" s="265"/>
      <c r="G2" s="265"/>
      <c r="H2" s="265"/>
      <c r="I2" s="265"/>
    </row>
    <row r="3" spans="1:9" ht="18.75" customHeight="1" x14ac:dyDescent="0.25">
      <c r="A3" s="265"/>
      <c r="B3" s="265"/>
      <c r="C3" s="265"/>
      <c r="D3" s="265"/>
      <c r="E3" s="265"/>
      <c r="F3" s="265"/>
      <c r="G3" s="265"/>
      <c r="H3" s="265"/>
      <c r="I3" s="265"/>
    </row>
    <row r="4" spans="1:9" ht="18.75" customHeight="1" x14ac:dyDescent="0.25">
      <c r="A4" s="265"/>
      <c r="B4" s="265"/>
      <c r="C4" s="265"/>
      <c r="D4" s="265"/>
      <c r="E4" s="265"/>
      <c r="F4" s="265"/>
      <c r="G4" s="265"/>
      <c r="H4" s="265"/>
      <c r="I4" s="265"/>
    </row>
    <row r="5" spans="1:9" ht="18.75" customHeight="1" x14ac:dyDescent="0.25">
      <c r="A5" s="265"/>
      <c r="B5" s="265"/>
      <c r="C5" s="265"/>
      <c r="D5" s="265"/>
      <c r="E5" s="265"/>
      <c r="F5" s="265"/>
      <c r="G5" s="265"/>
      <c r="H5" s="265"/>
      <c r="I5" s="265"/>
    </row>
    <row r="6" spans="1:9" ht="18.75" customHeight="1" x14ac:dyDescent="0.25">
      <c r="A6" s="265"/>
      <c r="B6" s="265"/>
      <c r="C6" s="265"/>
      <c r="D6" s="265"/>
      <c r="E6" s="265"/>
      <c r="F6" s="265"/>
      <c r="G6" s="265"/>
      <c r="H6" s="265"/>
      <c r="I6" s="265"/>
    </row>
    <row r="7" spans="1:9" ht="18.75" customHeight="1" x14ac:dyDescent="0.25">
      <c r="A7" s="265"/>
      <c r="B7" s="265"/>
      <c r="C7" s="265"/>
      <c r="D7" s="265"/>
      <c r="E7" s="265"/>
      <c r="F7" s="265"/>
      <c r="G7" s="265"/>
      <c r="H7" s="265"/>
      <c r="I7" s="265"/>
    </row>
    <row r="8" spans="1:9" x14ac:dyDescent="0.25">
      <c r="A8" s="266" t="s">
        <v>47</v>
      </c>
      <c r="B8" s="266"/>
      <c r="C8" s="266"/>
      <c r="D8" s="266"/>
      <c r="E8" s="266"/>
      <c r="F8" s="266"/>
      <c r="G8" s="266"/>
      <c r="H8" s="266"/>
      <c r="I8" s="266"/>
    </row>
    <row r="9" spans="1:9" x14ac:dyDescent="0.25">
      <c r="A9" s="266"/>
      <c r="B9" s="266"/>
      <c r="C9" s="266"/>
      <c r="D9" s="266"/>
      <c r="E9" s="266"/>
      <c r="F9" s="266"/>
      <c r="G9" s="266"/>
      <c r="H9" s="266"/>
      <c r="I9" s="266"/>
    </row>
    <row r="10" spans="1:9" x14ac:dyDescent="0.25">
      <c r="A10" s="266"/>
      <c r="B10" s="266"/>
      <c r="C10" s="266"/>
      <c r="D10" s="266"/>
      <c r="E10" s="266"/>
      <c r="F10" s="266"/>
      <c r="G10" s="266"/>
      <c r="H10" s="266"/>
      <c r="I10" s="266"/>
    </row>
    <row r="11" spans="1:9" x14ac:dyDescent="0.25">
      <c r="A11" s="266"/>
      <c r="B11" s="266"/>
      <c r="C11" s="266"/>
      <c r="D11" s="266"/>
      <c r="E11" s="266"/>
      <c r="F11" s="266"/>
      <c r="G11" s="266"/>
      <c r="H11" s="266"/>
      <c r="I11" s="266"/>
    </row>
    <row r="12" spans="1:9" x14ac:dyDescent="0.25">
      <c r="A12" s="266"/>
      <c r="B12" s="266"/>
      <c r="C12" s="266"/>
      <c r="D12" s="266"/>
      <c r="E12" s="266"/>
      <c r="F12" s="266"/>
      <c r="G12" s="266"/>
      <c r="H12" s="266"/>
      <c r="I12" s="266"/>
    </row>
    <row r="13" spans="1:9" x14ac:dyDescent="0.25">
      <c r="A13" s="266"/>
      <c r="B13" s="266"/>
      <c r="C13" s="266"/>
      <c r="D13" s="266"/>
      <c r="E13" s="266"/>
      <c r="F13" s="266"/>
      <c r="G13" s="266"/>
      <c r="H13" s="266"/>
      <c r="I13" s="266"/>
    </row>
    <row r="14" spans="1:9" x14ac:dyDescent="0.25">
      <c r="A14" s="266"/>
      <c r="B14" s="266"/>
      <c r="C14" s="266"/>
      <c r="D14" s="266"/>
      <c r="E14" s="266"/>
      <c r="F14" s="266"/>
      <c r="G14" s="266"/>
      <c r="H14" s="266"/>
      <c r="I14" s="266"/>
    </row>
    <row r="15" spans="1:9" ht="19.5" customHeight="1" thickBot="1" x14ac:dyDescent="0.35">
      <c r="A15" s="87"/>
    </row>
    <row r="16" spans="1:9" ht="19.5" customHeight="1" thickBot="1" x14ac:dyDescent="0.35">
      <c r="A16" s="267" t="s">
        <v>29</v>
      </c>
      <c r="B16" s="268"/>
      <c r="C16" s="268"/>
      <c r="D16" s="268"/>
      <c r="E16" s="268"/>
      <c r="F16" s="268"/>
      <c r="G16" s="268"/>
      <c r="H16" s="269"/>
    </row>
    <row r="17" spans="1:14" ht="20.25" customHeight="1" x14ac:dyDescent="0.25">
      <c r="A17" s="270" t="s">
        <v>48</v>
      </c>
      <c r="B17" s="270"/>
      <c r="C17" s="270"/>
      <c r="D17" s="270"/>
      <c r="E17" s="270"/>
      <c r="F17" s="270"/>
      <c r="G17" s="270"/>
      <c r="H17" s="270"/>
    </row>
    <row r="18" spans="1:14" ht="26.25" customHeight="1" x14ac:dyDescent="0.4">
      <c r="A18" s="88" t="s">
        <v>31</v>
      </c>
      <c r="B18" s="271" t="s">
        <v>5</v>
      </c>
      <c r="C18" s="271"/>
      <c r="D18" s="89"/>
      <c r="E18" s="90"/>
      <c r="F18" s="91"/>
      <c r="G18" s="91"/>
      <c r="H18" s="91"/>
    </row>
    <row r="19" spans="1:14" ht="26.25" customHeight="1" x14ac:dyDescent="0.4">
      <c r="A19" s="88" t="s">
        <v>33</v>
      </c>
      <c r="B19" s="92" t="s">
        <v>130</v>
      </c>
      <c r="C19" s="91">
        <v>29</v>
      </c>
      <c r="D19" s="91"/>
      <c r="E19" s="91"/>
      <c r="F19" s="91"/>
      <c r="G19" s="91"/>
      <c r="H19" s="91"/>
    </row>
    <row r="20" spans="1:14" ht="26.25" customHeight="1" x14ac:dyDescent="0.4">
      <c r="A20" s="88" t="s">
        <v>34</v>
      </c>
      <c r="B20" s="272" t="s">
        <v>9</v>
      </c>
      <c r="C20" s="272"/>
      <c r="D20" s="91"/>
      <c r="E20" s="91"/>
      <c r="F20" s="91"/>
      <c r="G20" s="91"/>
      <c r="H20" s="91"/>
    </row>
    <row r="21" spans="1:14" ht="26.25" customHeight="1" x14ac:dyDescent="0.4">
      <c r="A21" s="88" t="s">
        <v>36</v>
      </c>
      <c r="B21" s="272" t="s">
        <v>131</v>
      </c>
      <c r="C21" s="272"/>
      <c r="D21" s="272"/>
      <c r="E21" s="272"/>
      <c r="F21" s="272"/>
      <c r="G21" s="272"/>
      <c r="H21" s="272"/>
      <c r="I21" s="93"/>
    </row>
    <row r="22" spans="1:14" ht="26.25" customHeight="1" x14ac:dyDescent="0.4">
      <c r="A22" s="88" t="s">
        <v>38</v>
      </c>
      <c r="B22" s="94">
        <v>42425</v>
      </c>
      <c r="C22" s="91"/>
      <c r="D22" s="91"/>
      <c r="E22" s="91"/>
      <c r="F22" s="91"/>
      <c r="G22" s="91"/>
      <c r="H22" s="91"/>
    </row>
    <row r="23" spans="1:14" ht="26.25" customHeight="1" x14ac:dyDescent="0.4">
      <c r="A23" s="88" t="s">
        <v>39</v>
      </c>
      <c r="B23" s="94">
        <v>42429</v>
      </c>
      <c r="C23" s="91"/>
      <c r="D23" s="91"/>
      <c r="E23" s="91"/>
      <c r="F23" s="91"/>
      <c r="G23" s="91"/>
      <c r="H23" s="91"/>
    </row>
    <row r="24" spans="1:14" ht="18.75" x14ac:dyDescent="0.3">
      <c r="A24" s="88"/>
      <c r="B24" s="95"/>
    </row>
    <row r="25" spans="1:14" ht="18.75" x14ac:dyDescent="0.3">
      <c r="A25" s="96" t="s">
        <v>1</v>
      </c>
      <c r="B25" s="95"/>
    </row>
    <row r="26" spans="1:14" ht="26.25" customHeight="1" x14ac:dyDescent="0.4">
      <c r="A26" s="97" t="s">
        <v>4</v>
      </c>
      <c r="B26" s="271" t="s">
        <v>49</v>
      </c>
      <c r="C26" s="271"/>
    </row>
    <row r="27" spans="1:14" ht="26.25" customHeight="1" x14ac:dyDescent="0.4">
      <c r="A27" s="98" t="s">
        <v>50</v>
      </c>
      <c r="B27" s="273" t="s">
        <v>51</v>
      </c>
      <c r="C27" s="273"/>
    </row>
    <row r="28" spans="1:14" ht="27" customHeight="1" thickBot="1" x14ac:dyDescent="0.45">
      <c r="A28" s="98" t="s">
        <v>6</v>
      </c>
      <c r="B28" s="99">
        <v>100.4</v>
      </c>
    </row>
    <row r="29" spans="1:14" s="12" customFormat="1" ht="27" customHeight="1" thickBot="1" x14ac:dyDescent="0.45">
      <c r="A29" s="98" t="s">
        <v>52</v>
      </c>
      <c r="B29" s="100">
        <v>0</v>
      </c>
      <c r="C29" s="274" t="s">
        <v>53</v>
      </c>
      <c r="D29" s="275"/>
      <c r="E29" s="275"/>
      <c r="F29" s="275"/>
      <c r="G29" s="276"/>
      <c r="I29" s="101"/>
      <c r="J29" s="101"/>
      <c r="K29" s="101"/>
      <c r="L29" s="101"/>
    </row>
    <row r="30" spans="1:14" s="12" customFormat="1" ht="19.5" customHeight="1" thickBot="1" x14ac:dyDescent="0.35">
      <c r="A30" s="98" t="s">
        <v>54</v>
      </c>
      <c r="B30" s="102">
        <f>B28-B29</f>
        <v>100.4</v>
      </c>
      <c r="C30" s="103"/>
      <c r="D30" s="103"/>
      <c r="E30" s="103"/>
      <c r="F30" s="103"/>
      <c r="G30" s="104"/>
      <c r="I30" s="101"/>
      <c r="J30" s="101"/>
      <c r="K30" s="101"/>
      <c r="L30" s="101"/>
    </row>
    <row r="31" spans="1:14" s="12" customFormat="1" ht="27" customHeight="1" thickBot="1" x14ac:dyDescent="0.45">
      <c r="A31" s="98" t="s">
        <v>55</v>
      </c>
      <c r="B31" s="105">
        <v>1</v>
      </c>
      <c r="C31" s="262" t="s">
        <v>56</v>
      </c>
      <c r="D31" s="263"/>
      <c r="E31" s="263"/>
      <c r="F31" s="263"/>
      <c r="G31" s="263"/>
      <c r="H31" s="264"/>
      <c r="I31" s="101"/>
      <c r="J31" s="101"/>
      <c r="K31" s="101"/>
      <c r="L31" s="101"/>
    </row>
    <row r="32" spans="1:14" s="12" customFormat="1" ht="27" customHeight="1" thickBot="1" x14ac:dyDescent="0.45">
      <c r="A32" s="98" t="s">
        <v>57</v>
      </c>
      <c r="B32" s="105">
        <v>1</v>
      </c>
      <c r="C32" s="262" t="s">
        <v>58</v>
      </c>
      <c r="D32" s="263"/>
      <c r="E32" s="263"/>
      <c r="F32" s="263"/>
      <c r="G32" s="263"/>
      <c r="H32" s="264"/>
      <c r="I32" s="101"/>
      <c r="J32" s="101"/>
      <c r="K32" s="101"/>
      <c r="L32" s="106"/>
      <c r="M32" s="106"/>
      <c r="N32" s="107"/>
    </row>
    <row r="33" spans="1:14" s="12" customFormat="1" ht="17.25" customHeight="1" x14ac:dyDescent="0.3">
      <c r="A33" s="98"/>
      <c r="B33" s="108"/>
      <c r="C33" s="109"/>
      <c r="D33" s="109"/>
      <c r="E33" s="109"/>
      <c r="F33" s="109"/>
      <c r="G33" s="109"/>
      <c r="H33" s="109"/>
      <c r="I33" s="101"/>
      <c r="J33" s="101"/>
      <c r="K33" s="101"/>
      <c r="L33" s="106"/>
      <c r="M33" s="106"/>
      <c r="N33" s="107"/>
    </row>
    <row r="34" spans="1:14" s="12" customFormat="1" ht="18.75" x14ac:dyDescent="0.3">
      <c r="A34" s="98" t="s">
        <v>59</v>
      </c>
      <c r="B34" s="110">
        <f>B31/B32</f>
        <v>1</v>
      </c>
      <c r="C34" s="87" t="s">
        <v>60</v>
      </c>
      <c r="D34" s="87"/>
      <c r="E34" s="87"/>
      <c r="F34" s="87"/>
      <c r="G34" s="87"/>
      <c r="I34" s="101"/>
      <c r="J34" s="101"/>
      <c r="K34" s="101"/>
      <c r="L34" s="106"/>
      <c r="M34" s="106"/>
      <c r="N34" s="107"/>
    </row>
    <row r="35" spans="1:14" s="12" customFormat="1" ht="19.5" customHeight="1" thickBot="1" x14ac:dyDescent="0.35">
      <c r="A35" s="98"/>
      <c r="B35" s="102"/>
      <c r="G35" s="87"/>
      <c r="I35" s="101"/>
      <c r="J35" s="101"/>
      <c r="K35" s="101"/>
      <c r="L35" s="106"/>
      <c r="M35" s="106"/>
      <c r="N35" s="107"/>
    </row>
    <row r="36" spans="1:14" s="12" customFormat="1" ht="27" customHeight="1" thickBot="1" x14ac:dyDescent="0.45">
      <c r="A36" s="111" t="s">
        <v>61</v>
      </c>
      <c r="B36" s="112">
        <v>25</v>
      </c>
      <c r="C36" s="87"/>
      <c r="D36" s="282" t="s">
        <v>62</v>
      </c>
      <c r="E36" s="283"/>
      <c r="F36" s="282" t="s">
        <v>63</v>
      </c>
      <c r="G36" s="284"/>
      <c r="J36" s="101"/>
      <c r="K36" s="101"/>
      <c r="L36" s="106"/>
      <c r="M36" s="106"/>
      <c r="N36" s="107"/>
    </row>
    <row r="37" spans="1:14" s="12" customFormat="1" ht="27" customHeight="1" thickBot="1" x14ac:dyDescent="0.45">
      <c r="A37" s="113" t="s">
        <v>64</v>
      </c>
      <c r="B37" s="114">
        <v>4</v>
      </c>
      <c r="C37" s="115" t="s">
        <v>65</v>
      </c>
      <c r="D37" s="116" t="s">
        <v>66</v>
      </c>
      <c r="E37" s="117" t="s">
        <v>67</v>
      </c>
      <c r="F37" s="116" t="s">
        <v>66</v>
      </c>
      <c r="G37" s="118" t="s">
        <v>67</v>
      </c>
      <c r="I37" s="119" t="s">
        <v>68</v>
      </c>
      <c r="J37" s="101"/>
      <c r="K37" s="101"/>
      <c r="L37" s="106"/>
      <c r="M37" s="106"/>
      <c r="N37" s="107"/>
    </row>
    <row r="38" spans="1:14" s="12" customFormat="1" ht="26.25" customHeight="1" x14ac:dyDescent="0.4">
      <c r="A38" s="113" t="s">
        <v>69</v>
      </c>
      <c r="B38" s="114">
        <v>25</v>
      </c>
      <c r="C38" s="120">
        <v>1</v>
      </c>
      <c r="D38" s="121">
        <v>97889980</v>
      </c>
      <c r="E38" s="122">
        <f>IF(ISBLANK(D38),"-",$D$48/$D$45*D38)</f>
        <v>95613212.682741836</v>
      </c>
      <c r="F38" s="121">
        <v>94441893</v>
      </c>
      <c r="G38" s="123">
        <f>IF(ISBLANK(F38),"-",$D$48/$F$45*F38)</f>
        <v>95750845.356359586</v>
      </c>
      <c r="I38" s="124"/>
      <c r="J38" s="101"/>
      <c r="K38" s="101"/>
      <c r="L38" s="106"/>
      <c r="M38" s="106"/>
      <c r="N38" s="107"/>
    </row>
    <row r="39" spans="1:14" s="12" customFormat="1" ht="26.25" customHeight="1" x14ac:dyDescent="0.4">
      <c r="A39" s="113" t="s">
        <v>70</v>
      </c>
      <c r="B39" s="114">
        <v>1</v>
      </c>
      <c r="C39" s="125">
        <v>2</v>
      </c>
      <c r="D39" s="126">
        <v>98109976</v>
      </c>
      <c r="E39" s="127">
        <f>IF(ISBLANK(D39),"-",$D$48/$D$45*D39)</f>
        <v>95828091.921018854</v>
      </c>
      <c r="F39" s="126">
        <v>94521267</v>
      </c>
      <c r="G39" s="128">
        <f>IF(ISBLANK(F39),"-",$D$48/$F$45*F39)</f>
        <v>95831319.469678298</v>
      </c>
      <c r="I39" s="285">
        <f>ABS((F43/D43*D42)-F42)/D42</f>
        <v>6.0828117053109913E-4</v>
      </c>
      <c r="J39" s="101"/>
      <c r="K39" s="101"/>
      <c r="L39" s="106"/>
      <c r="M39" s="106"/>
      <c r="N39" s="107"/>
    </row>
    <row r="40" spans="1:14" ht="26.25" customHeight="1" x14ac:dyDescent="0.4">
      <c r="A40" s="113" t="s">
        <v>71</v>
      </c>
      <c r="B40" s="114">
        <v>1</v>
      </c>
      <c r="C40" s="125">
        <v>3</v>
      </c>
      <c r="D40" s="126">
        <v>98114684</v>
      </c>
      <c r="E40" s="127">
        <f>IF(ISBLANK(D40),"-",$D$48/$D$45*D40)</f>
        <v>95832690.420327052</v>
      </c>
      <c r="F40" s="126">
        <v>94562589</v>
      </c>
      <c r="G40" s="128">
        <f>IF(ISBLANK(F40),"-",$D$48/$F$45*F40)</f>
        <v>95873214.187225044</v>
      </c>
      <c r="I40" s="285"/>
      <c r="L40" s="106"/>
      <c r="M40" s="106"/>
      <c r="N40" s="87"/>
    </row>
    <row r="41" spans="1:14" ht="27" customHeight="1" thickBot="1" x14ac:dyDescent="0.45">
      <c r="A41" s="113" t="s">
        <v>72</v>
      </c>
      <c r="B41" s="114">
        <v>1</v>
      </c>
      <c r="C41" s="129">
        <v>4</v>
      </c>
      <c r="D41" s="130"/>
      <c r="E41" s="131" t="str">
        <f>IF(ISBLANK(D41),"-",$D$48/$D$45*D41)</f>
        <v>-</v>
      </c>
      <c r="F41" s="130"/>
      <c r="G41" s="132" t="str">
        <f>IF(ISBLANK(F41),"-",$D$48/$F$45*F41)</f>
        <v>-</v>
      </c>
      <c r="I41" s="133"/>
      <c r="L41" s="106"/>
      <c r="M41" s="106"/>
      <c r="N41" s="87"/>
    </row>
    <row r="42" spans="1:14" ht="27" customHeight="1" thickBot="1" x14ac:dyDescent="0.45">
      <c r="A42" s="113" t="s">
        <v>73</v>
      </c>
      <c r="B42" s="114">
        <v>1</v>
      </c>
      <c r="C42" s="134" t="s">
        <v>74</v>
      </c>
      <c r="D42" s="135">
        <f>AVERAGE(D38:D41)</f>
        <v>98038213.333333328</v>
      </c>
      <c r="E42" s="136">
        <f>AVERAGE(E38:E41)</f>
        <v>95757998.341362581</v>
      </c>
      <c r="F42" s="135">
        <f>AVERAGE(F38:F41)</f>
        <v>94508583</v>
      </c>
      <c r="G42" s="137">
        <f>AVERAGE(G38:G41)</f>
        <v>95818459.671087638</v>
      </c>
      <c r="H42" s="36"/>
    </row>
    <row r="43" spans="1:14" ht="26.25" customHeight="1" x14ac:dyDescent="0.4">
      <c r="A43" s="113" t="s">
        <v>75</v>
      </c>
      <c r="B43" s="114">
        <v>1</v>
      </c>
      <c r="C43" s="138" t="s">
        <v>76</v>
      </c>
      <c r="D43" s="139">
        <v>19.12</v>
      </c>
      <c r="E43" s="87"/>
      <c r="F43" s="139">
        <v>18.420000000000002</v>
      </c>
      <c r="H43" s="36"/>
    </row>
    <row r="44" spans="1:14" ht="26.25" customHeight="1" x14ac:dyDescent="0.4">
      <c r="A44" s="113" t="s">
        <v>77</v>
      </c>
      <c r="B44" s="114">
        <v>1</v>
      </c>
      <c r="C44" s="140" t="s">
        <v>78</v>
      </c>
      <c r="D44" s="141">
        <f>D43*$B$34</f>
        <v>19.12</v>
      </c>
      <c r="E44" s="142"/>
      <c r="F44" s="141">
        <f>F43*$B$34</f>
        <v>18.420000000000002</v>
      </c>
      <c r="H44" s="36"/>
    </row>
    <row r="45" spans="1:14" ht="19.5" customHeight="1" thickBot="1" x14ac:dyDescent="0.35">
      <c r="A45" s="113" t="s">
        <v>79</v>
      </c>
      <c r="B45" s="125">
        <f>(B44/B43)*(B42/B41)*(B40/B39)*(B38/B37)*B36</f>
        <v>156.25</v>
      </c>
      <c r="C45" s="140" t="s">
        <v>80</v>
      </c>
      <c r="D45" s="143">
        <f>D44*$B$30/100</f>
        <v>19.196480000000001</v>
      </c>
      <c r="E45" s="144"/>
      <c r="F45" s="143">
        <f>F44*$B$30/100</f>
        <v>18.493680000000001</v>
      </c>
      <c r="H45" s="36"/>
    </row>
    <row r="46" spans="1:14" ht="19.5" customHeight="1" thickBot="1" x14ac:dyDescent="0.35">
      <c r="A46" s="286" t="s">
        <v>81</v>
      </c>
      <c r="B46" s="287"/>
      <c r="C46" s="140" t="s">
        <v>82</v>
      </c>
      <c r="D46" s="145">
        <f>D45/$B$45</f>
        <v>0.12285747200000001</v>
      </c>
      <c r="E46" s="146"/>
      <c r="F46" s="147">
        <f>F45/$B$45</f>
        <v>0.11835955200000001</v>
      </c>
      <c r="H46" s="36"/>
    </row>
    <row r="47" spans="1:14" ht="27" customHeight="1" thickBot="1" x14ac:dyDescent="0.45">
      <c r="A47" s="288"/>
      <c r="B47" s="289"/>
      <c r="C47" s="148" t="s">
        <v>83</v>
      </c>
      <c r="D47" s="149">
        <v>0.12</v>
      </c>
      <c r="E47" s="150"/>
      <c r="F47" s="146"/>
      <c r="H47" s="36"/>
    </row>
    <row r="48" spans="1:14" ht="18.75" x14ac:dyDescent="0.3">
      <c r="C48" s="151" t="s">
        <v>84</v>
      </c>
      <c r="D48" s="143">
        <f>D47*$B$45</f>
        <v>18.75</v>
      </c>
      <c r="F48" s="152"/>
      <c r="H48" s="36"/>
    </row>
    <row r="49" spans="1:12" ht="19.5" customHeight="1" thickBot="1" x14ac:dyDescent="0.35">
      <c r="C49" s="153" t="s">
        <v>85</v>
      </c>
      <c r="D49" s="154">
        <f>D48/B34</f>
        <v>18.75</v>
      </c>
      <c r="F49" s="152"/>
      <c r="H49" s="36"/>
    </row>
    <row r="50" spans="1:12" ht="18.75" x14ac:dyDescent="0.3">
      <c r="C50" s="111" t="s">
        <v>86</v>
      </c>
      <c r="D50" s="155">
        <f>AVERAGE(E38:E41,G38:G41)</f>
        <v>95788229.006225109</v>
      </c>
      <c r="F50" s="156"/>
      <c r="H50" s="36"/>
    </row>
    <row r="51" spans="1:12" ht="18.75" x14ac:dyDescent="0.3">
      <c r="C51" s="113" t="s">
        <v>87</v>
      </c>
      <c r="D51" s="157">
        <f>STDEV(E38:E41,G38:G41)/D50</f>
        <v>9.8679582773426237E-4</v>
      </c>
      <c r="F51" s="156"/>
      <c r="H51" s="36"/>
    </row>
    <row r="52" spans="1:12" ht="19.5" customHeight="1" thickBot="1" x14ac:dyDescent="0.35">
      <c r="C52" s="158" t="s">
        <v>19</v>
      </c>
      <c r="D52" s="159">
        <f>COUNT(E38:E41,G38:G41)</f>
        <v>6</v>
      </c>
      <c r="F52" s="156"/>
    </row>
    <row r="54" spans="1:12" ht="18.75" x14ac:dyDescent="0.3">
      <c r="A54" s="160" t="s">
        <v>1</v>
      </c>
      <c r="B54" s="161" t="s">
        <v>88</v>
      </c>
    </row>
    <row r="55" spans="1:12" ht="18.75" x14ac:dyDescent="0.3">
      <c r="A55" s="87" t="s">
        <v>89</v>
      </c>
      <c r="B55" s="162" t="str">
        <f>B21</f>
        <v xml:space="preserve">Each film coated tablet contains Tenofovir Disoproxil Fumarate 300mg, Lamivudine 300mg
Lamivudine USP 300 mg   </v>
      </c>
    </row>
    <row r="56" spans="1:12" ht="26.25" customHeight="1" x14ac:dyDescent="0.4">
      <c r="A56" s="162" t="s">
        <v>90</v>
      </c>
      <c r="B56" s="163">
        <v>300</v>
      </c>
      <c r="C56" s="87" t="str">
        <f>B20</f>
        <v xml:space="preserve">Tenofovir Disoproxil Fumarate 300mg, Lamivudine 300mg  </v>
      </c>
      <c r="H56" s="142"/>
    </row>
    <row r="57" spans="1:12" ht="18.75" x14ac:dyDescent="0.3">
      <c r="A57" s="162" t="s">
        <v>91</v>
      </c>
      <c r="B57" s="164">
        <f>'[1]Uniformity (2)'!C36</f>
        <v>866.7700000000001</v>
      </c>
      <c r="H57" s="142"/>
    </row>
    <row r="58" spans="1:12" ht="19.5" customHeight="1" thickBot="1" x14ac:dyDescent="0.35">
      <c r="H58" s="142"/>
    </row>
    <row r="59" spans="1:12" s="12" customFormat="1" ht="27" customHeight="1" thickBot="1" x14ac:dyDescent="0.45">
      <c r="A59" s="111" t="s">
        <v>92</v>
      </c>
      <c r="B59" s="112">
        <v>100</v>
      </c>
      <c r="C59" s="87"/>
      <c r="D59" s="165" t="s">
        <v>93</v>
      </c>
      <c r="E59" s="166" t="s">
        <v>65</v>
      </c>
      <c r="F59" s="166" t="s">
        <v>66</v>
      </c>
      <c r="G59" s="166" t="s">
        <v>94</v>
      </c>
      <c r="H59" s="115" t="s">
        <v>95</v>
      </c>
      <c r="L59" s="101"/>
    </row>
    <row r="60" spans="1:12" s="12" customFormat="1" ht="26.25" customHeight="1" x14ac:dyDescent="0.4">
      <c r="A60" s="113" t="s">
        <v>96</v>
      </c>
      <c r="B60" s="114">
        <v>1</v>
      </c>
      <c r="C60" s="290" t="s">
        <v>97</v>
      </c>
      <c r="D60" s="293">
        <v>875.9</v>
      </c>
      <c r="E60" s="167">
        <v>1</v>
      </c>
      <c r="F60" s="168">
        <v>93791492</v>
      </c>
      <c r="G60" s="169">
        <f>IF(ISBLANK(F60),"-",(F60/$D$50*$D$47*$B$68)*($B$57/$D$60))</f>
        <v>290.68451722749921</v>
      </c>
      <c r="H60" s="170">
        <f t="shared" ref="H60:H71" si="0">IF(ISBLANK(F60),"-",G60/$B$56)</f>
        <v>0.96894839075833072</v>
      </c>
      <c r="L60" s="101"/>
    </row>
    <row r="61" spans="1:12" s="12" customFormat="1" ht="26.25" customHeight="1" x14ac:dyDescent="0.4">
      <c r="A61" s="113" t="s">
        <v>98</v>
      </c>
      <c r="B61" s="114">
        <v>25</v>
      </c>
      <c r="C61" s="291"/>
      <c r="D61" s="294"/>
      <c r="E61" s="171">
        <v>2</v>
      </c>
      <c r="F61" s="126">
        <v>93937680</v>
      </c>
      <c r="G61" s="172">
        <f>IF(ISBLANK(F61),"-",(F61/$D$50*$D$47*$B$68)*($B$57/$D$60))</f>
        <v>291.13759231243824</v>
      </c>
      <c r="H61" s="173">
        <f t="shared" si="0"/>
        <v>0.97045864104146085</v>
      </c>
      <c r="L61" s="101"/>
    </row>
    <row r="62" spans="1:12" s="12" customFormat="1" ht="26.25" customHeight="1" x14ac:dyDescent="0.4">
      <c r="A62" s="113" t="s">
        <v>99</v>
      </c>
      <c r="B62" s="114">
        <v>1</v>
      </c>
      <c r="C62" s="291"/>
      <c r="D62" s="294"/>
      <c r="E62" s="171">
        <v>3</v>
      </c>
      <c r="F62" s="174">
        <v>93588431</v>
      </c>
      <c r="G62" s="172">
        <f>IF(ISBLANK(F62),"-",(F62/$D$50*$D$47*$B$68)*($B$57/$D$60))</f>
        <v>290.05517774804269</v>
      </c>
      <c r="H62" s="173">
        <f t="shared" si="0"/>
        <v>0.9668505924934756</v>
      </c>
      <c r="L62" s="101"/>
    </row>
    <row r="63" spans="1:12" ht="27" customHeight="1" thickBot="1" x14ac:dyDescent="0.45">
      <c r="A63" s="113" t="s">
        <v>100</v>
      </c>
      <c r="B63" s="114">
        <v>1</v>
      </c>
      <c r="C63" s="292"/>
      <c r="D63" s="295"/>
      <c r="E63" s="175">
        <v>4</v>
      </c>
      <c r="F63" s="176"/>
      <c r="G63" s="172" t="str">
        <f>IF(ISBLANK(F63),"-",(F63/$D$50*$D$47*$B$68)*($B$57/$D$60))</f>
        <v>-</v>
      </c>
      <c r="H63" s="173" t="str">
        <f t="shared" si="0"/>
        <v>-</v>
      </c>
    </row>
    <row r="64" spans="1:12" ht="26.25" customHeight="1" x14ac:dyDescent="0.4">
      <c r="A64" s="113" t="s">
        <v>101</v>
      </c>
      <c r="B64" s="114">
        <v>1</v>
      </c>
      <c r="C64" s="290" t="s">
        <v>102</v>
      </c>
      <c r="D64" s="293">
        <v>867.99</v>
      </c>
      <c r="E64" s="167">
        <v>1</v>
      </c>
      <c r="F64" s="168">
        <v>93141265</v>
      </c>
      <c r="G64" s="177">
        <f>IF(ISBLANK(F64),"-",(F64/$D$50*$D$47*$B$68)*($B$57/$D$64))</f>
        <v>291.29993826638889</v>
      </c>
      <c r="H64" s="178">
        <f t="shared" si="0"/>
        <v>0.97099979422129634</v>
      </c>
    </row>
    <row r="65" spans="1:8" ht="26.25" customHeight="1" x14ac:dyDescent="0.4">
      <c r="A65" s="113" t="s">
        <v>103</v>
      </c>
      <c r="B65" s="114">
        <v>1</v>
      </c>
      <c r="C65" s="291"/>
      <c r="D65" s="294"/>
      <c r="E65" s="171">
        <v>2</v>
      </c>
      <c r="F65" s="126">
        <v>93335159</v>
      </c>
      <c r="G65" s="179">
        <f>IF(ISBLANK(F65),"-",(F65/$D$50*$D$47*$B$68)*($B$57/$D$64))</f>
        <v>291.90634306699172</v>
      </c>
      <c r="H65" s="180">
        <f t="shared" si="0"/>
        <v>0.97302114355663905</v>
      </c>
    </row>
    <row r="66" spans="1:8" ht="26.25" customHeight="1" x14ac:dyDescent="0.4">
      <c r="A66" s="113" t="s">
        <v>104</v>
      </c>
      <c r="B66" s="114">
        <v>1</v>
      </c>
      <c r="C66" s="291"/>
      <c r="D66" s="294"/>
      <c r="E66" s="171">
        <v>3</v>
      </c>
      <c r="F66" s="126">
        <v>92793856</v>
      </c>
      <c r="G66" s="179">
        <f>IF(ISBLANK(F66),"-",(F66/$D$50*$D$47*$B$68)*($B$57/$D$64))</f>
        <v>290.21341426166134</v>
      </c>
      <c r="H66" s="180">
        <f t="shared" si="0"/>
        <v>0.96737804753887113</v>
      </c>
    </row>
    <row r="67" spans="1:8" ht="27" customHeight="1" thickBot="1" x14ac:dyDescent="0.45">
      <c r="A67" s="113" t="s">
        <v>105</v>
      </c>
      <c r="B67" s="114">
        <v>1</v>
      </c>
      <c r="C67" s="292"/>
      <c r="D67" s="295"/>
      <c r="E67" s="175">
        <v>4</v>
      </c>
      <c r="F67" s="176"/>
      <c r="G67" s="181" t="str">
        <f>IF(ISBLANK(F67),"-",(F67/$D$50*$D$47*$B$68)*($B$57/$D$64))</f>
        <v>-</v>
      </c>
      <c r="H67" s="182" t="str">
        <f t="shared" si="0"/>
        <v>-</v>
      </c>
    </row>
    <row r="68" spans="1:8" ht="26.25" customHeight="1" x14ac:dyDescent="0.4">
      <c r="A68" s="113" t="s">
        <v>106</v>
      </c>
      <c r="B68" s="183">
        <f>(B67/B66)*(B65/B64)*(B63/B62)*(B61/B60)*B59</f>
        <v>2500</v>
      </c>
      <c r="C68" s="290" t="s">
        <v>107</v>
      </c>
      <c r="D68" s="293">
        <v>870.85</v>
      </c>
      <c r="E68" s="167">
        <v>1</v>
      </c>
      <c r="F68" s="168">
        <v>93453755</v>
      </c>
      <c r="G68" s="177">
        <f>IF(ISBLANK(F68),"-",(F68/$D$50*$D$47*$B$68)*($B$57/$D$68))</f>
        <v>291.31737120217508</v>
      </c>
      <c r="H68" s="173">
        <f t="shared" si="0"/>
        <v>0.97105790400725023</v>
      </c>
    </row>
    <row r="69" spans="1:8" ht="27" customHeight="1" thickBot="1" x14ac:dyDescent="0.45">
      <c r="A69" s="158" t="s">
        <v>108</v>
      </c>
      <c r="B69" s="184">
        <f>(D47*B68)/B56*B57</f>
        <v>866.7700000000001</v>
      </c>
      <c r="C69" s="291"/>
      <c r="D69" s="294"/>
      <c r="E69" s="171">
        <v>2</v>
      </c>
      <c r="F69" s="126">
        <v>93432571</v>
      </c>
      <c r="G69" s="179">
        <f>IF(ISBLANK(F69),"-",(F69/$D$50*$D$47*$B$68)*($B$57/$D$68))</f>
        <v>291.25133568341454</v>
      </c>
      <c r="H69" s="173">
        <f t="shared" si="0"/>
        <v>0.97083778561138179</v>
      </c>
    </row>
    <row r="70" spans="1:8" ht="26.25" customHeight="1" x14ac:dyDescent="0.4">
      <c r="A70" s="277" t="s">
        <v>81</v>
      </c>
      <c r="B70" s="278"/>
      <c r="C70" s="291"/>
      <c r="D70" s="294"/>
      <c r="E70" s="171">
        <v>3</v>
      </c>
      <c r="F70" s="126">
        <v>93741651</v>
      </c>
      <c r="G70" s="179">
        <f>IF(ISBLANK(F70),"-",(F70/$D$50*$D$47*$B$68)*($B$57/$D$68))</f>
        <v>292.21481085989262</v>
      </c>
      <c r="H70" s="173">
        <f t="shared" si="0"/>
        <v>0.97404936953297538</v>
      </c>
    </row>
    <row r="71" spans="1:8" ht="27" customHeight="1" thickBot="1" x14ac:dyDescent="0.45">
      <c r="A71" s="279"/>
      <c r="B71" s="280"/>
      <c r="C71" s="296"/>
      <c r="D71" s="295"/>
      <c r="E71" s="175">
        <v>4</v>
      </c>
      <c r="F71" s="176"/>
      <c r="G71" s="181" t="str">
        <f>IF(ISBLANK(F71),"-",(F71/$D$50*$D$47*$B$68)*($B$57/$D$68))</f>
        <v>-</v>
      </c>
      <c r="H71" s="185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86" t="s">
        <v>74</v>
      </c>
      <c r="G72" s="187">
        <f>AVERAGE(G60:G71)</f>
        <v>291.12005562538934</v>
      </c>
      <c r="H72" s="188">
        <f>AVERAGE(H60:H71)</f>
        <v>0.97040018541796458</v>
      </c>
    </row>
    <row r="73" spans="1:8" ht="26.25" customHeight="1" x14ac:dyDescent="0.4">
      <c r="C73" s="142"/>
      <c r="D73" s="142"/>
      <c r="E73" s="142"/>
      <c r="F73" s="189" t="s">
        <v>87</v>
      </c>
      <c r="G73" s="190">
        <f>STDEV(G60:G71)/G72</f>
        <v>2.4444220160571178E-3</v>
      </c>
      <c r="H73" s="190">
        <f>STDEV(H60:H71)/H72</f>
        <v>2.4444220160571165E-3</v>
      </c>
    </row>
    <row r="74" spans="1:8" ht="27" customHeight="1" thickBot="1" x14ac:dyDescent="0.45">
      <c r="A74" s="142"/>
      <c r="B74" s="142"/>
      <c r="C74" s="142"/>
      <c r="D74" s="142"/>
      <c r="E74" s="144"/>
      <c r="F74" s="191" t="s">
        <v>19</v>
      </c>
      <c r="G74" s="192">
        <f>COUNT(G60:G71)</f>
        <v>9</v>
      </c>
      <c r="H74" s="192">
        <f>COUNT(H60:H71)</f>
        <v>9</v>
      </c>
    </row>
    <row r="76" spans="1:8" ht="26.25" customHeight="1" x14ac:dyDescent="0.4">
      <c r="A76" s="97" t="s">
        <v>109</v>
      </c>
      <c r="B76" s="98" t="s">
        <v>110</v>
      </c>
      <c r="C76" s="281" t="str">
        <f>B20</f>
        <v xml:space="preserve">Tenofovir Disoproxil Fumarate 300mg, Lamivudine 300mg  </v>
      </c>
      <c r="D76" s="281"/>
      <c r="E76" s="87" t="s">
        <v>111</v>
      </c>
      <c r="F76" s="87"/>
      <c r="G76" s="193">
        <f>H72</f>
        <v>0.97040018541796458</v>
      </c>
      <c r="H76" s="102"/>
    </row>
    <row r="77" spans="1:8" ht="18.75" x14ac:dyDescent="0.3">
      <c r="A77" s="96" t="s">
        <v>112</v>
      </c>
      <c r="B77" s="96" t="s">
        <v>113</v>
      </c>
    </row>
    <row r="78" spans="1:8" ht="18.75" x14ac:dyDescent="0.3">
      <c r="A78" s="96"/>
      <c r="B78" s="96"/>
    </row>
    <row r="79" spans="1:8" ht="26.25" customHeight="1" x14ac:dyDescent="0.4">
      <c r="A79" s="97" t="s">
        <v>4</v>
      </c>
      <c r="B79" s="297" t="str">
        <f>B26</f>
        <v>Lamivudine</v>
      </c>
      <c r="C79" s="297"/>
    </row>
    <row r="80" spans="1:8" ht="26.25" customHeight="1" x14ac:dyDescent="0.4">
      <c r="A80" s="98" t="s">
        <v>50</v>
      </c>
      <c r="B80" s="297" t="str">
        <f>B27</f>
        <v>L3-7</v>
      </c>
      <c r="C80" s="297"/>
    </row>
    <row r="81" spans="1:12" ht="27" customHeight="1" thickBot="1" x14ac:dyDescent="0.45">
      <c r="A81" s="98" t="s">
        <v>6</v>
      </c>
      <c r="B81" s="99">
        <f>B28</f>
        <v>100.4</v>
      </c>
    </row>
    <row r="82" spans="1:12" s="12" customFormat="1" ht="27" customHeight="1" thickBot="1" x14ac:dyDescent="0.45">
      <c r="A82" s="98" t="s">
        <v>52</v>
      </c>
      <c r="B82" s="100">
        <v>0</v>
      </c>
      <c r="C82" s="274" t="s">
        <v>53</v>
      </c>
      <c r="D82" s="275"/>
      <c r="E82" s="275"/>
      <c r="F82" s="275"/>
      <c r="G82" s="276"/>
      <c r="I82" s="101"/>
      <c r="J82" s="101"/>
      <c r="K82" s="101"/>
      <c r="L82" s="101"/>
    </row>
    <row r="83" spans="1:12" s="12" customFormat="1" ht="19.5" customHeight="1" thickBot="1" x14ac:dyDescent="0.35">
      <c r="A83" s="98" t="s">
        <v>54</v>
      </c>
      <c r="B83" s="102">
        <f>B81-B82</f>
        <v>100.4</v>
      </c>
      <c r="C83" s="103"/>
      <c r="D83" s="103"/>
      <c r="E83" s="103"/>
      <c r="F83" s="103"/>
      <c r="G83" s="104"/>
      <c r="I83" s="101"/>
      <c r="J83" s="101"/>
      <c r="K83" s="101"/>
      <c r="L83" s="101"/>
    </row>
    <row r="84" spans="1:12" s="12" customFormat="1" ht="27" customHeight="1" thickBot="1" x14ac:dyDescent="0.45">
      <c r="A84" s="98" t="s">
        <v>55</v>
      </c>
      <c r="B84" s="105">
        <v>1</v>
      </c>
      <c r="C84" s="262" t="s">
        <v>114</v>
      </c>
      <c r="D84" s="263"/>
      <c r="E84" s="263"/>
      <c r="F84" s="263"/>
      <c r="G84" s="263"/>
      <c r="H84" s="264"/>
      <c r="I84" s="101"/>
      <c r="J84" s="101"/>
      <c r="K84" s="101"/>
      <c r="L84" s="101"/>
    </row>
    <row r="85" spans="1:12" s="12" customFormat="1" ht="27" customHeight="1" thickBot="1" x14ac:dyDescent="0.45">
      <c r="A85" s="98" t="s">
        <v>57</v>
      </c>
      <c r="B85" s="105">
        <v>1</v>
      </c>
      <c r="C85" s="262" t="s">
        <v>115</v>
      </c>
      <c r="D85" s="263"/>
      <c r="E85" s="263"/>
      <c r="F85" s="263"/>
      <c r="G85" s="263"/>
      <c r="H85" s="264"/>
      <c r="I85" s="101"/>
      <c r="J85" s="101"/>
      <c r="K85" s="101"/>
      <c r="L85" s="101"/>
    </row>
    <row r="86" spans="1:12" s="12" customFormat="1" ht="18.75" x14ac:dyDescent="0.3">
      <c r="A86" s="98"/>
      <c r="B86" s="108"/>
      <c r="C86" s="109"/>
      <c r="D86" s="109"/>
      <c r="E86" s="109"/>
      <c r="F86" s="109"/>
      <c r="G86" s="109"/>
      <c r="H86" s="109"/>
      <c r="I86" s="101"/>
      <c r="J86" s="101"/>
      <c r="K86" s="101"/>
      <c r="L86" s="101"/>
    </row>
    <row r="87" spans="1:12" s="12" customFormat="1" ht="18.75" x14ac:dyDescent="0.3">
      <c r="A87" s="98" t="s">
        <v>59</v>
      </c>
      <c r="B87" s="110">
        <f>B84/B85</f>
        <v>1</v>
      </c>
      <c r="C87" s="87" t="s">
        <v>60</v>
      </c>
      <c r="D87" s="87"/>
      <c r="E87" s="87"/>
      <c r="F87" s="87"/>
      <c r="G87" s="87"/>
      <c r="I87" s="101"/>
      <c r="J87" s="101"/>
      <c r="K87" s="101"/>
      <c r="L87" s="101"/>
    </row>
    <row r="88" spans="1:12" ht="19.5" customHeight="1" thickBot="1" x14ac:dyDescent="0.35">
      <c r="A88" s="96"/>
      <c r="B88" s="96"/>
    </row>
    <row r="89" spans="1:12" ht="27" customHeight="1" thickBot="1" x14ac:dyDescent="0.45">
      <c r="A89" s="111" t="s">
        <v>61</v>
      </c>
      <c r="B89" s="112">
        <v>25</v>
      </c>
      <c r="D89" s="194" t="s">
        <v>62</v>
      </c>
      <c r="E89" s="195"/>
      <c r="F89" s="282" t="s">
        <v>63</v>
      </c>
      <c r="G89" s="284"/>
    </row>
    <row r="90" spans="1:12" ht="27" customHeight="1" thickBot="1" x14ac:dyDescent="0.45">
      <c r="A90" s="113" t="s">
        <v>64</v>
      </c>
      <c r="B90" s="114">
        <v>10</v>
      </c>
      <c r="C90" s="196" t="s">
        <v>65</v>
      </c>
      <c r="D90" s="116" t="s">
        <v>66</v>
      </c>
      <c r="E90" s="117" t="s">
        <v>67</v>
      </c>
      <c r="F90" s="116" t="s">
        <v>66</v>
      </c>
      <c r="G90" s="197" t="s">
        <v>67</v>
      </c>
      <c r="I90" s="119" t="s">
        <v>68</v>
      </c>
    </row>
    <row r="91" spans="1:12" ht="26.25" customHeight="1" x14ac:dyDescent="0.4">
      <c r="A91" s="113" t="s">
        <v>69</v>
      </c>
      <c r="B91" s="114">
        <v>25</v>
      </c>
      <c r="C91" s="198">
        <v>1</v>
      </c>
      <c r="D91" s="121">
        <v>241149855</v>
      </c>
      <c r="E91" s="122">
        <f>IF(ISBLANK(D91),"-",$D$101/$D$98*D91)</f>
        <v>235541087.80620196</v>
      </c>
      <c r="F91" s="121">
        <v>232423158</v>
      </c>
      <c r="G91" s="123">
        <f>IF(ISBLANK(F91),"-",$D$101/$F$98*F91)</f>
        <v>235644512.74705738</v>
      </c>
      <c r="I91" s="124"/>
    </row>
    <row r="92" spans="1:12" ht="26.25" customHeight="1" x14ac:dyDescent="0.4">
      <c r="A92" s="113" t="s">
        <v>70</v>
      </c>
      <c r="B92" s="114">
        <v>1</v>
      </c>
      <c r="C92" s="142">
        <v>2</v>
      </c>
      <c r="D92" s="126">
        <v>241572252</v>
      </c>
      <c r="E92" s="127">
        <f>IF(ISBLANK(D92),"-",$D$101/$D$98*D92)</f>
        <v>235953660.51484439</v>
      </c>
      <c r="F92" s="126">
        <v>232696079</v>
      </c>
      <c r="G92" s="128">
        <f>IF(ISBLANK(F92),"-",$D$101/$F$98*F92)</f>
        <v>235921216.39662847</v>
      </c>
      <c r="I92" s="285">
        <f>ABS((F96/D96*D95)-F95)/D95</f>
        <v>4.9932176884909946E-4</v>
      </c>
    </row>
    <row r="93" spans="1:12" ht="26.25" customHeight="1" x14ac:dyDescent="0.4">
      <c r="A93" s="113" t="s">
        <v>71</v>
      </c>
      <c r="B93" s="114">
        <v>1</v>
      </c>
      <c r="C93" s="142">
        <v>3</v>
      </c>
      <c r="D93" s="126">
        <v>241968886</v>
      </c>
      <c r="E93" s="127">
        <f>IF(ISBLANK(D93),"-",$D$101/$D$98*D93)</f>
        <v>236341069.43043724</v>
      </c>
      <c r="F93" s="126">
        <v>232678328</v>
      </c>
      <c r="G93" s="128">
        <f>IF(ISBLANK(F93),"-",$D$101/$F$98*F93)</f>
        <v>235903219.37007672</v>
      </c>
      <c r="I93" s="285"/>
    </row>
    <row r="94" spans="1:12" ht="27" customHeight="1" thickBot="1" x14ac:dyDescent="0.45">
      <c r="A94" s="113" t="s">
        <v>72</v>
      </c>
      <c r="B94" s="114">
        <v>1</v>
      </c>
      <c r="C94" s="199">
        <v>4</v>
      </c>
      <c r="D94" s="130"/>
      <c r="E94" s="131" t="str">
        <f>IF(ISBLANK(D94),"-",$D$101/$D$98*D94)</f>
        <v>-</v>
      </c>
      <c r="F94" s="200"/>
      <c r="G94" s="132" t="str">
        <f>IF(ISBLANK(F94),"-",$D$101/$F$98*F94)</f>
        <v>-</v>
      </c>
      <c r="I94" s="133"/>
    </row>
    <row r="95" spans="1:12" ht="27" customHeight="1" thickBot="1" x14ac:dyDescent="0.45">
      <c r="A95" s="113" t="s">
        <v>73</v>
      </c>
      <c r="B95" s="114">
        <v>1</v>
      </c>
      <c r="C95" s="98" t="s">
        <v>74</v>
      </c>
      <c r="D95" s="201">
        <f>AVERAGE(D91:D94)</f>
        <v>241563664.33333334</v>
      </c>
      <c r="E95" s="136">
        <f>AVERAGE(E91:E94)</f>
        <v>235945272.58382785</v>
      </c>
      <c r="F95" s="202">
        <f>AVERAGE(F91:F94)</f>
        <v>232599188.33333334</v>
      </c>
      <c r="G95" s="203">
        <f>AVERAGE(G91:G94)</f>
        <v>235822982.83792081</v>
      </c>
    </row>
    <row r="96" spans="1:12" ht="26.25" customHeight="1" x14ac:dyDescent="0.4">
      <c r="A96" s="113" t="s">
        <v>75</v>
      </c>
      <c r="B96" s="99">
        <v>1</v>
      </c>
      <c r="C96" s="204" t="s">
        <v>116</v>
      </c>
      <c r="D96" s="205">
        <v>19.12</v>
      </c>
      <c r="E96" s="87"/>
      <c r="F96" s="139">
        <v>18.420000000000002</v>
      </c>
    </row>
    <row r="97" spans="1:10" ht="26.25" customHeight="1" x14ac:dyDescent="0.4">
      <c r="A97" s="113" t="s">
        <v>77</v>
      </c>
      <c r="B97" s="99">
        <v>1</v>
      </c>
      <c r="C97" s="206" t="s">
        <v>117</v>
      </c>
      <c r="D97" s="207">
        <f>D96*$B$87</f>
        <v>19.12</v>
      </c>
      <c r="E97" s="142"/>
      <c r="F97" s="141">
        <f>F96*$B$87</f>
        <v>18.420000000000002</v>
      </c>
    </row>
    <row r="98" spans="1:10" ht="19.5" customHeight="1" thickBot="1" x14ac:dyDescent="0.35">
      <c r="A98" s="113" t="s">
        <v>79</v>
      </c>
      <c r="B98" s="142">
        <f>(B97/B96)*(B95/B94)*(B93/B92)*(B91/B90)*B89</f>
        <v>62.5</v>
      </c>
      <c r="C98" s="206" t="s">
        <v>118</v>
      </c>
      <c r="D98" s="208">
        <f>D97*$B$83/100</f>
        <v>19.196480000000001</v>
      </c>
      <c r="E98" s="144"/>
      <c r="F98" s="143">
        <f>F97*$B$83/100</f>
        <v>18.493680000000001</v>
      </c>
    </row>
    <row r="99" spans="1:10" ht="19.5" customHeight="1" thickBot="1" x14ac:dyDescent="0.35">
      <c r="A99" s="286" t="s">
        <v>81</v>
      </c>
      <c r="B99" s="298"/>
      <c r="C99" s="206" t="s">
        <v>119</v>
      </c>
      <c r="D99" s="209">
        <f>D98/$B$98</f>
        <v>0.30714368000000003</v>
      </c>
      <c r="E99" s="144"/>
      <c r="F99" s="147">
        <f>F98/$B$98</f>
        <v>0.29589888000000003</v>
      </c>
      <c r="H99" s="36"/>
    </row>
    <row r="100" spans="1:10" ht="19.5" customHeight="1" thickBot="1" x14ac:dyDescent="0.35">
      <c r="A100" s="288"/>
      <c r="B100" s="299"/>
      <c r="C100" s="206" t="s">
        <v>83</v>
      </c>
      <c r="D100" s="210">
        <f>$B$56/$B$116</f>
        <v>0.3</v>
      </c>
      <c r="F100" s="152"/>
      <c r="G100" s="211"/>
      <c r="H100" s="36"/>
    </row>
    <row r="101" spans="1:10" ht="18.75" x14ac:dyDescent="0.3">
      <c r="C101" s="206" t="s">
        <v>84</v>
      </c>
      <c r="D101" s="207">
        <f>D100*$B$98</f>
        <v>18.75</v>
      </c>
      <c r="F101" s="152"/>
      <c r="H101" s="36"/>
    </row>
    <row r="102" spans="1:10" ht="19.5" customHeight="1" thickBot="1" x14ac:dyDescent="0.35">
      <c r="C102" s="212" t="s">
        <v>85</v>
      </c>
      <c r="D102" s="213">
        <f>D101/B34</f>
        <v>18.75</v>
      </c>
      <c r="F102" s="156"/>
      <c r="H102" s="36"/>
      <c r="J102" s="214"/>
    </row>
    <row r="103" spans="1:10" ht="18.75" x14ac:dyDescent="0.3">
      <c r="C103" s="215" t="s">
        <v>120</v>
      </c>
      <c r="D103" s="216">
        <f>AVERAGE(E91:E94,G91:G94)</f>
        <v>235884127.71087432</v>
      </c>
      <c r="F103" s="156"/>
      <c r="G103" s="211"/>
      <c r="H103" s="36"/>
      <c r="J103" s="217"/>
    </row>
    <row r="104" spans="1:10" ht="18.75" x14ac:dyDescent="0.3">
      <c r="C104" s="189" t="s">
        <v>87</v>
      </c>
      <c r="D104" s="218">
        <f>STDEV(E91:E94,G91:G94)/D103</f>
        <v>1.1846930520539544E-3</v>
      </c>
      <c r="F104" s="156"/>
      <c r="H104" s="36"/>
      <c r="J104" s="217"/>
    </row>
    <row r="105" spans="1:10" ht="19.5" customHeight="1" thickBot="1" x14ac:dyDescent="0.35">
      <c r="C105" s="191" t="s">
        <v>19</v>
      </c>
      <c r="D105" s="219">
        <f>COUNT(E91:E94,G91:G94)</f>
        <v>6</v>
      </c>
      <c r="F105" s="156"/>
      <c r="H105" s="36"/>
      <c r="J105" s="217"/>
    </row>
    <row r="106" spans="1:10" ht="19.5" customHeight="1" thickBot="1" x14ac:dyDescent="0.35">
      <c r="A106" s="160"/>
      <c r="B106" s="160"/>
      <c r="C106" s="160"/>
      <c r="D106" s="160"/>
      <c r="E106" s="160"/>
    </row>
    <row r="107" spans="1:10" ht="26.25" customHeight="1" x14ac:dyDescent="0.4">
      <c r="A107" s="111" t="s">
        <v>121</v>
      </c>
      <c r="B107" s="112">
        <v>1000</v>
      </c>
      <c r="C107" s="194" t="s">
        <v>122</v>
      </c>
      <c r="D107" s="220" t="s">
        <v>66</v>
      </c>
      <c r="E107" s="221" t="s">
        <v>123</v>
      </c>
      <c r="F107" s="222" t="s">
        <v>124</v>
      </c>
    </row>
    <row r="108" spans="1:10" ht="26.25" customHeight="1" x14ac:dyDescent="0.4">
      <c r="A108" s="113" t="s">
        <v>125</v>
      </c>
      <c r="B108" s="114">
        <v>1</v>
      </c>
      <c r="C108" s="223">
        <v>1</v>
      </c>
      <c r="D108" s="224">
        <v>229969615</v>
      </c>
      <c r="E108" s="225">
        <f t="shared" ref="E108:E113" si="1">IF(ISBLANK(D108),"-",D108/$D$103*$D$100*$B$116)</f>
        <v>292.4778583854648</v>
      </c>
      <c r="F108" s="226">
        <f>IF(ISBLANK(D108), "-", E108/$B$56)</f>
        <v>0.97492619461821595</v>
      </c>
    </row>
    <row r="109" spans="1:10" ht="26.25" customHeight="1" x14ac:dyDescent="0.4">
      <c r="A109" s="113" t="s">
        <v>98</v>
      </c>
      <c r="B109" s="114">
        <v>1</v>
      </c>
      <c r="C109" s="223">
        <v>2</v>
      </c>
      <c r="D109" s="224">
        <v>230703292</v>
      </c>
      <c r="E109" s="227">
        <f t="shared" si="1"/>
        <v>293.41095677633996</v>
      </c>
      <c r="F109" s="228">
        <f t="shared" ref="F109:F113" si="2">IF(ISBLANK(D109), "-", E109/$B$56)</f>
        <v>0.97803652258779983</v>
      </c>
    </row>
    <row r="110" spans="1:10" ht="26.25" customHeight="1" x14ac:dyDescent="0.4">
      <c r="A110" s="113" t="s">
        <v>99</v>
      </c>
      <c r="B110" s="114">
        <v>1</v>
      </c>
      <c r="C110" s="223">
        <v>3</v>
      </c>
      <c r="D110" s="224">
        <v>231688542</v>
      </c>
      <c r="E110" s="227">
        <f t="shared" si="1"/>
        <v>294.66400844568454</v>
      </c>
      <c r="F110" s="228">
        <f>IF(ISBLANK(D110), "-", E110/$B$56)</f>
        <v>0.98221336148561511</v>
      </c>
    </row>
    <row r="111" spans="1:10" ht="26.25" customHeight="1" x14ac:dyDescent="0.4">
      <c r="A111" s="113" t="s">
        <v>100</v>
      </c>
      <c r="B111" s="114">
        <v>1</v>
      </c>
      <c r="C111" s="223">
        <v>4</v>
      </c>
      <c r="D111" s="224">
        <v>229225148</v>
      </c>
      <c r="E111" s="227">
        <f t="shared" si="1"/>
        <v>291.53103715519643</v>
      </c>
      <c r="F111" s="228">
        <f t="shared" si="2"/>
        <v>0.97177012385065475</v>
      </c>
    </row>
    <row r="112" spans="1:10" ht="26.25" customHeight="1" x14ac:dyDescent="0.4">
      <c r="A112" s="113" t="s">
        <v>101</v>
      </c>
      <c r="B112" s="114">
        <v>1</v>
      </c>
      <c r="C112" s="223">
        <v>5</v>
      </c>
      <c r="D112" s="224">
        <v>226931958</v>
      </c>
      <c r="E112" s="227">
        <f t="shared" si="1"/>
        <v>288.6145331636975</v>
      </c>
      <c r="F112" s="228">
        <f>IF(ISBLANK(D112), "-", E112/$B$56)</f>
        <v>0.96204844387899169</v>
      </c>
    </row>
    <row r="113" spans="1:10" ht="26.25" customHeight="1" x14ac:dyDescent="0.4">
      <c r="A113" s="113" t="s">
        <v>103</v>
      </c>
      <c r="B113" s="114">
        <v>1</v>
      </c>
      <c r="C113" s="229">
        <v>6</v>
      </c>
      <c r="D113" s="230">
        <v>229920865</v>
      </c>
      <c r="E113" s="231">
        <f t="shared" si="1"/>
        <v>292.41585760507348</v>
      </c>
      <c r="F113" s="232">
        <f t="shared" si="2"/>
        <v>0.97471952535024498</v>
      </c>
    </row>
    <row r="114" spans="1:10" ht="26.25" customHeight="1" x14ac:dyDescent="0.4">
      <c r="A114" s="113" t="s">
        <v>104</v>
      </c>
      <c r="B114" s="114">
        <v>1</v>
      </c>
      <c r="C114" s="223"/>
      <c r="D114" s="142"/>
      <c r="E114" s="87"/>
      <c r="F114" s="233"/>
    </row>
    <row r="115" spans="1:10" ht="26.25" customHeight="1" x14ac:dyDescent="0.4">
      <c r="A115" s="113" t="s">
        <v>105</v>
      </c>
      <c r="B115" s="114">
        <v>1</v>
      </c>
      <c r="C115" s="223"/>
      <c r="D115" s="234" t="s">
        <v>74</v>
      </c>
      <c r="E115" s="235">
        <f>AVERAGE(E108:E113)</f>
        <v>292.18570858857612</v>
      </c>
      <c r="F115" s="236">
        <f>AVERAGE(F108:F113)</f>
        <v>0.97395236196192025</v>
      </c>
    </row>
    <row r="116" spans="1:10" ht="27" customHeight="1" thickBot="1" x14ac:dyDescent="0.45">
      <c r="A116" s="113" t="s">
        <v>106</v>
      </c>
      <c r="B116" s="125">
        <f>(B115/B114)*(B113/B112)*(B111/B110)*(B109/B108)*B107</f>
        <v>1000</v>
      </c>
      <c r="C116" s="237"/>
      <c r="D116" s="98" t="s">
        <v>87</v>
      </c>
      <c r="E116" s="238">
        <f>STDEV(E108:E113)/E115</f>
        <v>7.0078857453443411E-3</v>
      </c>
      <c r="F116" s="238">
        <f>STDEV(F108:F113)/F115</f>
        <v>7.0078857453443229E-3</v>
      </c>
      <c r="I116" s="87"/>
    </row>
    <row r="117" spans="1:10" ht="27" customHeight="1" thickBot="1" x14ac:dyDescent="0.45">
      <c r="A117" s="286" t="s">
        <v>81</v>
      </c>
      <c r="B117" s="287"/>
      <c r="C117" s="239"/>
      <c r="D117" s="240" t="s">
        <v>19</v>
      </c>
      <c r="E117" s="241">
        <f>COUNT(E108:E113)</f>
        <v>6</v>
      </c>
      <c r="F117" s="241">
        <f>COUNT(F108:F113)</f>
        <v>6</v>
      </c>
      <c r="I117" s="87"/>
      <c r="J117" s="217"/>
    </row>
    <row r="118" spans="1:10" ht="19.5" customHeight="1" thickBot="1" x14ac:dyDescent="0.35">
      <c r="A118" s="288"/>
      <c r="B118" s="289"/>
      <c r="C118" s="87"/>
      <c r="D118" s="87"/>
      <c r="E118" s="87"/>
      <c r="F118" s="142"/>
      <c r="G118" s="87"/>
      <c r="H118" s="87"/>
      <c r="I118" s="87"/>
    </row>
    <row r="119" spans="1:10" ht="18.75" x14ac:dyDescent="0.3">
      <c r="A119" s="242"/>
      <c r="B119" s="109"/>
      <c r="C119" s="87"/>
      <c r="D119" s="87"/>
      <c r="E119" s="87"/>
      <c r="F119" s="142"/>
      <c r="G119" s="87"/>
      <c r="H119" s="87"/>
      <c r="I119" s="87"/>
    </row>
    <row r="120" spans="1:10" ht="26.25" customHeight="1" x14ac:dyDescent="0.4">
      <c r="A120" s="97" t="s">
        <v>109</v>
      </c>
      <c r="B120" s="98" t="s">
        <v>126</v>
      </c>
      <c r="C120" s="281" t="str">
        <f>B20</f>
        <v xml:space="preserve">Tenofovir Disoproxil Fumarate 300mg, Lamivudine 300mg  </v>
      </c>
      <c r="D120" s="281"/>
      <c r="E120" s="87" t="s">
        <v>127</v>
      </c>
      <c r="F120" s="87"/>
      <c r="G120" s="193">
        <f>F115</f>
        <v>0.97395236196192025</v>
      </c>
      <c r="H120" s="87"/>
      <c r="I120" s="87"/>
    </row>
    <row r="121" spans="1:10" ht="19.5" customHeight="1" thickBot="1" x14ac:dyDescent="0.35">
      <c r="A121" s="243"/>
      <c r="B121" s="243"/>
      <c r="C121" s="244"/>
      <c r="D121" s="244"/>
      <c r="E121" s="244"/>
      <c r="F121" s="244"/>
      <c r="G121" s="244"/>
      <c r="H121" s="244"/>
    </row>
    <row r="122" spans="1:10" ht="18.75" x14ac:dyDescent="0.3">
      <c r="B122" s="300" t="s">
        <v>24</v>
      </c>
      <c r="C122" s="300"/>
      <c r="E122" s="196" t="s">
        <v>25</v>
      </c>
      <c r="F122" s="245"/>
      <c r="G122" s="300" t="s">
        <v>26</v>
      </c>
      <c r="H122" s="300"/>
    </row>
    <row r="123" spans="1:10" ht="69.95" customHeight="1" x14ac:dyDescent="0.3">
      <c r="A123" s="97" t="s">
        <v>27</v>
      </c>
      <c r="B123" s="246"/>
      <c r="C123" s="246"/>
      <c r="E123" s="246"/>
      <c r="F123" s="87"/>
      <c r="G123" s="246"/>
      <c r="H123" s="246"/>
    </row>
    <row r="124" spans="1:10" ht="69.95" customHeight="1" x14ac:dyDescent="0.3">
      <c r="A124" s="97" t="s">
        <v>28</v>
      </c>
      <c r="B124" s="247"/>
      <c r="C124" s="43" t="s">
        <v>134</v>
      </c>
      <c r="E124" s="301">
        <v>42431</v>
      </c>
      <c r="F124" s="87"/>
      <c r="G124" s="248"/>
      <c r="H124" s="248"/>
    </row>
    <row r="125" spans="1:10" ht="18.75" x14ac:dyDescent="0.3">
      <c r="A125" s="142"/>
      <c r="B125" s="142"/>
      <c r="C125" s="142"/>
      <c r="D125" s="142"/>
      <c r="E125" s="142"/>
      <c r="F125" s="144"/>
      <c r="G125" s="142"/>
      <c r="H125" s="142"/>
      <c r="I125" s="87"/>
    </row>
    <row r="126" spans="1:10" ht="18.75" x14ac:dyDescent="0.3">
      <c r="A126" s="142"/>
      <c r="B126" s="142"/>
      <c r="C126" s="142"/>
      <c r="D126" s="142"/>
      <c r="E126" s="142"/>
      <c r="F126" s="144"/>
      <c r="G126" s="142"/>
      <c r="H126" s="142"/>
      <c r="I126" s="87"/>
    </row>
    <row r="127" spans="1:10" ht="18.75" x14ac:dyDescent="0.3">
      <c r="A127" s="142"/>
      <c r="B127" s="142"/>
      <c r="C127" s="142"/>
      <c r="D127" s="142"/>
      <c r="E127" s="142"/>
      <c r="F127" s="144"/>
      <c r="G127" s="142"/>
      <c r="H127" s="142"/>
      <c r="I127" s="87"/>
    </row>
    <row r="128" spans="1:10" ht="18.75" x14ac:dyDescent="0.3">
      <c r="A128" s="142"/>
      <c r="B128" s="142"/>
      <c r="C128" s="142"/>
      <c r="D128" s="142"/>
      <c r="E128" s="142"/>
      <c r="F128" s="144"/>
      <c r="G128" s="142"/>
      <c r="H128" s="142"/>
      <c r="I128" s="87"/>
    </row>
    <row r="129" spans="1:9" ht="18.75" x14ac:dyDescent="0.3">
      <c r="A129" s="142"/>
      <c r="B129" s="142"/>
      <c r="C129" s="142"/>
      <c r="D129" s="142"/>
      <c r="E129" s="142"/>
      <c r="F129" s="144"/>
      <c r="G129" s="142"/>
      <c r="H129" s="142"/>
      <c r="I129" s="87"/>
    </row>
    <row r="130" spans="1:9" ht="18.75" x14ac:dyDescent="0.3">
      <c r="A130" s="142"/>
      <c r="B130" s="142"/>
      <c r="C130" s="142"/>
      <c r="D130" s="142"/>
      <c r="E130" s="142"/>
      <c r="F130" s="144"/>
      <c r="G130" s="142"/>
      <c r="H130" s="142"/>
      <c r="I130" s="87"/>
    </row>
    <row r="131" spans="1:9" ht="18.75" x14ac:dyDescent="0.3">
      <c r="A131" s="142"/>
      <c r="B131" s="142"/>
      <c r="C131" s="142"/>
      <c r="D131" s="142"/>
      <c r="E131" s="142"/>
      <c r="F131" s="144"/>
      <c r="G131" s="142"/>
      <c r="H131" s="142"/>
      <c r="I131" s="87"/>
    </row>
    <row r="132" spans="1:9" ht="18.75" x14ac:dyDescent="0.3">
      <c r="A132" s="142"/>
      <c r="B132" s="142"/>
      <c r="C132" s="142"/>
      <c r="D132" s="142"/>
      <c r="E132" s="142"/>
      <c r="F132" s="144"/>
      <c r="G132" s="142"/>
      <c r="H132" s="142"/>
      <c r="I132" s="87"/>
    </row>
    <row r="133" spans="1:9" ht="18.75" x14ac:dyDescent="0.3">
      <c r="A133" s="142"/>
      <c r="B133" s="142"/>
      <c r="C133" s="142"/>
      <c r="D133" s="142"/>
      <c r="E133" s="142"/>
      <c r="F133" s="144"/>
      <c r="G133" s="142"/>
      <c r="H133" s="142"/>
      <c r="I133" s="87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17" priority="9" operator="greaterThan">
      <formula>0.02</formula>
    </cfRule>
  </conditionalFormatting>
  <conditionalFormatting sqref="D51">
    <cfRule type="cellIs" dxfId="16" priority="8" operator="greaterThan">
      <formula>0.02</formula>
    </cfRule>
  </conditionalFormatting>
  <conditionalFormatting sqref="G73">
    <cfRule type="cellIs" dxfId="15" priority="7" operator="greaterThan">
      <formula>0.02</formula>
    </cfRule>
  </conditionalFormatting>
  <conditionalFormatting sqref="H73">
    <cfRule type="cellIs" dxfId="14" priority="6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4" operator="lessThanOrEqual">
      <formula>0.02</formula>
    </cfRule>
  </conditionalFormatting>
  <conditionalFormatting sqref="I39">
    <cfRule type="cellIs" dxfId="11" priority="3" operator="greaterThan">
      <formula>0.02</formula>
    </cfRule>
  </conditionalFormatting>
  <conditionalFormatting sqref="I92">
    <cfRule type="cellIs" dxfId="10" priority="2" operator="lessThanOrEqual">
      <formula>0.02</formula>
    </cfRule>
  </conditionalFormatting>
  <conditionalFormatting sqref="I92">
    <cfRule type="cellIs" dxfId="9" priority="1" operator="greaterThan">
      <formula>0.02</formula>
    </cfRule>
  </conditionalFormatting>
  <pageMargins left="0.7" right="0.7" top="0.75" bottom="0.75" header="0.3" footer="0.3"/>
  <pageSetup scale="24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A106" zoomScale="60" zoomScaleNormal="60" zoomScalePageLayoutView="55" workbookViewId="0">
      <selection activeCell="F66" sqref="F66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  <col min="13" max="16384" width="9.140625" style="38"/>
  </cols>
  <sheetData>
    <row r="1" spans="1:9" ht="18.75" customHeight="1" x14ac:dyDescent="0.25">
      <c r="A1" s="265" t="s">
        <v>46</v>
      </c>
      <c r="B1" s="265"/>
      <c r="C1" s="265"/>
      <c r="D1" s="265"/>
      <c r="E1" s="265"/>
      <c r="F1" s="265"/>
      <c r="G1" s="265"/>
      <c r="H1" s="265"/>
      <c r="I1" s="265"/>
    </row>
    <row r="2" spans="1:9" ht="18.75" customHeight="1" x14ac:dyDescent="0.25">
      <c r="A2" s="265"/>
      <c r="B2" s="265"/>
      <c r="C2" s="265"/>
      <c r="D2" s="265"/>
      <c r="E2" s="265"/>
      <c r="F2" s="265"/>
      <c r="G2" s="265"/>
      <c r="H2" s="265"/>
      <c r="I2" s="265"/>
    </row>
    <row r="3" spans="1:9" ht="18.75" customHeight="1" x14ac:dyDescent="0.25">
      <c r="A3" s="265"/>
      <c r="B3" s="265"/>
      <c r="C3" s="265"/>
      <c r="D3" s="265"/>
      <c r="E3" s="265"/>
      <c r="F3" s="265"/>
      <c r="G3" s="265"/>
      <c r="H3" s="265"/>
      <c r="I3" s="265"/>
    </row>
    <row r="4" spans="1:9" ht="18.75" customHeight="1" x14ac:dyDescent="0.25">
      <c r="A4" s="265"/>
      <c r="B4" s="265"/>
      <c r="C4" s="265"/>
      <c r="D4" s="265"/>
      <c r="E4" s="265"/>
      <c r="F4" s="265"/>
      <c r="G4" s="265"/>
      <c r="H4" s="265"/>
      <c r="I4" s="265"/>
    </row>
    <row r="5" spans="1:9" ht="18.75" customHeight="1" x14ac:dyDescent="0.25">
      <c r="A5" s="265"/>
      <c r="B5" s="265"/>
      <c r="C5" s="265"/>
      <c r="D5" s="265"/>
      <c r="E5" s="265"/>
      <c r="F5" s="265"/>
      <c r="G5" s="265"/>
      <c r="H5" s="265"/>
      <c r="I5" s="265"/>
    </row>
    <row r="6" spans="1:9" ht="18.75" customHeight="1" x14ac:dyDescent="0.25">
      <c r="A6" s="265"/>
      <c r="B6" s="265"/>
      <c r="C6" s="265"/>
      <c r="D6" s="265"/>
      <c r="E6" s="265"/>
      <c r="F6" s="265"/>
      <c r="G6" s="265"/>
      <c r="H6" s="265"/>
      <c r="I6" s="265"/>
    </row>
    <row r="7" spans="1:9" ht="18.75" customHeight="1" x14ac:dyDescent="0.25">
      <c r="A7" s="265"/>
      <c r="B7" s="265"/>
      <c r="C7" s="265"/>
      <c r="D7" s="265"/>
      <c r="E7" s="265"/>
      <c r="F7" s="265"/>
      <c r="G7" s="265"/>
      <c r="H7" s="265"/>
      <c r="I7" s="265"/>
    </row>
    <row r="8" spans="1:9" x14ac:dyDescent="0.25">
      <c r="A8" s="266" t="s">
        <v>47</v>
      </c>
      <c r="B8" s="266"/>
      <c r="C8" s="266"/>
      <c r="D8" s="266"/>
      <c r="E8" s="266"/>
      <c r="F8" s="266"/>
      <c r="G8" s="266"/>
      <c r="H8" s="266"/>
      <c r="I8" s="266"/>
    </row>
    <row r="9" spans="1:9" x14ac:dyDescent="0.25">
      <c r="A9" s="266"/>
      <c r="B9" s="266"/>
      <c r="C9" s="266"/>
      <c r="D9" s="266"/>
      <c r="E9" s="266"/>
      <c r="F9" s="266"/>
      <c r="G9" s="266"/>
      <c r="H9" s="266"/>
      <c r="I9" s="266"/>
    </row>
    <row r="10" spans="1:9" x14ac:dyDescent="0.25">
      <c r="A10" s="266"/>
      <c r="B10" s="266"/>
      <c r="C10" s="266"/>
      <c r="D10" s="266"/>
      <c r="E10" s="266"/>
      <c r="F10" s="266"/>
      <c r="G10" s="266"/>
      <c r="H10" s="266"/>
      <c r="I10" s="266"/>
    </row>
    <row r="11" spans="1:9" x14ac:dyDescent="0.25">
      <c r="A11" s="266"/>
      <c r="B11" s="266"/>
      <c r="C11" s="266"/>
      <c r="D11" s="266"/>
      <c r="E11" s="266"/>
      <c r="F11" s="266"/>
      <c r="G11" s="266"/>
      <c r="H11" s="266"/>
      <c r="I11" s="266"/>
    </row>
    <row r="12" spans="1:9" x14ac:dyDescent="0.25">
      <c r="A12" s="266"/>
      <c r="B12" s="266"/>
      <c r="C12" s="266"/>
      <c r="D12" s="266"/>
      <c r="E12" s="266"/>
      <c r="F12" s="266"/>
      <c r="G12" s="266"/>
      <c r="H12" s="266"/>
      <c r="I12" s="266"/>
    </row>
    <row r="13" spans="1:9" x14ac:dyDescent="0.25">
      <c r="A13" s="266"/>
      <c r="B13" s="266"/>
      <c r="C13" s="266"/>
      <c r="D13" s="266"/>
      <c r="E13" s="266"/>
      <c r="F13" s="266"/>
      <c r="G13" s="266"/>
      <c r="H13" s="266"/>
      <c r="I13" s="266"/>
    </row>
    <row r="14" spans="1:9" x14ac:dyDescent="0.25">
      <c r="A14" s="266"/>
      <c r="B14" s="266"/>
      <c r="C14" s="266"/>
      <c r="D14" s="266"/>
      <c r="E14" s="266"/>
      <c r="F14" s="266"/>
      <c r="G14" s="266"/>
      <c r="H14" s="266"/>
      <c r="I14" s="266"/>
    </row>
    <row r="15" spans="1:9" ht="19.5" customHeight="1" thickBot="1" x14ac:dyDescent="0.35">
      <c r="A15" s="87"/>
    </row>
    <row r="16" spans="1:9" ht="19.5" customHeight="1" thickBot="1" x14ac:dyDescent="0.35">
      <c r="A16" s="267" t="s">
        <v>29</v>
      </c>
      <c r="B16" s="268"/>
      <c r="C16" s="268"/>
      <c r="D16" s="268"/>
      <c r="E16" s="268"/>
      <c r="F16" s="268"/>
      <c r="G16" s="268"/>
      <c r="H16" s="269"/>
    </row>
    <row r="17" spans="1:14" ht="20.25" customHeight="1" x14ac:dyDescent="0.25">
      <c r="A17" s="270" t="s">
        <v>48</v>
      </c>
      <c r="B17" s="270"/>
      <c r="C17" s="270"/>
      <c r="D17" s="270"/>
      <c r="E17" s="270"/>
      <c r="F17" s="270"/>
      <c r="G17" s="270"/>
      <c r="H17" s="270"/>
    </row>
    <row r="18" spans="1:14" ht="26.25" customHeight="1" x14ac:dyDescent="0.4">
      <c r="A18" s="88" t="s">
        <v>31</v>
      </c>
      <c r="B18" s="271" t="s">
        <v>5</v>
      </c>
      <c r="C18" s="271"/>
      <c r="D18" s="89"/>
      <c r="E18" s="90"/>
      <c r="F18" s="91"/>
      <c r="G18" s="91"/>
      <c r="H18" s="91"/>
    </row>
    <row r="19" spans="1:14" ht="26.25" customHeight="1" x14ac:dyDescent="0.4">
      <c r="A19" s="88" t="s">
        <v>33</v>
      </c>
      <c r="B19" s="92" t="s">
        <v>130</v>
      </c>
      <c r="C19" s="91">
        <v>29</v>
      </c>
      <c r="D19" s="91"/>
      <c r="E19" s="91"/>
      <c r="F19" s="91"/>
      <c r="G19" s="91"/>
      <c r="H19" s="91"/>
    </row>
    <row r="20" spans="1:14" ht="26.25" customHeight="1" x14ac:dyDescent="0.4">
      <c r="A20" s="88" t="s">
        <v>34</v>
      </c>
      <c r="B20" s="272" t="s">
        <v>9</v>
      </c>
      <c r="C20" s="272"/>
      <c r="D20" s="91"/>
      <c r="E20" s="91"/>
      <c r="F20" s="91"/>
      <c r="G20" s="91"/>
      <c r="H20" s="91"/>
    </row>
    <row r="21" spans="1:14" ht="26.25" customHeight="1" x14ac:dyDescent="0.4">
      <c r="A21" s="88" t="s">
        <v>36</v>
      </c>
      <c r="B21" s="272" t="s">
        <v>132</v>
      </c>
      <c r="C21" s="272"/>
      <c r="D21" s="272"/>
      <c r="E21" s="272"/>
      <c r="F21" s="272"/>
      <c r="G21" s="272"/>
      <c r="H21" s="272"/>
      <c r="I21" s="93"/>
    </row>
    <row r="22" spans="1:14" ht="26.25" customHeight="1" x14ac:dyDescent="0.4">
      <c r="A22" s="88" t="s">
        <v>38</v>
      </c>
      <c r="B22" s="94" t="s">
        <v>11</v>
      </c>
      <c r="C22" s="91"/>
      <c r="D22" s="91"/>
      <c r="E22" s="91"/>
      <c r="F22" s="91"/>
      <c r="G22" s="91"/>
      <c r="H22" s="91"/>
    </row>
    <row r="23" spans="1:14" ht="26.25" customHeight="1" x14ac:dyDescent="0.4">
      <c r="A23" s="88" t="s">
        <v>39</v>
      </c>
      <c r="B23" s="94"/>
      <c r="C23" s="91"/>
      <c r="D23" s="91"/>
      <c r="E23" s="91"/>
      <c r="F23" s="91"/>
      <c r="G23" s="91"/>
      <c r="H23" s="91"/>
    </row>
    <row r="24" spans="1:14" ht="18.75" x14ac:dyDescent="0.3">
      <c r="A24" s="88"/>
      <c r="B24" s="95"/>
    </row>
    <row r="25" spans="1:14" ht="18.75" x14ac:dyDescent="0.3">
      <c r="A25" s="96" t="s">
        <v>1</v>
      </c>
      <c r="B25" s="95"/>
    </row>
    <row r="26" spans="1:14" ht="26.25" customHeight="1" x14ac:dyDescent="0.4">
      <c r="A26" s="97" t="s">
        <v>4</v>
      </c>
      <c r="B26" s="271" t="s">
        <v>128</v>
      </c>
      <c r="C26" s="271"/>
    </row>
    <row r="27" spans="1:14" ht="26.25" customHeight="1" x14ac:dyDescent="0.4">
      <c r="A27" s="98" t="s">
        <v>50</v>
      </c>
      <c r="B27" s="273" t="s">
        <v>129</v>
      </c>
      <c r="C27" s="273"/>
    </row>
    <row r="28" spans="1:14" ht="27" customHeight="1" thickBot="1" x14ac:dyDescent="0.45">
      <c r="A28" s="98" t="s">
        <v>6</v>
      </c>
      <c r="B28" s="99">
        <v>98.8</v>
      </c>
    </row>
    <row r="29" spans="1:14" s="12" customFormat="1" ht="27" customHeight="1" thickBot="1" x14ac:dyDescent="0.45">
      <c r="A29" s="98" t="s">
        <v>52</v>
      </c>
      <c r="B29" s="100">
        <v>0</v>
      </c>
      <c r="C29" s="274" t="s">
        <v>53</v>
      </c>
      <c r="D29" s="275"/>
      <c r="E29" s="275"/>
      <c r="F29" s="275"/>
      <c r="G29" s="276"/>
      <c r="I29" s="101"/>
      <c r="J29" s="101"/>
      <c r="K29" s="101"/>
      <c r="L29" s="101"/>
    </row>
    <row r="30" spans="1:14" s="12" customFormat="1" ht="19.5" customHeight="1" thickBot="1" x14ac:dyDescent="0.35">
      <c r="A30" s="98" t="s">
        <v>54</v>
      </c>
      <c r="B30" s="102">
        <f>B28-B29</f>
        <v>98.8</v>
      </c>
      <c r="C30" s="103"/>
      <c r="D30" s="103"/>
      <c r="E30" s="103"/>
      <c r="F30" s="103"/>
      <c r="G30" s="104"/>
      <c r="I30" s="101"/>
      <c r="J30" s="101"/>
      <c r="K30" s="101"/>
      <c r="L30" s="101"/>
    </row>
    <row r="31" spans="1:14" s="12" customFormat="1" ht="27" customHeight="1" thickBot="1" x14ac:dyDescent="0.45">
      <c r="A31" s="98" t="s">
        <v>55</v>
      </c>
      <c r="B31" s="105">
        <v>1</v>
      </c>
      <c r="C31" s="262" t="s">
        <v>56</v>
      </c>
      <c r="D31" s="263"/>
      <c r="E31" s="263"/>
      <c r="F31" s="263"/>
      <c r="G31" s="263"/>
      <c r="H31" s="264"/>
      <c r="I31" s="101"/>
      <c r="J31" s="101"/>
      <c r="K31" s="101"/>
      <c r="L31" s="101"/>
    </row>
    <row r="32" spans="1:14" s="12" customFormat="1" ht="27" customHeight="1" thickBot="1" x14ac:dyDescent="0.45">
      <c r="A32" s="98" t="s">
        <v>57</v>
      </c>
      <c r="B32" s="105">
        <v>1</v>
      </c>
      <c r="C32" s="262" t="s">
        <v>58</v>
      </c>
      <c r="D32" s="263"/>
      <c r="E32" s="263"/>
      <c r="F32" s="263"/>
      <c r="G32" s="263"/>
      <c r="H32" s="264"/>
      <c r="I32" s="101"/>
      <c r="J32" s="101"/>
      <c r="K32" s="101"/>
      <c r="L32" s="106"/>
      <c r="M32" s="106"/>
      <c r="N32" s="107"/>
    </row>
    <row r="33" spans="1:14" s="12" customFormat="1" ht="17.25" customHeight="1" x14ac:dyDescent="0.3">
      <c r="A33" s="98"/>
      <c r="B33" s="108"/>
      <c r="C33" s="109"/>
      <c r="D33" s="109"/>
      <c r="E33" s="109"/>
      <c r="F33" s="109"/>
      <c r="G33" s="109"/>
      <c r="H33" s="109"/>
      <c r="I33" s="101"/>
      <c r="J33" s="101"/>
      <c r="K33" s="101"/>
      <c r="L33" s="106"/>
      <c r="M33" s="106"/>
      <c r="N33" s="107"/>
    </row>
    <row r="34" spans="1:14" s="12" customFormat="1" ht="18.75" x14ac:dyDescent="0.3">
      <c r="A34" s="98" t="s">
        <v>59</v>
      </c>
      <c r="B34" s="110">
        <f>B31/B32</f>
        <v>1</v>
      </c>
      <c r="C34" s="87" t="s">
        <v>60</v>
      </c>
      <c r="D34" s="87"/>
      <c r="E34" s="87"/>
      <c r="F34" s="87"/>
      <c r="G34" s="87"/>
      <c r="I34" s="101"/>
      <c r="J34" s="101"/>
      <c r="K34" s="101"/>
      <c r="L34" s="106"/>
      <c r="M34" s="106"/>
      <c r="N34" s="107"/>
    </row>
    <row r="35" spans="1:14" s="12" customFormat="1" ht="19.5" customHeight="1" thickBot="1" x14ac:dyDescent="0.35">
      <c r="A35" s="98"/>
      <c r="B35" s="102"/>
      <c r="G35" s="87"/>
      <c r="I35" s="101"/>
      <c r="J35" s="101"/>
      <c r="K35" s="101"/>
      <c r="L35" s="106"/>
      <c r="M35" s="106"/>
      <c r="N35" s="107"/>
    </row>
    <row r="36" spans="1:14" s="12" customFormat="1" ht="27" customHeight="1" thickBot="1" x14ac:dyDescent="0.45">
      <c r="A36" s="111" t="s">
        <v>61</v>
      </c>
      <c r="B36" s="112">
        <v>20</v>
      </c>
      <c r="C36" s="87"/>
      <c r="D36" s="282" t="s">
        <v>62</v>
      </c>
      <c r="E36" s="283"/>
      <c r="F36" s="282" t="s">
        <v>63</v>
      </c>
      <c r="G36" s="284"/>
      <c r="J36" s="101"/>
      <c r="K36" s="101"/>
      <c r="L36" s="106"/>
      <c r="M36" s="106"/>
      <c r="N36" s="107"/>
    </row>
    <row r="37" spans="1:14" s="12" customFormat="1" ht="27" customHeight="1" thickBot="1" x14ac:dyDescent="0.45">
      <c r="A37" s="113" t="s">
        <v>64</v>
      </c>
      <c r="B37" s="114">
        <v>4</v>
      </c>
      <c r="C37" s="115" t="s">
        <v>65</v>
      </c>
      <c r="D37" s="116" t="s">
        <v>66</v>
      </c>
      <c r="E37" s="117" t="s">
        <v>67</v>
      </c>
      <c r="F37" s="116" t="s">
        <v>66</v>
      </c>
      <c r="G37" s="118" t="s">
        <v>67</v>
      </c>
      <c r="I37" s="119" t="s">
        <v>68</v>
      </c>
      <c r="J37" s="101"/>
      <c r="K37" s="101"/>
      <c r="L37" s="106"/>
      <c r="M37" s="106"/>
      <c r="N37" s="107"/>
    </row>
    <row r="38" spans="1:14" s="12" customFormat="1" ht="26.25" customHeight="1" x14ac:dyDescent="0.4">
      <c r="A38" s="113" t="s">
        <v>69</v>
      </c>
      <c r="B38" s="114">
        <v>25</v>
      </c>
      <c r="C38" s="120">
        <v>1</v>
      </c>
      <c r="D38" s="121">
        <v>52140040</v>
      </c>
      <c r="E38" s="122">
        <f>IF(ISBLANK(D38),"-",$D$48/$D$45*D38)</f>
        <v>48534628.912988983</v>
      </c>
      <c r="F38" s="121">
        <v>50465354</v>
      </c>
      <c r="G38" s="123">
        <f>IF(ISBLANK(F38),"-",$D$48/$F$45*F38)</f>
        <v>48863163.446046434</v>
      </c>
      <c r="I38" s="124"/>
      <c r="J38" s="101"/>
      <c r="K38" s="101"/>
      <c r="L38" s="106"/>
      <c r="M38" s="106"/>
      <c r="N38" s="107"/>
    </row>
    <row r="39" spans="1:14" s="12" customFormat="1" ht="26.25" customHeight="1" x14ac:dyDescent="0.4">
      <c r="A39" s="113" t="s">
        <v>70</v>
      </c>
      <c r="B39" s="114">
        <v>1</v>
      </c>
      <c r="C39" s="125">
        <v>2</v>
      </c>
      <c r="D39" s="126">
        <v>52226746</v>
      </c>
      <c r="E39" s="127">
        <f>IF(ISBLANK(D39),"-",$D$48/$D$45*D39)</f>
        <v>48615339.313950114</v>
      </c>
      <c r="F39" s="126">
        <v>50500895</v>
      </c>
      <c r="G39" s="128">
        <f>IF(ISBLANK(F39),"-",$D$48/$F$45*F39)</f>
        <v>48897576.078761466</v>
      </c>
      <c r="I39" s="285">
        <f>ABS((F43/D43*D42)-F42)/D42</f>
        <v>5.9291600943556302E-3</v>
      </c>
      <c r="J39" s="101"/>
      <c r="K39" s="101"/>
      <c r="L39" s="106"/>
      <c r="M39" s="106"/>
      <c r="N39" s="107"/>
    </row>
    <row r="40" spans="1:14" ht="26.25" customHeight="1" x14ac:dyDescent="0.4">
      <c r="A40" s="113" t="s">
        <v>71</v>
      </c>
      <c r="B40" s="114">
        <v>1</v>
      </c>
      <c r="C40" s="125">
        <v>3</v>
      </c>
      <c r="D40" s="126">
        <v>52244329</v>
      </c>
      <c r="E40" s="127">
        <f>IF(ISBLANK(D40),"-",$D$48/$D$45*D40)</f>
        <v>48631706.474009395</v>
      </c>
      <c r="F40" s="126">
        <v>50524082</v>
      </c>
      <c r="G40" s="128">
        <f>IF(ISBLANK(F40),"-",$D$48/$F$45*F40)</f>
        <v>48920026.930306531</v>
      </c>
      <c r="I40" s="285"/>
      <c r="L40" s="106"/>
      <c r="M40" s="106"/>
      <c r="N40" s="87"/>
    </row>
    <row r="41" spans="1:14" ht="27" customHeight="1" thickBot="1" x14ac:dyDescent="0.45">
      <c r="A41" s="113" t="s">
        <v>72</v>
      </c>
      <c r="B41" s="114">
        <v>1</v>
      </c>
      <c r="C41" s="129">
        <v>4</v>
      </c>
      <c r="D41" s="130"/>
      <c r="E41" s="131" t="str">
        <f>IF(ISBLANK(D41),"-",$D$48/$D$45*D41)</f>
        <v>-</v>
      </c>
      <c r="F41" s="130"/>
      <c r="G41" s="132" t="str">
        <f>IF(ISBLANK(F41),"-",$D$48/$F$45*F41)</f>
        <v>-</v>
      </c>
      <c r="I41" s="133"/>
      <c r="L41" s="106"/>
      <c r="M41" s="106"/>
      <c r="N41" s="87"/>
    </row>
    <row r="42" spans="1:14" ht="27" customHeight="1" thickBot="1" x14ac:dyDescent="0.45">
      <c r="A42" s="113" t="s">
        <v>73</v>
      </c>
      <c r="B42" s="114">
        <v>1</v>
      </c>
      <c r="C42" s="134" t="s">
        <v>74</v>
      </c>
      <c r="D42" s="135">
        <f>AVERAGE(D38:D41)</f>
        <v>52203705</v>
      </c>
      <c r="E42" s="136">
        <f>AVERAGE(E38:E41)</f>
        <v>48593891.566982828</v>
      </c>
      <c r="F42" s="135">
        <f>AVERAGE(F38:F41)</f>
        <v>50496777</v>
      </c>
      <c r="G42" s="137">
        <f>AVERAGE(G38:G41)</f>
        <v>48893588.818371475</v>
      </c>
      <c r="H42" s="36"/>
    </row>
    <row r="43" spans="1:14" ht="26.25" customHeight="1" x14ac:dyDescent="0.4">
      <c r="A43" s="113" t="s">
        <v>75</v>
      </c>
      <c r="B43" s="114">
        <v>1</v>
      </c>
      <c r="C43" s="138" t="s">
        <v>76</v>
      </c>
      <c r="D43" s="139">
        <v>16.309999999999999</v>
      </c>
      <c r="E43" s="87"/>
      <c r="F43" s="139">
        <v>15.68</v>
      </c>
      <c r="H43" s="36"/>
    </row>
    <row r="44" spans="1:14" ht="26.25" customHeight="1" x14ac:dyDescent="0.4">
      <c r="A44" s="113" t="s">
        <v>77</v>
      </c>
      <c r="B44" s="114">
        <v>1</v>
      </c>
      <c r="C44" s="140" t="s">
        <v>78</v>
      </c>
      <c r="D44" s="141">
        <f>D43*$B$34</f>
        <v>16.309999999999999</v>
      </c>
      <c r="E44" s="142"/>
      <c r="F44" s="141">
        <f>F43*$B$34</f>
        <v>15.68</v>
      </c>
      <c r="H44" s="36"/>
    </row>
    <row r="45" spans="1:14" ht="19.5" customHeight="1" thickBot="1" x14ac:dyDescent="0.35">
      <c r="A45" s="113" t="s">
        <v>79</v>
      </c>
      <c r="B45" s="125">
        <f>(B44/B43)*(B42/B41)*(B40/B39)*(B38/B37)*B36</f>
        <v>125</v>
      </c>
      <c r="C45" s="140" t="s">
        <v>80</v>
      </c>
      <c r="D45" s="143">
        <f>D44*$B$30/100</f>
        <v>16.114279999999997</v>
      </c>
      <c r="E45" s="144"/>
      <c r="F45" s="143">
        <f>F44*$B$30/100</f>
        <v>15.49184</v>
      </c>
      <c r="H45" s="36"/>
    </row>
    <row r="46" spans="1:14" ht="19.5" customHeight="1" thickBot="1" x14ac:dyDescent="0.35">
      <c r="A46" s="286" t="s">
        <v>81</v>
      </c>
      <c r="B46" s="287"/>
      <c r="C46" s="140" t="s">
        <v>82</v>
      </c>
      <c r="D46" s="145">
        <f>D45/$B$45</f>
        <v>0.12891423999999999</v>
      </c>
      <c r="E46" s="146"/>
      <c r="F46" s="147">
        <f>F45/$B$45</f>
        <v>0.12393472</v>
      </c>
      <c r="H46" s="36"/>
    </row>
    <row r="47" spans="1:14" ht="27" customHeight="1" thickBot="1" x14ac:dyDescent="0.45">
      <c r="A47" s="288"/>
      <c r="B47" s="289"/>
      <c r="C47" s="148" t="s">
        <v>83</v>
      </c>
      <c r="D47" s="149">
        <v>0.12</v>
      </c>
      <c r="E47" s="150"/>
      <c r="F47" s="146"/>
      <c r="H47" s="36"/>
    </row>
    <row r="48" spans="1:14" ht="18.75" x14ac:dyDescent="0.3">
      <c r="C48" s="151" t="s">
        <v>84</v>
      </c>
      <c r="D48" s="143">
        <f>D47*$B$45</f>
        <v>15</v>
      </c>
      <c r="F48" s="152"/>
      <c r="H48" s="36"/>
    </row>
    <row r="49" spans="1:12" ht="19.5" customHeight="1" thickBot="1" x14ac:dyDescent="0.35">
      <c r="C49" s="153" t="s">
        <v>85</v>
      </c>
      <c r="D49" s="154">
        <f>D48/B34</f>
        <v>15</v>
      </c>
      <c r="F49" s="152"/>
      <c r="H49" s="36"/>
    </row>
    <row r="50" spans="1:12" ht="18.75" x14ac:dyDescent="0.3">
      <c r="C50" s="111" t="s">
        <v>86</v>
      </c>
      <c r="D50" s="155">
        <f>AVERAGE(E38:E41,G38:G41)</f>
        <v>48743740.192677148</v>
      </c>
      <c r="F50" s="156"/>
      <c r="H50" s="36"/>
    </row>
    <row r="51" spans="1:12" ht="18.75" x14ac:dyDescent="0.3">
      <c r="C51" s="113" t="s">
        <v>87</v>
      </c>
      <c r="D51" s="157">
        <f>STDEV(E38:E41,G38:G41)/D50</f>
        <v>3.4545281599784768E-3</v>
      </c>
      <c r="E51" s="2">
        <f>20/25*4/25</f>
        <v>0.128</v>
      </c>
      <c r="F51" s="156"/>
      <c r="H51" s="36"/>
    </row>
    <row r="52" spans="1:12" ht="19.5" customHeight="1" thickBot="1" x14ac:dyDescent="0.35">
      <c r="C52" s="158" t="s">
        <v>19</v>
      </c>
      <c r="D52" s="159">
        <f>COUNT(E38:E41,G38:G41)</f>
        <v>6</v>
      </c>
      <c r="F52" s="156"/>
    </row>
    <row r="54" spans="1:12" ht="18.75" x14ac:dyDescent="0.3">
      <c r="A54" s="160" t="s">
        <v>1</v>
      </c>
      <c r="B54" s="161" t="s">
        <v>88</v>
      </c>
    </row>
    <row r="55" spans="1:12" ht="18.75" x14ac:dyDescent="0.3">
      <c r="A55" s="87" t="s">
        <v>89</v>
      </c>
      <c r="B55" s="162" t="str">
        <f>B21</f>
        <v xml:space="preserve">Each film coated tablet contains Tenofovir Disoproxil Fumarate 300mg, lamivudine 300mg
Lamivudine USP 300 mg   </v>
      </c>
    </row>
    <row r="56" spans="1:12" ht="26.25" customHeight="1" x14ac:dyDescent="0.4">
      <c r="A56" s="162" t="s">
        <v>90</v>
      </c>
      <c r="B56" s="163">
        <v>300</v>
      </c>
      <c r="C56" s="87" t="str">
        <f>B20</f>
        <v xml:space="preserve">Tenofovir Disoproxil Fumarate 300mg, Lamivudine 300mg  </v>
      </c>
      <c r="H56" s="142"/>
    </row>
    <row r="57" spans="1:12" ht="18.75" x14ac:dyDescent="0.3">
      <c r="A57" s="162" t="s">
        <v>91</v>
      </c>
      <c r="B57" s="164">
        <f>[1]Uniformity!C36</f>
        <v>866.43900000000008</v>
      </c>
      <c r="H57" s="142"/>
    </row>
    <row r="58" spans="1:12" ht="19.5" customHeight="1" thickBot="1" x14ac:dyDescent="0.35">
      <c r="H58" s="142"/>
    </row>
    <row r="59" spans="1:12" s="12" customFormat="1" ht="27" customHeight="1" thickBot="1" x14ac:dyDescent="0.45">
      <c r="A59" s="111" t="s">
        <v>92</v>
      </c>
      <c r="B59" s="112">
        <v>100</v>
      </c>
      <c r="C59" s="87"/>
      <c r="D59" s="165" t="s">
        <v>93</v>
      </c>
      <c r="E59" s="166" t="s">
        <v>65</v>
      </c>
      <c r="F59" s="166" t="s">
        <v>66</v>
      </c>
      <c r="G59" s="166" t="s">
        <v>94</v>
      </c>
      <c r="H59" s="115" t="s">
        <v>95</v>
      </c>
      <c r="L59" s="101"/>
    </row>
    <row r="60" spans="1:12" s="12" customFormat="1" ht="26.25" customHeight="1" x14ac:dyDescent="0.4">
      <c r="A60" s="113" t="s">
        <v>96</v>
      </c>
      <c r="B60" s="114">
        <v>1</v>
      </c>
      <c r="C60" s="290" t="s">
        <v>97</v>
      </c>
      <c r="D60" s="293">
        <v>875.9</v>
      </c>
      <c r="E60" s="167">
        <v>1</v>
      </c>
      <c r="F60" s="168">
        <v>47363025</v>
      </c>
      <c r="G60" s="169">
        <f>IF(ISBLANK(F60),"-",(F60/$D$50*$D$47*$B$68)*($B$57/$D$60))</f>
        <v>288.35355020350391</v>
      </c>
      <c r="H60" s="170">
        <f t="shared" ref="H60:H71" si="0">IF(ISBLANK(F60),"-",G60/$B$56)</f>
        <v>0.96117850067834643</v>
      </c>
      <c r="L60" s="101"/>
    </row>
    <row r="61" spans="1:12" s="12" customFormat="1" ht="26.25" customHeight="1" x14ac:dyDescent="0.4">
      <c r="A61" s="113" t="s">
        <v>98</v>
      </c>
      <c r="B61" s="114">
        <v>25</v>
      </c>
      <c r="C61" s="291"/>
      <c r="D61" s="294"/>
      <c r="E61" s="171">
        <v>2</v>
      </c>
      <c r="F61" s="126">
        <v>47392880</v>
      </c>
      <c r="G61" s="172">
        <f>IF(ISBLANK(F61),"-",(F61/$D$50*$D$47*$B$68)*($B$57/$D$60))</f>
        <v>288.5353121420905</v>
      </c>
      <c r="H61" s="173">
        <f t="shared" si="0"/>
        <v>0.96178437380696835</v>
      </c>
      <c r="L61" s="101"/>
    </row>
    <row r="62" spans="1:12" s="12" customFormat="1" ht="26.25" customHeight="1" x14ac:dyDescent="0.4">
      <c r="A62" s="113" t="s">
        <v>99</v>
      </c>
      <c r="B62" s="114">
        <v>1</v>
      </c>
      <c r="C62" s="291"/>
      <c r="D62" s="294"/>
      <c r="E62" s="171">
        <v>3</v>
      </c>
      <c r="F62" s="174">
        <v>47304650</v>
      </c>
      <c r="G62" s="172">
        <f>IF(ISBLANK(F62),"-",(F62/$D$50*$D$47*$B$68)*($B$57/$D$60))</f>
        <v>287.99815401643332</v>
      </c>
      <c r="H62" s="173">
        <f t="shared" si="0"/>
        <v>0.95999384672144439</v>
      </c>
      <c r="L62" s="101"/>
    </row>
    <row r="63" spans="1:12" ht="27" customHeight="1" thickBot="1" x14ac:dyDescent="0.45">
      <c r="A63" s="113" t="s">
        <v>100</v>
      </c>
      <c r="B63" s="114">
        <v>1</v>
      </c>
      <c r="C63" s="292"/>
      <c r="D63" s="295"/>
      <c r="E63" s="175">
        <v>4</v>
      </c>
      <c r="F63" s="176"/>
      <c r="G63" s="172" t="str">
        <f>IF(ISBLANK(F63),"-",(F63/$D$50*$D$47*$B$68)*($B$57/$D$60))</f>
        <v>-</v>
      </c>
      <c r="H63" s="173" t="str">
        <f t="shared" si="0"/>
        <v>-</v>
      </c>
    </row>
    <row r="64" spans="1:12" ht="26.25" customHeight="1" x14ac:dyDescent="0.4">
      <c r="A64" s="113" t="s">
        <v>101</v>
      </c>
      <c r="B64" s="114">
        <v>1</v>
      </c>
      <c r="C64" s="290" t="s">
        <v>102</v>
      </c>
      <c r="D64" s="293">
        <v>867.99</v>
      </c>
      <c r="E64" s="167">
        <v>1</v>
      </c>
      <c r="F64" s="168">
        <v>46797531</v>
      </c>
      <c r="G64" s="177">
        <f>IF(ISBLANK(F64),"-",(F64/$D$50*$D$47*$B$68)*($B$57/$D$64))</f>
        <v>287.5071275908137</v>
      </c>
      <c r="H64" s="178">
        <f>IF(ISBLANK(F64),"-",G64/$B$56)</f>
        <v>0.95835709196937902</v>
      </c>
    </row>
    <row r="65" spans="1:8" ht="26.25" customHeight="1" x14ac:dyDescent="0.4">
      <c r="A65" s="113" t="s">
        <v>103</v>
      </c>
      <c r="B65" s="114">
        <v>1</v>
      </c>
      <c r="C65" s="291"/>
      <c r="D65" s="294"/>
      <c r="E65" s="171">
        <v>2</v>
      </c>
      <c r="F65" s="126">
        <v>46955458</v>
      </c>
      <c r="G65" s="179">
        <f>IF(ISBLANK(F65),"-",(F65/$D$50*$D$47*$B$68)*($B$57/$D$64))</f>
        <v>288.47737403691434</v>
      </c>
      <c r="H65" s="180">
        <f t="shared" si="0"/>
        <v>0.96159124678971442</v>
      </c>
    </row>
    <row r="66" spans="1:8" ht="26.25" customHeight="1" x14ac:dyDescent="0.4">
      <c r="A66" s="113" t="s">
        <v>104</v>
      </c>
      <c r="B66" s="114">
        <v>1</v>
      </c>
      <c r="C66" s="291"/>
      <c r="D66" s="294"/>
      <c r="E66" s="171">
        <v>3</v>
      </c>
      <c r="F66" s="126">
        <v>46781787</v>
      </c>
      <c r="G66" s="179">
        <f>IF(ISBLANK(F66),"-",(F66/$D$50*$D$47*$B$68)*($B$57/$D$64))</f>
        <v>287.41040214141361</v>
      </c>
      <c r="H66" s="180">
        <f t="shared" si="0"/>
        <v>0.95803467380471208</v>
      </c>
    </row>
    <row r="67" spans="1:8" ht="27" customHeight="1" thickBot="1" x14ac:dyDescent="0.45">
      <c r="A67" s="113" t="s">
        <v>105</v>
      </c>
      <c r="B67" s="114">
        <v>1</v>
      </c>
      <c r="C67" s="292"/>
      <c r="D67" s="295"/>
      <c r="E67" s="175">
        <v>4</v>
      </c>
      <c r="F67" s="176"/>
      <c r="G67" s="181" t="str">
        <f>IF(ISBLANK(F67),"-",(F67/$D$50*$D$47*$B$68)*($B$57/$D$64))</f>
        <v>-</v>
      </c>
      <c r="H67" s="182" t="str">
        <f t="shared" si="0"/>
        <v>-</v>
      </c>
    </row>
    <row r="68" spans="1:8" ht="26.25" customHeight="1" x14ac:dyDescent="0.4">
      <c r="A68" s="113" t="s">
        <v>106</v>
      </c>
      <c r="B68" s="183">
        <f>(B67/B66)*(B65/B64)*(B63/B62)*(B61/B60)*B59</f>
        <v>2500</v>
      </c>
      <c r="C68" s="290" t="s">
        <v>107</v>
      </c>
      <c r="D68" s="293">
        <v>870.85</v>
      </c>
      <c r="E68" s="167">
        <v>1</v>
      </c>
      <c r="F68" s="168">
        <v>47380076</v>
      </c>
      <c r="G68" s="177">
        <f>IF(ISBLANK(F68),"-",(F68/$D$50*$D$47*$B$68)*($B$57/$D$68))</f>
        <v>290.13010400936713</v>
      </c>
      <c r="H68" s="173">
        <f t="shared" si="0"/>
        <v>0.96710034669789047</v>
      </c>
    </row>
    <row r="69" spans="1:8" ht="27" customHeight="1" thickBot="1" x14ac:dyDescent="0.45">
      <c r="A69" s="158" t="s">
        <v>108</v>
      </c>
      <c r="B69" s="184">
        <f>(D47*B68)/B56*B57</f>
        <v>866.43900000000008</v>
      </c>
      <c r="C69" s="291"/>
      <c r="D69" s="294"/>
      <c r="E69" s="171">
        <v>2</v>
      </c>
      <c r="F69" s="126">
        <v>47484224</v>
      </c>
      <c r="G69" s="179">
        <f>IF(ISBLANK(F69),"-",(F69/$D$50*$D$47*$B$68)*($B$57/$D$68))</f>
        <v>290.76785034967196</v>
      </c>
      <c r="H69" s="173">
        <f t="shared" si="0"/>
        <v>0.96922616783223992</v>
      </c>
    </row>
    <row r="70" spans="1:8" ht="26.25" customHeight="1" x14ac:dyDescent="0.4">
      <c r="A70" s="277" t="s">
        <v>81</v>
      </c>
      <c r="B70" s="278"/>
      <c r="C70" s="291"/>
      <c r="D70" s="294"/>
      <c r="E70" s="171">
        <v>3</v>
      </c>
      <c r="F70" s="126">
        <v>47741479</v>
      </c>
      <c r="G70" s="179">
        <f>IF(ISBLANK(F70),"-",(F70/$D$50*$D$47*$B$68)*($B$57/$D$68))</f>
        <v>292.34314161570808</v>
      </c>
      <c r="H70" s="173">
        <f t="shared" si="0"/>
        <v>0.97447713871902697</v>
      </c>
    </row>
    <row r="71" spans="1:8" ht="27" customHeight="1" thickBot="1" x14ac:dyDescent="0.45">
      <c r="A71" s="279"/>
      <c r="B71" s="280"/>
      <c r="C71" s="296"/>
      <c r="D71" s="295"/>
      <c r="E71" s="175">
        <v>4</v>
      </c>
      <c r="F71" s="176"/>
      <c r="G71" s="181" t="str">
        <f>IF(ISBLANK(F71),"-",(F71/$D$50*$D$47*$B$68)*($B$57/$D$68))</f>
        <v>-</v>
      </c>
      <c r="H71" s="185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86" t="s">
        <v>74</v>
      </c>
      <c r="G72" s="187">
        <f>AVERAGE(G60:G71)</f>
        <v>289.05811290065742</v>
      </c>
      <c r="H72" s="188">
        <f>AVERAGE(H60:H71)</f>
        <v>0.96352704300219139</v>
      </c>
    </row>
    <row r="73" spans="1:8" ht="26.25" customHeight="1" x14ac:dyDescent="0.4">
      <c r="C73" s="142"/>
      <c r="D73" s="142"/>
      <c r="E73" s="142"/>
      <c r="F73" s="189" t="s">
        <v>87</v>
      </c>
      <c r="G73" s="190">
        <f>STDEV(G60:G71)/G72</f>
        <v>5.7648885586870958E-3</v>
      </c>
      <c r="H73" s="190">
        <f>STDEV(H60:H71)/H72</f>
        <v>5.7648885586871089E-3</v>
      </c>
    </row>
    <row r="74" spans="1:8" ht="27" customHeight="1" thickBot="1" x14ac:dyDescent="0.45">
      <c r="A74" s="142"/>
      <c r="B74" s="142"/>
      <c r="C74" s="142"/>
      <c r="D74" s="142"/>
      <c r="E74" s="144"/>
      <c r="F74" s="191" t="s">
        <v>19</v>
      </c>
      <c r="G74" s="192">
        <f>COUNT(G60:G71)</f>
        <v>9</v>
      </c>
      <c r="H74" s="192">
        <f>COUNT(H60:H71)</f>
        <v>9</v>
      </c>
    </row>
    <row r="76" spans="1:8" ht="26.25" customHeight="1" x14ac:dyDescent="0.4">
      <c r="A76" s="97" t="s">
        <v>109</v>
      </c>
      <c r="B76" s="98" t="s">
        <v>110</v>
      </c>
      <c r="C76" s="281" t="str">
        <f>B20</f>
        <v xml:space="preserve">Tenofovir Disoproxil Fumarate 300mg, Lamivudine 300mg  </v>
      </c>
      <c r="D76" s="281"/>
      <c r="E76" s="87" t="s">
        <v>111</v>
      </c>
      <c r="F76" s="87"/>
      <c r="G76" s="193">
        <f>H72</f>
        <v>0.96352704300219139</v>
      </c>
      <c r="H76" s="102"/>
    </row>
    <row r="77" spans="1:8" ht="18.75" x14ac:dyDescent="0.3">
      <c r="A77" s="96" t="s">
        <v>112</v>
      </c>
      <c r="B77" s="96" t="s">
        <v>113</v>
      </c>
    </row>
    <row r="78" spans="1:8" ht="18.75" x14ac:dyDescent="0.3">
      <c r="A78" s="96"/>
      <c r="B78" s="96"/>
    </row>
    <row r="79" spans="1:8" ht="26.25" customHeight="1" x14ac:dyDescent="0.4">
      <c r="A79" s="97" t="s">
        <v>4</v>
      </c>
      <c r="B79" s="297" t="str">
        <f>B26</f>
        <v>Tenofovir DF</v>
      </c>
      <c r="C79" s="297"/>
    </row>
    <row r="80" spans="1:8" ht="26.25" customHeight="1" x14ac:dyDescent="0.4">
      <c r="A80" s="98" t="s">
        <v>50</v>
      </c>
      <c r="B80" s="297" t="str">
        <f>B27</f>
        <v>T11-6</v>
      </c>
      <c r="C80" s="297"/>
    </row>
    <row r="81" spans="1:12" ht="27" customHeight="1" thickBot="1" x14ac:dyDescent="0.45">
      <c r="A81" s="98" t="s">
        <v>6</v>
      </c>
      <c r="B81" s="99">
        <f>B28</f>
        <v>98.8</v>
      </c>
    </row>
    <row r="82" spans="1:12" s="12" customFormat="1" ht="27" customHeight="1" thickBot="1" x14ac:dyDescent="0.45">
      <c r="A82" s="98" t="s">
        <v>52</v>
      </c>
      <c r="B82" s="100">
        <v>0</v>
      </c>
      <c r="C82" s="274" t="s">
        <v>53</v>
      </c>
      <c r="D82" s="275"/>
      <c r="E82" s="275"/>
      <c r="F82" s="275"/>
      <c r="G82" s="276"/>
      <c r="I82" s="101"/>
      <c r="J82" s="101"/>
      <c r="K82" s="101"/>
      <c r="L82" s="101"/>
    </row>
    <row r="83" spans="1:12" s="12" customFormat="1" ht="19.5" customHeight="1" thickBot="1" x14ac:dyDescent="0.35">
      <c r="A83" s="98" t="s">
        <v>54</v>
      </c>
      <c r="B83" s="102">
        <f>B81-B82</f>
        <v>98.8</v>
      </c>
      <c r="C83" s="103"/>
      <c r="D83" s="103"/>
      <c r="E83" s="103"/>
      <c r="F83" s="103"/>
      <c r="G83" s="104"/>
      <c r="I83" s="101"/>
      <c r="J83" s="101"/>
      <c r="K83" s="101"/>
      <c r="L83" s="101"/>
    </row>
    <row r="84" spans="1:12" s="12" customFormat="1" ht="27" customHeight="1" thickBot="1" x14ac:dyDescent="0.45">
      <c r="A84" s="98" t="s">
        <v>55</v>
      </c>
      <c r="B84" s="105">
        <v>1</v>
      </c>
      <c r="C84" s="262" t="s">
        <v>114</v>
      </c>
      <c r="D84" s="263"/>
      <c r="E84" s="263"/>
      <c r="F84" s="263"/>
      <c r="G84" s="263"/>
      <c r="H84" s="264"/>
      <c r="I84" s="101"/>
      <c r="J84" s="101"/>
      <c r="K84" s="101"/>
      <c r="L84" s="101"/>
    </row>
    <row r="85" spans="1:12" s="12" customFormat="1" ht="27" customHeight="1" thickBot="1" x14ac:dyDescent="0.45">
      <c r="A85" s="98" t="s">
        <v>57</v>
      </c>
      <c r="B85" s="105">
        <v>1</v>
      </c>
      <c r="C85" s="262" t="s">
        <v>115</v>
      </c>
      <c r="D85" s="263"/>
      <c r="E85" s="263"/>
      <c r="F85" s="263"/>
      <c r="G85" s="263"/>
      <c r="H85" s="264"/>
      <c r="I85" s="101"/>
      <c r="J85" s="101"/>
      <c r="K85" s="101"/>
      <c r="L85" s="101"/>
    </row>
    <row r="86" spans="1:12" s="12" customFormat="1" ht="18.75" x14ac:dyDescent="0.3">
      <c r="A86" s="98"/>
      <c r="B86" s="108"/>
      <c r="C86" s="109"/>
      <c r="D86" s="109"/>
      <c r="E86" s="109"/>
      <c r="F86" s="109"/>
      <c r="G86" s="109"/>
      <c r="H86" s="109"/>
      <c r="I86" s="101"/>
      <c r="J86" s="101"/>
      <c r="K86" s="101"/>
      <c r="L86" s="101"/>
    </row>
    <row r="87" spans="1:12" s="12" customFormat="1" ht="18.75" x14ac:dyDescent="0.3">
      <c r="A87" s="98" t="s">
        <v>59</v>
      </c>
      <c r="B87" s="110">
        <f>B84/B85</f>
        <v>1</v>
      </c>
      <c r="C87" s="87" t="s">
        <v>60</v>
      </c>
      <c r="D87" s="87"/>
      <c r="E87" s="87"/>
      <c r="F87" s="87"/>
      <c r="G87" s="87"/>
      <c r="I87" s="101"/>
      <c r="J87" s="101"/>
      <c r="K87" s="101"/>
      <c r="L87" s="101"/>
    </row>
    <row r="88" spans="1:12" ht="19.5" customHeight="1" thickBot="1" x14ac:dyDescent="0.35">
      <c r="A88" s="96"/>
      <c r="B88" s="96"/>
    </row>
    <row r="89" spans="1:12" ht="27" customHeight="1" thickBot="1" x14ac:dyDescent="0.45">
      <c r="A89" s="111" t="s">
        <v>61</v>
      </c>
      <c r="B89" s="112">
        <v>20</v>
      </c>
      <c r="D89" s="194" t="s">
        <v>62</v>
      </c>
      <c r="E89" s="195"/>
      <c r="F89" s="282" t="s">
        <v>63</v>
      </c>
      <c r="G89" s="284"/>
    </row>
    <row r="90" spans="1:12" ht="27" customHeight="1" thickBot="1" x14ac:dyDescent="0.45">
      <c r="A90" s="113" t="s">
        <v>64</v>
      </c>
      <c r="B90" s="114">
        <v>10</v>
      </c>
      <c r="C90" s="196" t="s">
        <v>65</v>
      </c>
      <c r="D90" s="116" t="s">
        <v>66</v>
      </c>
      <c r="E90" s="117" t="s">
        <v>67</v>
      </c>
      <c r="F90" s="116" t="s">
        <v>66</v>
      </c>
      <c r="G90" s="197" t="s">
        <v>67</v>
      </c>
      <c r="I90" s="119" t="s">
        <v>68</v>
      </c>
    </row>
    <row r="91" spans="1:12" ht="26.25" customHeight="1" x14ac:dyDescent="0.4">
      <c r="A91" s="113" t="s">
        <v>69</v>
      </c>
      <c r="B91" s="114">
        <v>25</v>
      </c>
      <c r="C91" s="198">
        <v>1</v>
      </c>
      <c r="D91" s="121">
        <v>129803712</v>
      </c>
      <c r="E91" s="122">
        <f>IF(ISBLANK(D91),"-",$D$101/$D$98*D91)</f>
        <v>120827966.25105187</v>
      </c>
      <c r="F91" s="121">
        <v>126162327</v>
      </c>
      <c r="G91" s="123">
        <f>IF(ISBLANK(F91),"-",$D$101/$F$98*F91)</f>
        <v>122156884.20484591</v>
      </c>
      <c r="I91" s="124"/>
    </row>
    <row r="92" spans="1:12" ht="26.25" customHeight="1" x14ac:dyDescent="0.4">
      <c r="A92" s="113" t="s">
        <v>70</v>
      </c>
      <c r="B92" s="114">
        <v>1</v>
      </c>
      <c r="C92" s="142">
        <v>2</v>
      </c>
      <c r="D92" s="126">
        <v>129915642</v>
      </c>
      <c r="E92" s="127">
        <f>IF(ISBLANK(D92),"-",$D$101/$D$98*D92)</f>
        <v>120932156.44757323</v>
      </c>
      <c r="F92" s="126">
        <v>126233607</v>
      </c>
      <c r="G92" s="128">
        <f>IF(ISBLANK(F92),"-",$D$101/$F$98*F92)</f>
        <v>122225901.18410724</v>
      </c>
      <c r="I92" s="285">
        <f>ABS((F96/D96*D95)-F95)/D95</f>
        <v>9.8223848049658665E-3</v>
      </c>
    </row>
    <row r="93" spans="1:12" ht="26.25" customHeight="1" x14ac:dyDescent="0.4">
      <c r="A93" s="113" t="s">
        <v>71</v>
      </c>
      <c r="B93" s="114">
        <v>1</v>
      </c>
      <c r="C93" s="142">
        <v>3</v>
      </c>
      <c r="D93" s="126">
        <v>130044965</v>
      </c>
      <c r="E93" s="127">
        <f>IF(ISBLANK(D93),"-",$D$101/$D$98*D93)</f>
        <v>121052536.942389</v>
      </c>
      <c r="F93" s="126">
        <v>126141526</v>
      </c>
      <c r="G93" s="128">
        <f>IF(ISBLANK(F93),"-",$D$101/$F$98*F93)</f>
        <v>122136743.60179295</v>
      </c>
      <c r="I93" s="285"/>
    </row>
    <row r="94" spans="1:12" ht="27" customHeight="1" thickBot="1" x14ac:dyDescent="0.45">
      <c r="A94" s="113" t="s">
        <v>72</v>
      </c>
      <c r="B94" s="114">
        <v>1</v>
      </c>
      <c r="C94" s="199">
        <v>4</v>
      </c>
      <c r="D94" s="130"/>
      <c r="E94" s="131" t="str">
        <f>IF(ISBLANK(D94),"-",$D$101/$D$98*D94)</f>
        <v>-</v>
      </c>
      <c r="F94" s="200"/>
      <c r="G94" s="132" t="str">
        <f>IF(ISBLANK(F94),"-",$D$101/$F$98*F94)</f>
        <v>-</v>
      </c>
      <c r="I94" s="133"/>
    </row>
    <row r="95" spans="1:12" ht="27" customHeight="1" thickBot="1" x14ac:dyDescent="0.45">
      <c r="A95" s="113" t="s">
        <v>73</v>
      </c>
      <c r="B95" s="114">
        <v>1</v>
      </c>
      <c r="C95" s="98" t="s">
        <v>74</v>
      </c>
      <c r="D95" s="201">
        <f>AVERAGE(D91:D94)</f>
        <v>129921439.66666667</v>
      </c>
      <c r="E95" s="136">
        <f>AVERAGE(E91:E94)</f>
        <v>120937553.21367137</v>
      </c>
      <c r="F95" s="202">
        <f>AVERAGE(F91:F94)</f>
        <v>126179153.33333333</v>
      </c>
      <c r="G95" s="203">
        <f>AVERAGE(G91:G94)</f>
        <v>122173176.3302487</v>
      </c>
    </row>
    <row r="96" spans="1:12" ht="26.25" customHeight="1" x14ac:dyDescent="0.4">
      <c r="A96" s="113" t="s">
        <v>75</v>
      </c>
      <c r="B96" s="99">
        <v>1</v>
      </c>
      <c r="C96" s="204" t="s">
        <v>116</v>
      </c>
      <c r="D96" s="205">
        <v>16.309999999999999</v>
      </c>
      <c r="E96" s="87"/>
      <c r="F96" s="139">
        <v>15.68</v>
      </c>
    </row>
    <row r="97" spans="1:10" ht="26.25" customHeight="1" x14ac:dyDescent="0.4">
      <c r="A97" s="113" t="s">
        <v>77</v>
      </c>
      <c r="B97" s="99">
        <v>1</v>
      </c>
      <c r="C97" s="206" t="s">
        <v>117</v>
      </c>
      <c r="D97" s="207">
        <f>D96*$B$87</f>
        <v>16.309999999999999</v>
      </c>
      <c r="E97" s="142"/>
      <c r="F97" s="141">
        <f>F96*$B$87</f>
        <v>15.68</v>
      </c>
    </row>
    <row r="98" spans="1:10" ht="19.5" customHeight="1" thickBot="1" x14ac:dyDescent="0.35">
      <c r="A98" s="113" t="s">
        <v>79</v>
      </c>
      <c r="B98" s="142">
        <f>(B97/B96)*(B95/B94)*(B93/B92)*(B91/B90)*B89</f>
        <v>50</v>
      </c>
      <c r="C98" s="206" t="s">
        <v>118</v>
      </c>
      <c r="D98" s="208">
        <f>D97*$B$83/100</f>
        <v>16.114279999999997</v>
      </c>
      <c r="E98" s="144"/>
      <c r="F98" s="143">
        <f>F97*$B$83/100</f>
        <v>15.49184</v>
      </c>
    </row>
    <row r="99" spans="1:10" ht="19.5" customHeight="1" thickBot="1" x14ac:dyDescent="0.35">
      <c r="A99" s="286" t="s">
        <v>81</v>
      </c>
      <c r="B99" s="298"/>
      <c r="C99" s="206" t="s">
        <v>119</v>
      </c>
      <c r="D99" s="209">
        <f>D98/$B$98</f>
        <v>0.32228559999999995</v>
      </c>
      <c r="E99" s="144"/>
      <c r="F99" s="147">
        <f>F98/$B$98</f>
        <v>0.30983680000000002</v>
      </c>
      <c r="H99" s="36"/>
    </row>
    <row r="100" spans="1:10" ht="19.5" customHeight="1" thickBot="1" x14ac:dyDescent="0.35">
      <c r="A100" s="288"/>
      <c r="B100" s="299"/>
      <c r="C100" s="206" t="s">
        <v>83</v>
      </c>
      <c r="D100" s="210">
        <f>$B$56/$B$116</f>
        <v>0.3</v>
      </c>
      <c r="F100" s="152"/>
      <c r="G100" s="211"/>
      <c r="H100" s="36"/>
    </row>
    <row r="101" spans="1:10" ht="18.75" x14ac:dyDescent="0.3">
      <c r="C101" s="206" t="s">
        <v>84</v>
      </c>
      <c r="D101" s="207">
        <f>D100*$B$98</f>
        <v>15</v>
      </c>
      <c r="F101" s="152"/>
      <c r="H101" s="36"/>
    </row>
    <row r="102" spans="1:10" ht="19.5" customHeight="1" thickBot="1" x14ac:dyDescent="0.35">
      <c r="C102" s="212" t="s">
        <v>85</v>
      </c>
      <c r="D102" s="213">
        <f>D101/B34</f>
        <v>15</v>
      </c>
      <c r="F102" s="156"/>
      <c r="H102" s="36"/>
      <c r="J102" s="214"/>
    </row>
    <row r="103" spans="1:10" ht="18.75" x14ac:dyDescent="0.3">
      <c r="C103" s="215" t="s">
        <v>120</v>
      </c>
      <c r="D103" s="216">
        <f>AVERAGE(E91:E94,G91:G94)</f>
        <v>121555364.77196003</v>
      </c>
      <c r="F103" s="156"/>
      <c r="G103" s="211"/>
      <c r="H103" s="36"/>
      <c r="J103" s="217"/>
    </row>
    <row r="104" spans="1:10" ht="18.75" x14ac:dyDescent="0.3">
      <c r="C104" s="189" t="s">
        <v>87</v>
      </c>
      <c r="D104" s="218">
        <f>STDEV(E91:E94,G91:G94)/D103</f>
        <v>5.6035620162823993E-3</v>
      </c>
      <c r="F104" s="156"/>
      <c r="H104" s="36"/>
      <c r="J104" s="217"/>
    </row>
    <row r="105" spans="1:10" ht="19.5" customHeight="1" thickBot="1" x14ac:dyDescent="0.35">
      <c r="C105" s="191" t="s">
        <v>19</v>
      </c>
      <c r="D105" s="219">
        <f>COUNT(E91:E94,G91:G94)</f>
        <v>6</v>
      </c>
      <c r="F105" s="156"/>
      <c r="H105" s="36"/>
      <c r="J105" s="217"/>
    </row>
    <row r="106" spans="1:10" ht="19.5" customHeight="1" thickBot="1" x14ac:dyDescent="0.35">
      <c r="A106" s="160"/>
      <c r="B106" s="160"/>
      <c r="C106" s="160"/>
      <c r="D106" s="160"/>
      <c r="E106" s="160"/>
    </row>
    <row r="107" spans="1:10" ht="26.25" customHeight="1" x14ac:dyDescent="0.4">
      <c r="A107" s="111" t="s">
        <v>121</v>
      </c>
      <c r="B107" s="112">
        <v>1000</v>
      </c>
      <c r="C107" s="194" t="s">
        <v>122</v>
      </c>
      <c r="D107" s="220" t="s">
        <v>66</v>
      </c>
      <c r="E107" s="221" t="s">
        <v>123</v>
      </c>
      <c r="F107" s="222" t="s">
        <v>124</v>
      </c>
    </row>
    <row r="108" spans="1:10" ht="26.25" customHeight="1" x14ac:dyDescent="0.4">
      <c r="A108" s="113" t="s">
        <v>125</v>
      </c>
      <c r="B108" s="114">
        <v>1</v>
      </c>
      <c r="C108" s="223">
        <v>1</v>
      </c>
      <c r="D108" s="224">
        <v>118485671</v>
      </c>
      <c r="E108" s="225">
        <f t="shared" ref="E108:E113" si="1">IF(ISBLANK(D108),"-",D108/$D$103*$D$100*$B$116)</f>
        <v>292.42396143258958</v>
      </c>
      <c r="F108" s="226">
        <f>IF(ISBLANK(D108), "-", E108/$B$56)</f>
        <v>0.97474653810863188</v>
      </c>
    </row>
    <row r="109" spans="1:10" ht="26.25" customHeight="1" x14ac:dyDescent="0.4">
      <c r="A109" s="113" t="s">
        <v>98</v>
      </c>
      <c r="B109" s="114">
        <v>1</v>
      </c>
      <c r="C109" s="223">
        <v>2</v>
      </c>
      <c r="D109" s="224">
        <v>118710885</v>
      </c>
      <c r="E109" s="227">
        <f t="shared" si="1"/>
        <v>292.97979210387876</v>
      </c>
      <c r="F109" s="228">
        <f t="shared" ref="F109:F113" si="2">IF(ISBLANK(D109), "-", E109/$B$56)</f>
        <v>0.97659930701292919</v>
      </c>
    </row>
    <row r="110" spans="1:10" ht="26.25" customHeight="1" x14ac:dyDescent="0.4">
      <c r="A110" s="113" t="s">
        <v>99</v>
      </c>
      <c r="B110" s="114">
        <v>1</v>
      </c>
      <c r="C110" s="223">
        <v>3</v>
      </c>
      <c r="D110" s="224">
        <v>118849195</v>
      </c>
      <c r="E110" s="227">
        <f t="shared" si="1"/>
        <v>293.32114273104224</v>
      </c>
      <c r="F110" s="228">
        <f>IF(ISBLANK(D110), "-", E110/$B$56)</f>
        <v>0.97773714243680743</v>
      </c>
    </row>
    <row r="111" spans="1:10" ht="26.25" customHeight="1" x14ac:dyDescent="0.4">
      <c r="A111" s="113" t="s">
        <v>100</v>
      </c>
      <c r="B111" s="114">
        <v>1</v>
      </c>
      <c r="C111" s="223">
        <v>4</v>
      </c>
      <c r="D111" s="224">
        <v>118056527</v>
      </c>
      <c r="E111" s="227">
        <f t="shared" si="1"/>
        <v>291.36482924009835</v>
      </c>
      <c r="F111" s="228">
        <f t="shared" si="2"/>
        <v>0.97121609746699444</v>
      </c>
    </row>
    <row r="112" spans="1:10" ht="26.25" customHeight="1" x14ac:dyDescent="0.4">
      <c r="A112" s="113" t="s">
        <v>101</v>
      </c>
      <c r="B112" s="114">
        <v>1</v>
      </c>
      <c r="C112" s="223">
        <v>5</v>
      </c>
      <c r="D112" s="224">
        <v>117313562</v>
      </c>
      <c r="E112" s="227">
        <f t="shared" si="1"/>
        <v>289.53118330914214</v>
      </c>
      <c r="F112" s="228">
        <f>IF(ISBLANK(D112), "-", E112/$B$56)</f>
        <v>0.96510394436380709</v>
      </c>
    </row>
    <row r="113" spans="1:10" ht="26.25" customHeight="1" x14ac:dyDescent="0.4">
      <c r="A113" s="113" t="s">
        <v>103</v>
      </c>
      <c r="B113" s="114">
        <v>1</v>
      </c>
      <c r="C113" s="229">
        <v>6</v>
      </c>
      <c r="D113" s="230">
        <v>118268807</v>
      </c>
      <c r="E113" s="231">
        <f t="shared" si="1"/>
        <v>291.88873865470515</v>
      </c>
      <c r="F113" s="232">
        <f t="shared" si="2"/>
        <v>0.9729624621823505</v>
      </c>
    </row>
    <row r="114" spans="1:10" ht="26.25" customHeight="1" x14ac:dyDescent="0.4">
      <c r="A114" s="113" t="s">
        <v>104</v>
      </c>
      <c r="B114" s="114">
        <v>1</v>
      </c>
      <c r="C114" s="223"/>
      <c r="D114" s="142"/>
      <c r="E114" s="87"/>
      <c r="F114" s="233"/>
    </row>
    <row r="115" spans="1:10" ht="26.25" customHeight="1" x14ac:dyDescent="0.4">
      <c r="A115" s="113" t="s">
        <v>105</v>
      </c>
      <c r="B115" s="114">
        <v>1</v>
      </c>
      <c r="C115" s="223"/>
      <c r="D115" s="234" t="s">
        <v>74</v>
      </c>
      <c r="E115" s="235">
        <f>AVERAGE(E108:E113)</f>
        <v>291.91827457857602</v>
      </c>
      <c r="F115" s="236">
        <f>AVERAGE(F108:F113)</f>
        <v>0.97306091526192018</v>
      </c>
    </row>
    <row r="116" spans="1:10" ht="27" customHeight="1" thickBot="1" x14ac:dyDescent="0.45">
      <c r="A116" s="113" t="s">
        <v>106</v>
      </c>
      <c r="B116" s="125">
        <f>(B115/B114)*(B113/B112)*(B111/B110)*(B109/B108)*B107</f>
        <v>1000</v>
      </c>
      <c r="C116" s="237"/>
      <c r="D116" s="98" t="s">
        <v>87</v>
      </c>
      <c r="E116" s="238">
        <f>STDEV(E108:E113)/E115</f>
        <v>4.6859517497975754E-3</v>
      </c>
      <c r="F116" s="238">
        <f>STDEV(F108:F113)/F115</f>
        <v>4.6859517497975711E-3</v>
      </c>
      <c r="I116" s="87"/>
    </row>
    <row r="117" spans="1:10" ht="27" customHeight="1" thickBot="1" x14ac:dyDescent="0.45">
      <c r="A117" s="286" t="s">
        <v>81</v>
      </c>
      <c r="B117" s="287"/>
      <c r="C117" s="239"/>
      <c r="D117" s="240" t="s">
        <v>19</v>
      </c>
      <c r="E117" s="241">
        <f>COUNT(E108:E113)</f>
        <v>6</v>
      </c>
      <c r="F117" s="241">
        <f>COUNT(F108:F113)</f>
        <v>6</v>
      </c>
      <c r="I117" s="87"/>
      <c r="J117" s="217"/>
    </row>
    <row r="118" spans="1:10" ht="19.5" customHeight="1" thickBot="1" x14ac:dyDescent="0.35">
      <c r="A118" s="288"/>
      <c r="B118" s="289"/>
      <c r="C118" s="87"/>
      <c r="D118" s="87"/>
      <c r="E118" s="87"/>
      <c r="F118" s="142"/>
      <c r="G118" s="87"/>
      <c r="H118" s="87"/>
      <c r="I118" s="87"/>
    </row>
    <row r="119" spans="1:10" ht="18.75" x14ac:dyDescent="0.3">
      <c r="A119" s="242"/>
      <c r="B119" s="109"/>
      <c r="C119" s="87"/>
      <c r="D119" s="87"/>
      <c r="E119" s="87"/>
      <c r="F119" s="142"/>
      <c r="G119" s="87"/>
      <c r="H119" s="87"/>
      <c r="I119" s="87"/>
    </row>
    <row r="120" spans="1:10" ht="26.25" customHeight="1" x14ac:dyDescent="0.4">
      <c r="A120" s="97" t="s">
        <v>109</v>
      </c>
      <c r="B120" s="98" t="s">
        <v>126</v>
      </c>
      <c r="C120" s="281" t="str">
        <f>B20</f>
        <v xml:space="preserve">Tenofovir Disoproxil Fumarate 300mg, Lamivudine 300mg  </v>
      </c>
      <c r="D120" s="281"/>
      <c r="E120" s="87" t="s">
        <v>127</v>
      </c>
      <c r="F120" s="87"/>
      <c r="G120" s="193">
        <f>F115</f>
        <v>0.97306091526192018</v>
      </c>
      <c r="H120" s="87"/>
      <c r="I120" s="87"/>
    </row>
    <row r="121" spans="1:10" ht="19.5" customHeight="1" thickBot="1" x14ac:dyDescent="0.35">
      <c r="A121" s="243"/>
      <c r="B121" s="243"/>
      <c r="C121" s="244"/>
      <c r="D121" s="244"/>
      <c r="E121" s="244"/>
      <c r="F121" s="244"/>
      <c r="G121" s="244"/>
      <c r="H121" s="244"/>
    </row>
    <row r="122" spans="1:10" ht="18.75" x14ac:dyDescent="0.3">
      <c r="B122" s="300" t="s">
        <v>24</v>
      </c>
      <c r="C122" s="300"/>
      <c r="E122" s="196" t="s">
        <v>25</v>
      </c>
      <c r="F122" s="245"/>
      <c r="G122" s="300" t="s">
        <v>26</v>
      </c>
      <c r="H122" s="300"/>
    </row>
    <row r="123" spans="1:10" ht="69.95" customHeight="1" x14ac:dyDescent="0.3">
      <c r="A123" s="97" t="s">
        <v>27</v>
      </c>
      <c r="B123" s="246"/>
      <c r="C123" s="246"/>
      <c r="E123" s="246"/>
      <c r="F123" s="87"/>
      <c r="G123" s="246"/>
      <c r="H123" s="246"/>
    </row>
    <row r="124" spans="1:10" ht="69.95" customHeight="1" x14ac:dyDescent="0.3">
      <c r="A124" s="97" t="s">
        <v>28</v>
      </c>
      <c r="B124" s="247"/>
      <c r="C124" s="43" t="s">
        <v>134</v>
      </c>
      <c r="E124" s="301">
        <v>42431</v>
      </c>
      <c r="F124" s="87"/>
      <c r="G124" s="248"/>
      <c r="H124" s="248"/>
    </row>
    <row r="125" spans="1:10" ht="18.75" x14ac:dyDescent="0.3">
      <c r="A125" s="142"/>
      <c r="B125" s="142"/>
      <c r="C125" s="142"/>
      <c r="D125" s="142"/>
      <c r="E125" s="142"/>
      <c r="F125" s="144"/>
      <c r="G125" s="142"/>
      <c r="H125" s="142"/>
      <c r="I125" s="87"/>
    </row>
    <row r="126" spans="1:10" ht="18.75" x14ac:dyDescent="0.3">
      <c r="A126" s="142"/>
      <c r="B126" s="142"/>
      <c r="C126" s="142"/>
      <c r="D126" s="142"/>
      <c r="E126" s="142"/>
      <c r="F126" s="144"/>
      <c r="G126" s="142"/>
      <c r="H126" s="142"/>
      <c r="I126" s="87"/>
    </row>
    <row r="127" spans="1:10" ht="18.75" x14ac:dyDescent="0.3">
      <c r="A127" s="142"/>
      <c r="B127" s="142"/>
      <c r="C127" s="142"/>
      <c r="D127" s="142"/>
      <c r="E127" s="142"/>
      <c r="F127" s="144"/>
      <c r="G127" s="142"/>
      <c r="H127" s="142"/>
      <c r="I127" s="87"/>
    </row>
    <row r="128" spans="1:10" ht="18.75" x14ac:dyDescent="0.3">
      <c r="A128" s="142"/>
      <c r="B128" s="142"/>
      <c r="C128" s="142"/>
      <c r="D128" s="142"/>
      <c r="E128" s="142"/>
      <c r="F128" s="144"/>
      <c r="G128" s="142"/>
      <c r="H128" s="142"/>
      <c r="I128" s="87"/>
    </row>
    <row r="129" spans="1:9" ht="18.75" x14ac:dyDescent="0.3">
      <c r="A129" s="142"/>
      <c r="B129" s="142"/>
      <c r="C129" s="142"/>
      <c r="D129" s="142"/>
      <c r="E129" s="142"/>
      <c r="F129" s="144"/>
      <c r="G129" s="142"/>
      <c r="H129" s="142"/>
      <c r="I129" s="87"/>
    </row>
    <row r="130" spans="1:9" ht="18.75" x14ac:dyDescent="0.3">
      <c r="A130" s="142"/>
      <c r="B130" s="142"/>
      <c r="C130" s="142"/>
      <c r="D130" s="142"/>
      <c r="E130" s="142"/>
      <c r="F130" s="144"/>
      <c r="G130" s="142"/>
      <c r="H130" s="142"/>
      <c r="I130" s="87"/>
    </row>
    <row r="131" spans="1:9" ht="18.75" x14ac:dyDescent="0.3">
      <c r="A131" s="142"/>
      <c r="B131" s="142"/>
      <c r="C131" s="142"/>
      <c r="D131" s="142"/>
      <c r="E131" s="142"/>
      <c r="F131" s="144"/>
      <c r="G131" s="142"/>
      <c r="H131" s="142"/>
      <c r="I131" s="87"/>
    </row>
    <row r="132" spans="1:9" ht="18.75" x14ac:dyDescent="0.3">
      <c r="A132" s="142"/>
      <c r="B132" s="142"/>
      <c r="C132" s="142"/>
      <c r="D132" s="142"/>
      <c r="E132" s="142"/>
      <c r="F132" s="144"/>
      <c r="G132" s="142"/>
      <c r="H132" s="142"/>
      <c r="I132" s="87"/>
    </row>
    <row r="133" spans="1:9" ht="18.75" x14ac:dyDescent="0.3">
      <c r="A133" s="142"/>
      <c r="B133" s="142"/>
      <c r="C133" s="142"/>
      <c r="D133" s="142"/>
      <c r="E133" s="142"/>
      <c r="F133" s="144"/>
      <c r="G133" s="142"/>
      <c r="H133" s="142"/>
      <c r="I133" s="87"/>
    </row>
    <row r="250" spans="1:1" x14ac:dyDescent="0.25">
      <c r="A250" s="2">
        <v>5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I92:I93"/>
    <mergeCell ref="A99:B100"/>
    <mergeCell ref="A117:B118"/>
    <mergeCell ref="C120:D120"/>
    <mergeCell ref="B122:C122"/>
    <mergeCell ref="G122:H122"/>
    <mergeCell ref="F89:G89"/>
    <mergeCell ref="C64:C67"/>
    <mergeCell ref="D64:D67"/>
    <mergeCell ref="C68:C71"/>
    <mergeCell ref="D68:D71"/>
    <mergeCell ref="B79:C79"/>
    <mergeCell ref="B80:C80"/>
    <mergeCell ref="C82:G82"/>
    <mergeCell ref="C84:H84"/>
    <mergeCell ref="C85:H85"/>
    <mergeCell ref="A70:B71"/>
    <mergeCell ref="C76:D76"/>
    <mergeCell ref="D36:E36"/>
    <mergeCell ref="F36:G36"/>
    <mergeCell ref="I39:I40"/>
    <mergeCell ref="A46:B47"/>
    <mergeCell ref="C60:C63"/>
    <mergeCell ref="D60:D63"/>
    <mergeCell ref="C32:H32"/>
    <mergeCell ref="A1:I7"/>
    <mergeCell ref="A8:I14"/>
    <mergeCell ref="A16:H16"/>
    <mergeCell ref="A17:H17"/>
    <mergeCell ref="B18:C18"/>
    <mergeCell ref="B20:C20"/>
    <mergeCell ref="B21:H21"/>
    <mergeCell ref="B26:C26"/>
    <mergeCell ref="B27:C27"/>
    <mergeCell ref="C29:G29"/>
    <mergeCell ref="C31:H31"/>
  </mergeCells>
  <conditionalFormatting sqref="E51">
    <cfRule type="cellIs" dxfId="8" priority="9" operator="greaterThan">
      <formula>0.02</formula>
    </cfRule>
  </conditionalFormatting>
  <conditionalFormatting sqref="D51">
    <cfRule type="cellIs" dxfId="7" priority="8" operator="greaterThan">
      <formula>0.02</formula>
    </cfRule>
  </conditionalFormatting>
  <conditionalFormatting sqref="G73">
    <cfRule type="cellIs" dxfId="6" priority="7" operator="greaterThan">
      <formula>0.02</formula>
    </cfRule>
  </conditionalFormatting>
  <conditionalFormatting sqref="H73">
    <cfRule type="cellIs" dxfId="5" priority="6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4" operator="lessThanOrEqual">
      <formula>0.02</formula>
    </cfRule>
  </conditionalFormatting>
  <conditionalFormatting sqref="I39">
    <cfRule type="cellIs" dxfId="2" priority="3" operator="greaterThan">
      <formula>0.02</formula>
    </cfRule>
  </conditionalFormatting>
  <conditionalFormatting sqref="I92">
    <cfRule type="cellIs" dxfId="1" priority="2" operator="lessThanOrEqual">
      <formula>0.02</formula>
    </cfRule>
  </conditionalFormatting>
  <conditionalFormatting sqref="I92">
    <cfRule type="cellIs" dxfId="0" priority="1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 </vt:lpstr>
      <vt:lpstr>Uniformity</vt:lpstr>
      <vt:lpstr>Lamivudine</vt:lpstr>
      <vt:lpstr>Tenofovir DF </vt:lpstr>
      <vt:lpstr>Lamivudine!Print_Area</vt:lpstr>
      <vt:lpstr>'Tenofovir DF '!Print_Area</vt:lpstr>
      <vt:lpstr>Uniformity!Print_Area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Joyfrida</dc:creator>
  <cp:lastModifiedBy>User</cp:lastModifiedBy>
  <cp:lastPrinted>2016-03-01T08:22:47Z</cp:lastPrinted>
  <dcterms:created xsi:type="dcterms:W3CDTF">2016-03-01T05:47:03Z</dcterms:created>
  <dcterms:modified xsi:type="dcterms:W3CDTF">2016-03-03T09:39:03Z</dcterms:modified>
</cp:coreProperties>
</file>