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Fluconazol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79" i="3" l="1"/>
  <c r="C120" i="3"/>
  <c r="B116" i="3"/>
  <c r="D100" i="3" s="1"/>
  <c r="B98" i="3"/>
  <c r="F95" i="3"/>
  <c r="D95" i="3"/>
  <c r="F97" i="3"/>
  <c r="B81" i="3"/>
  <c r="B83" i="3" s="1"/>
  <c r="B80" i="3"/>
  <c r="C76" i="3"/>
  <c r="B68" i="3"/>
  <c r="B57" i="3"/>
  <c r="B69" i="3" s="1"/>
  <c r="C56" i="3"/>
  <c r="B55" i="3"/>
  <c r="B45" i="3"/>
  <c r="D48" i="3" s="1"/>
  <c r="F42" i="3"/>
  <c r="D42" i="3"/>
  <c r="D44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I92" i="3"/>
  <c r="I39" i="3"/>
  <c r="D45" i="3"/>
  <c r="D46" i="3" s="1"/>
  <c r="F98" i="3"/>
  <c r="F99" i="3" s="1"/>
  <c r="D102" i="3"/>
  <c r="D49" i="3"/>
  <c r="F44" i="3"/>
  <c r="F45" i="3" s="1"/>
  <c r="F46" i="3" s="1"/>
  <c r="D97" i="3"/>
  <c r="D98" i="3" s="1"/>
  <c r="D99" i="3" s="1"/>
  <c r="G92" i="3" l="1"/>
  <c r="G94" i="3"/>
  <c r="E40" i="3"/>
  <c r="E39" i="3"/>
  <c r="E38" i="3"/>
  <c r="G39" i="3"/>
  <c r="G40" i="3"/>
  <c r="G91" i="3"/>
  <c r="E41" i="3"/>
  <c r="G93" i="3"/>
  <c r="G38" i="3"/>
  <c r="E94" i="3"/>
  <c r="E93" i="3"/>
  <c r="E92" i="3"/>
  <c r="G41" i="3"/>
  <c r="E91" i="3"/>
  <c r="G95" i="3" l="1"/>
  <c r="E42" i="3"/>
  <c r="G42" i="3"/>
  <c r="D50" i="3"/>
  <c r="G69" i="3" s="1"/>
  <c r="H69" i="3" s="1"/>
  <c r="D52" i="3"/>
  <c r="E95" i="3"/>
  <c r="D105" i="3"/>
  <c r="D103" i="3"/>
  <c r="G61" i="3" l="1"/>
  <c r="H61" i="3" s="1"/>
  <c r="G62" i="3"/>
  <c r="H62" i="3" s="1"/>
  <c r="G63" i="3"/>
  <c r="H63" i="3" s="1"/>
  <c r="G64" i="3"/>
  <c r="H64" i="3" s="1"/>
  <c r="G67" i="3"/>
  <c r="H67" i="3" s="1"/>
  <c r="G71" i="3"/>
  <c r="H71" i="3" s="1"/>
  <c r="D51" i="3"/>
  <c r="G68" i="3"/>
  <c r="H68" i="3" s="1"/>
  <c r="G70" i="3"/>
  <c r="H70" i="3" s="1"/>
  <c r="G66" i="3"/>
  <c r="H66" i="3" s="1"/>
  <c r="G65" i="3"/>
  <c r="H65" i="3" s="1"/>
  <c r="G60" i="3"/>
  <c r="H60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H72" i="3"/>
  <c r="H74" i="3"/>
  <c r="E115" i="3"/>
  <c r="E116" i="3" s="1"/>
  <c r="E117" i="3"/>
  <c r="F108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<sst xmlns="http://schemas.openxmlformats.org/spreadsheetml/2006/main" count="234" uniqueCount="129">
  <si>
    <t>HPLC System Suitability Report</t>
  </si>
  <si>
    <t>Analysis Data</t>
  </si>
  <si>
    <t>Assay</t>
  </si>
  <si>
    <t>Sample(s)</t>
  </si>
  <si>
    <t>Reference Substance:</t>
  </si>
  <si>
    <t>DICONAZOL TABLETS</t>
  </si>
  <si>
    <t>% age Purity:</t>
  </si>
  <si>
    <t>NDQB201602769</t>
  </si>
  <si>
    <t>Weight (mg):</t>
  </si>
  <si>
    <t>Fluconazole</t>
  </si>
  <si>
    <t>Standard Conc (mg/mL):</t>
  </si>
  <si>
    <t xml:space="preserve">Each film coated tablets contains: Fluconazole </t>
  </si>
  <si>
    <t>2016-02-23 08:32:49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</si>
  <si>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</si>
  <si>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</si>
  <si>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</si>
  <si>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</si>
  <si>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</si>
  <si>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</si>
  <si>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</si>
  <si>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</si>
  <si>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</si>
  <si>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</si>
  <si>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</si>
  <si>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</si>
  <si>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</si>
  <si>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</si>
  <si>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</si>
  <si>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</si>
  <si>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</si>
  <si>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</si>
  <si>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</si>
  <si>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</si>
  <si>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</si>
  <si>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</si>
  <si>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</si>
  <si>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</si>
  <si>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</si>
  <si>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</si>
  <si>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</si>
  <si>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</si>
  <si>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</si>
  <si>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</si>
  <si>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</si>
  <si>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</si>
  <si>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</si>
  <si>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</si>
  <si>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</si>
  <si>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</si>
  <si>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</si>
  <si>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</si>
  <si>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</si>
  <si>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</si>
  <si>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</si>
  <si>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</si>
  <si>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</si>
  <si>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</si>
  <si>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</si>
  <si>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</si>
  <si>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</si>
  <si>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</si>
  <si>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</si>
  <si>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</si>
  <si>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</si>
  <si>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</si>
  <si>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</si>
  <si>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</si>
  <si>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</si>
  <si>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</si>
  <si>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</si>
  <si>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</si>
  <si>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</si>
  <si>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</si>
  <si>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</si>
  <si>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</si>
  <si>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</si>
  <si>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</si>
  <si>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</si>
  <si>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</si>
  <si>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</si>
  <si>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</si>
  <si>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</si>
  <si>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</si>
  <si>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</si>
  <si>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</si>
  <si>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</si>
  <si>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</si>
  <si>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</si>
  <si>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</si>
  <si>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</si>
  <si>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</si>
  <si>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</si>
  <si>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</si>
  <si>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</si>
  <si>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</si>
  <si>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</si>
  <si>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</si>
  <si>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</si>
  <si>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</si>
  <si>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</si>
  <si>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</si>
  <si>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</si>
  <si>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</si>
  <si>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</si>
  <si>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</si>
  <si>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</si>
  <si>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</si>
  <si>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</si>
  <si>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</si>
  <si>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</si>
  <si>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</si>
  <si>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</si>
  <si>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</si>
  <si>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</si>
  <si>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</si>
  <si>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</si>
  <si>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</si>
  <si>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</si>
  <si>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</si>
  <si>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</si>
  <si>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</si>
  <si>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</si>
  <si>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Each film coated tablets contains: Fluconazole 200mg</t>
  </si>
  <si>
    <t>F1-1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</si>
  <si>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1100</t>
    </r>
  </si>
  <si>
    <r>
      <t>The Assymetry of all peaks were below</t>
    </r>
    <r>
      <rPr>
        <b/>
        <sz val="12"/>
        <color rgb="FF000000"/>
        <rFont val="Book Antiqua"/>
      </rPr>
      <t xml:space="preserve"> 3.0</t>
    </r>
  </si>
  <si>
    <t>Fluconazole 19.74mg</t>
  </si>
  <si>
    <t>Tablet No.</t>
  </si>
  <si>
    <t>Fluconazole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</si>
</sst>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2" workbookViewId="0">
      <selection activeCell="C54" sqref="C5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126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7492598</v>
      </c>
      <c r="C24" s="18">
        <v>5156.6000000000004</v>
      </c>
      <c r="D24" s="19">
        <v>1.1000000000000001</v>
      </c>
      <c r="E24" s="20">
        <v>3.8</v>
      </c>
    </row>
    <row r="25" spans="1:6" ht="16.5" customHeight="1" x14ac:dyDescent="0.3">
      <c r="A25" s="17">
        <v>2</v>
      </c>
      <c r="B25" s="18">
        <v>7454221</v>
      </c>
      <c r="C25" s="18">
        <v>5140.6000000000004</v>
      </c>
      <c r="D25" s="19">
        <v>1.1000000000000001</v>
      </c>
      <c r="E25" s="19">
        <v>3.8</v>
      </c>
    </row>
    <row r="26" spans="1:6" ht="16.5" customHeight="1" x14ac:dyDescent="0.3">
      <c r="A26" s="17">
        <v>3</v>
      </c>
      <c r="B26" s="18">
        <v>7428665</v>
      </c>
      <c r="C26" s="18">
        <v>5138.2</v>
      </c>
      <c r="D26" s="19">
        <v>1.1000000000000001</v>
      </c>
      <c r="E26" s="19">
        <v>3.8</v>
      </c>
    </row>
    <row r="27" spans="1:6" ht="16.5" customHeight="1" x14ac:dyDescent="0.3">
      <c r="A27" s="17">
        <v>4</v>
      </c>
      <c r="B27" s="18">
        <v>7418463</v>
      </c>
      <c r="C27" s="18">
        <v>5125.3999999999996</v>
      </c>
      <c r="D27" s="19">
        <v>1.1000000000000001</v>
      </c>
      <c r="E27" s="19">
        <v>3.8</v>
      </c>
    </row>
    <row r="28" spans="1:6" ht="16.5" customHeight="1" x14ac:dyDescent="0.3">
      <c r="A28" s="17">
        <v>5</v>
      </c>
      <c r="B28" s="18">
        <v>7440299</v>
      </c>
      <c r="C28" s="18">
        <v>5155.3</v>
      </c>
      <c r="D28" s="19">
        <v>1.1000000000000001</v>
      </c>
      <c r="E28" s="19">
        <v>3.8</v>
      </c>
    </row>
    <row r="29" spans="1:6" ht="16.5" customHeight="1" x14ac:dyDescent="0.3">
      <c r="A29" s="17">
        <v>6</v>
      </c>
      <c r="B29" s="21">
        <v>7424037</v>
      </c>
      <c r="C29" s="21">
        <v>5121.8999999999996</v>
      </c>
      <c r="D29" s="22">
        <v>1.1000000000000001</v>
      </c>
      <c r="E29" s="22">
        <v>3.8</v>
      </c>
    </row>
    <row r="30" spans="1:6" ht="16.5" customHeight="1" x14ac:dyDescent="0.3">
      <c r="A30" s="23" t="s">
        <v>18</v>
      </c>
      <c r="B30" s="24">
        <f>AVERAGE(B24:B29)</f>
        <v>7443047.166666667</v>
      </c>
      <c r="C30" s="25">
        <f>AVERAGE(C24:C29)</f>
        <v>5139.666666666667</v>
      </c>
      <c r="D30" s="26">
        <f>AVERAGE(D24:D29)</f>
        <v>1.0999999999999999</v>
      </c>
      <c r="E30" s="26">
        <f>AVERAGE(E24:E29)</f>
        <v>3.8000000000000003</v>
      </c>
    </row>
    <row r="31" spans="1:6" ht="16.5" customHeight="1" x14ac:dyDescent="0.3">
      <c r="A31" s="27" t="s">
        <v>19</v>
      </c>
      <c r="B31" s="28">
        <f>(STDEV(B24:B29)/B30)</f>
        <v>3.6844769772950837E-3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124</v>
      </c>
      <c r="C35" s="38"/>
      <c r="D35" s="38"/>
      <c r="E35" s="39"/>
      <c r="F35" s="2"/>
    </row>
    <row r="36" spans="1:6" ht="16.5" customHeight="1" x14ac:dyDescent="0.3">
      <c r="A36" s="11"/>
      <c r="B36" s="40" t="s">
        <v>125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7492598</v>
      </c>
      <c r="C45" s="18">
        <v>5156.6000000000004</v>
      </c>
      <c r="D45" s="19">
        <v>1.1000000000000001</v>
      </c>
      <c r="E45" s="20">
        <v>3.8</v>
      </c>
    </row>
    <row r="46" spans="1:6" ht="16.5" customHeight="1" x14ac:dyDescent="0.3">
      <c r="A46" s="17">
        <v>2</v>
      </c>
      <c r="B46" s="18">
        <v>7454221</v>
      </c>
      <c r="C46" s="18">
        <v>5140.6000000000004</v>
      </c>
      <c r="D46" s="19">
        <v>1.1000000000000001</v>
      </c>
      <c r="E46" s="19">
        <v>3.8</v>
      </c>
    </row>
    <row r="47" spans="1:6" ht="16.5" customHeight="1" x14ac:dyDescent="0.3">
      <c r="A47" s="17">
        <v>3</v>
      </c>
      <c r="B47" s="18">
        <v>7428665</v>
      </c>
      <c r="C47" s="18">
        <v>5138.2</v>
      </c>
      <c r="D47" s="19">
        <v>1.1000000000000001</v>
      </c>
      <c r="E47" s="19">
        <v>3.8</v>
      </c>
    </row>
    <row r="48" spans="1:6" ht="16.5" customHeight="1" x14ac:dyDescent="0.3">
      <c r="A48" s="17">
        <v>4</v>
      </c>
      <c r="B48" s="18">
        <v>7418463</v>
      </c>
      <c r="C48" s="18">
        <v>5125.3999999999996</v>
      </c>
      <c r="D48" s="19">
        <v>1.1000000000000001</v>
      </c>
      <c r="E48" s="19">
        <v>3.8</v>
      </c>
    </row>
    <row r="49" spans="1:7" ht="16.5" customHeight="1" x14ac:dyDescent="0.3">
      <c r="A49" s="17">
        <v>5</v>
      </c>
      <c r="B49" s="18">
        <v>7440299</v>
      </c>
      <c r="C49" s="18">
        <v>5155.3</v>
      </c>
      <c r="D49" s="19">
        <v>1.1000000000000001</v>
      </c>
      <c r="E49" s="19">
        <v>3.8</v>
      </c>
    </row>
    <row r="50" spans="1:7" ht="16.5" customHeight="1" x14ac:dyDescent="0.3">
      <c r="A50" s="17">
        <v>6</v>
      </c>
      <c r="B50" s="21">
        <v>7424037</v>
      </c>
      <c r="C50" s="21">
        <v>5121.8999999999996</v>
      </c>
      <c r="D50" s="22">
        <v>1.1000000000000001</v>
      </c>
      <c r="E50" s="22">
        <v>3.8</v>
      </c>
    </row>
    <row r="51" spans="1:7" ht="16.5" customHeight="1" x14ac:dyDescent="0.3">
      <c r="A51" s="23" t="s">
        <v>18</v>
      </c>
      <c r="B51" s="24">
        <f>AVERAGE(B45:B50)</f>
        <v>7443047.166666667</v>
      </c>
      <c r="C51" s="25">
        <f>AVERAGE(C45:C50)</f>
        <v>5139.666666666667</v>
      </c>
      <c r="D51" s="26">
        <f>AVERAGE(D45:D50)</f>
        <v>1.0999999999999999</v>
      </c>
      <c r="E51" s="26">
        <f>AVERAGE(E45:E50)</f>
        <v>3.8000000000000003</v>
      </c>
    </row>
    <row r="52" spans="1:7" ht="16.5" customHeight="1" x14ac:dyDescent="0.3">
      <c r="A52" s="27" t="s">
        <v>19</v>
      </c>
      <c r="B52" s="28">
        <f>(STDEV(B45:B50)/B51)</f>
        <v>3.6844769772950837E-3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124</v>
      </c>
      <c r="C56" s="38"/>
      <c r="D56" s="38"/>
      <c r="E56" s="39"/>
      <c r="F56" s="2"/>
    </row>
    <row r="57" spans="1:7" ht="16.5" customHeight="1" x14ac:dyDescent="0.3">
      <c r="A57" s="11"/>
      <c r="B57" s="40" t="s">
        <v>125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24</v>
      </c>
      <c r="C59" s="282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E2" sqref="E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29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30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31</v>
      </c>
      <c r="B14" s="290"/>
      <c r="C14" s="60" t="s">
        <v>5</v>
      </c>
    </row>
    <row r="15" spans="1:7" ht="16.5" customHeight="1" x14ac:dyDescent="0.3">
      <c r="A15" s="290" t="s">
        <v>32</v>
      </c>
      <c r="B15" s="290"/>
      <c r="C15" s="60" t="s">
        <v>7</v>
      </c>
    </row>
    <row r="16" spans="1:7" ht="16.5" customHeight="1" x14ac:dyDescent="0.3">
      <c r="A16" s="290" t="s">
        <v>33</v>
      </c>
      <c r="B16" s="290"/>
      <c r="C16" s="60" t="s">
        <v>9</v>
      </c>
    </row>
    <row r="17" spans="1:5" ht="16.5" customHeight="1" x14ac:dyDescent="0.3">
      <c r="A17" s="290" t="s">
        <v>34</v>
      </c>
      <c r="B17" s="290"/>
      <c r="C17" s="60" t="s">
        <v>11</v>
      </c>
    </row>
    <row r="18" spans="1:5" ht="16.5" customHeight="1" x14ac:dyDescent="0.3">
      <c r="A18" s="290" t="s">
        <v>35</v>
      </c>
      <c r="B18" s="290"/>
      <c r="C18" s="97">
        <v>42425.724386574075</v>
      </c>
    </row>
    <row r="19" spans="1:5" ht="16.5" customHeight="1" x14ac:dyDescent="0.3">
      <c r="A19" s="290" t="s">
        <v>36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37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321.49</v>
      </c>
      <c r="D24" s="87">
        <f t="shared" ref="D24:D43" si="0">(C24-$C$46)/$C$46</f>
        <v>-3.9872729469571187E-3</v>
      </c>
      <c r="E24" s="53"/>
    </row>
    <row r="25" spans="1:5" ht="15.75" customHeight="1" x14ac:dyDescent="0.3">
      <c r="C25" s="95">
        <v>323.24</v>
      </c>
      <c r="D25" s="88">
        <f t="shared" si="0"/>
        <v>1.4344268643677286E-3</v>
      </c>
      <c r="E25" s="53"/>
    </row>
    <row r="26" spans="1:5" ht="15.75" customHeight="1" x14ac:dyDescent="0.3">
      <c r="C26" s="95">
        <v>321.5</v>
      </c>
      <c r="D26" s="88">
        <f t="shared" si="0"/>
        <v>-3.956291805178147E-3</v>
      </c>
      <c r="E26" s="53"/>
    </row>
    <row r="27" spans="1:5" ht="15.75" customHeight="1" x14ac:dyDescent="0.3">
      <c r="C27" s="95">
        <v>323.14999999999998</v>
      </c>
      <c r="D27" s="88">
        <f t="shared" si="0"/>
        <v>1.1555965883566378E-3</v>
      </c>
      <c r="E27" s="53"/>
    </row>
    <row r="28" spans="1:5" ht="15.75" customHeight="1" x14ac:dyDescent="0.3">
      <c r="C28" s="95">
        <v>319.43</v>
      </c>
      <c r="D28" s="88">
        <f t="shared" si="0"/>
        <v>-1.0369388153430945E-2</v>
      </c>
      <c r="E28" s="53"/>
    </row>
    <row r="29" spans="1:5" ht="15.75" customHeight="1" x14ac:dyDescent="0.3">
      <c r="C29" s="95">
        <v>325.83999999999997</v>
      </c>
      <c r="D29" s="88">
        <f t="shared" si="0"/>
        <v>9.4895237269073951E-3</v>
      </c>
      <c r="E29" s="53"/>
    </row>
    <row r="30" spans="1:5" ht="15.75" customHeight="1" x14ac:dyDescent="0.3">
      <c r="C30" s="95">
        <v>325.37</v>
      </c>
      <c r="D30" s="88">
        <f t="shared" si="0"/>
        <v>8.0334100632945271E-3</v>
      </c>
      <c r="E30" s="53"/>
    </row>
    <row r="31" spans="1:5" ht="15.75" customHeight="1" x14ac:dyDescent="0.3">
      <c r="C31" s="95">
        <v>323.8</v>
      </c>
      <c r="D31" s="88">
        <f t="shared" si="0"/>
        <v>3.1693708039916865E-3</v>
      </c>
      <c r="E31" s="53"/>
    </row>
    <row r="32" spans="1:5" ht="15.75" customHeight="1" x14ac:dyDescent="0.3">
      <c r="C32" s="95">
        <v>327.45</v>
      </c>
      <c r="D32" s="88">
        <f t="shared" si="0"/>
        <v>1.4477487553326297E-2</v>
      </c>
      <c r="E32" s="53"/>
    </row>
    <row r="33" spans="1:7" ht="15.75" customHeight="1" x14ac:dyDescent="0.3">
      <c r="C33" s="95">
        <v>321.56</v>
      </c>
      <c r="D33" s="88">
        <f t="shared" si="0"/>
        <v>-3.7704049545041456E-3</v>
      </c>
      <c r="E33" s="53"/>
    </row>
    <row r="34" spans="1:7" ht="15.75" customHeight="1" x14ac:dyDescent="0.3">
      <c r="C34" s="95">
        <v>318.52999999999997</v>
      </c>
      <c r="D34" s="88">
        <f t="shared" si="0"/>
        <v>-1.3157690913540972E-2</v>
      </c>
      <c r="E34" s="53"/>
    </row>
    <row r="35" spans="1:7" ht="15.75" customHeight="1" x14ac:dyDescent="0.3">
      <c r="C35" s="95">
        <v>319.14</v>
      </c>
      <c r="D35" s="88">
        <f t="shared" si="0"/>
        <v>-1.1267841265021982E-2</v>
      </c>
      <c r="E35" s="53"/>
    </row>
    <row r="36" spans="1:7" ht="15.75" customHeight="1" x14ac:dyDescent="0.3">
      <c r="C36" s="95">
        <v>324.49</v>
      </c>
      <c r="D36" s="88">
        <f t="shared" si="0"/>
        <v>5.3070695867426191E-3</v>
      </c>
      <c r="E36" s="53"/>
    </row>
    <row r="37" spans="1:7" ht="15.75" customHeight="1" x14ac:dyDescent="0.3">
      <c r="C37" s="95">
        <v>324.08999999999997</v>
      </c>
      <c r="D37" s="88">
        <f t="shared" si="0"/>
        <v>4.0678239155825481E-3</v>
      </c>
      <c r="E37" s="53"/>
    </row>
    <row r="38" spans="1:7" ht="15.75" customHeight="1" x14ac:dyDescent="0.3">
      <c r="C38" s="95">
        <v>321.7</v>
      </c>
      <c r="D38" s="88">
        <f t="shared" si="0"/>
        <v>-3.3366689695982E-3</v>
      </c>
      <c r="E38" s="53"/>
    </row>
    <row r="39" spans="1:7" ht="15.75" customHeight="1" x14ac:dyDescent="0.3">
      <c r="C39" s="95">
        <v>324.07</v>
      </c>
      <c r="D39" s="88">
        <f t="shared" si="0"/>
        <v>4.0058616320246066E-3</v>
      </c>
      <c r="E39" s="53"/>
    </row>
    <row r="40" spans="1:7" ht="15.75" customHeight="1" x14ac:dyDescent="0.3">
      <c r="C40" s="95">
        <v>325.49</v>
      </c>
      <c r="D40" s="88">
        <f t="shared" si="0"/>
        <v>8.4051837646425317E-3</v>
      </c>
      <c r="E40" s="53"/>
    </row>
    <row r="41" spans="1:7" ht="15.75" customHeight="1" x14ac:dyDescent="0.3">
      <c r="C41" s="95">
        <v>318.73</v>
      </c>
      <c r="D41" s="88">
        <f t="shared" si="0"/>
        <v>-1.2538068077960849E-2</v>
      </c>
      <c r="E41" s="53"/>
    </row>
    <row r="42" spans="1:7" ht="15.75" customHeight="1" x14ac:dyDescent="0.3">
      <c r="C42" s="95">
        <v>325.58</v>
      </c>
      <c r="D42" s="88">
        <f t="shared" si="0"/>
        <v>8.6840140406534462E-3</v>
      </c>
      <c r="E42" s="53"/>
    </row>
    <row r="43" spans="1:7" ht="16.5" customHeight="1" x14ac:dyDescent="0.3">
      <c r="C43" s="96">
        <v>320.89</v>
      </c>
      <c r="D43" s="89">
        <f t="shared" si="0"/>
        <v>-5.8461414536971363E-3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6455.54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322.77699999999999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3">
        <f>C46</f>
        <v>322.77699999999999</v>
      </c>
      <c r="C49" s="93">
        <f>-IF(C46&lt;=80,10%,IF(C46&lt;250,7.5%,5%))</f>
        <v>-0.05</v>
      </c>
      <c r="D49" s="81">
        <f>IF(C46&lt;=80,C46*0.9,IF(C46&lt;250,C46*0.925,C46*0.95))</f>
        <v>306.63815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338.91584999999998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A34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43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44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98"/>
    </row>
    <row r="16" spans="1:9" ht="19.5" customHeight="1" x14ac:dyDescent="0.3">
      <c r="A16" s="292" t="s">
        <v>29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45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100" t="s">
        <v>31</v>
      </c>
      <c r="B18" s="291" t="s">
        <v>5</v>
      </c>
      <c r="C18" s="291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296" t="s">
        <v>9</v>
      </c>
      <c r="C20" s="296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296" t="s">
        <v>122</v>
      </c>
      <c r="C21" s="296"/>
      <c r="D21" s="296"/>
      <c r="E21" s="296"/>
      <c r="F21" s="296"/>
      <c r="G21" s="296"/>
      <c r="H21" s="296"/>
      <c r="I21" s="104"/>
    </row>
    <row r="22" spans="1:14" ht="26.25" customHeight="1" x14ac:dyDescent="0.4">
      <c r="A22" s="100" t="s">
        <v>35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42430.356122685182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1" t="s">
        <v>128</v>
      </c>
      <c r="C26" s="291"/>
    </row>
    <row r="27" spans="1:14" ht="26.25" customHeight="1" x14ac:dyDescent="0.4">
      <c r="A27" s="109" t="s">
        <v>46</v>
      </c>
      <c r="B27" s="297" t="s">
        <v>123</v>
      </c>
      <c r="C27" s="297"/>
    </row>
    <row r="28" spans="1:14" ht="27" customHeight="1" x14ac:dyDescent="0.4">
      <c r="A28" s="109" t="s">
        <v>6</v>
      </c>
      <c r="B28" s="110">
        <v>98.98</v>
      </c>
    </row>
    <row r="29" spans="1:14" s="14" customFormat="1" ht="27" customHeight="1" x14ac:dyDescent="0.4">
      <c r="A29" s="109" t="s">
        <v>47</v>
      </c>
      <c r="B29" s="111">
        <v>0</v>
      </c>
      <c r="C29" s="298" t="s">
        <v>48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v>98.98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1" t="s">
        <v>51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1" t="s">
        <v>53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04" t="s">
        <v>57</v>
      </c>
      <c r="E36" s="305"/>
      <c r="F36" s="304" t="s">
        <v>58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1</v>
      </c>
      <c r="C38" s="131">
        <v>1</v>
      </c>
      <c r="D38" s="132">
        <v>7416605</v>
      </c>
      <c r="E38" s="133">
        <f>IF(ISBLANK(D38),"-",$D$48/$D$45*D38)</f>
        <v>759172.63893128349</v>
      </c>
      <c r="F38" s="132">
        <v>7549113</v>
      </c>
      <c r="G38" s="134">
        <f>IF(ISBLANK(F38),"-",$D$48/$F$45*F38)</f>
        <v>759274.01254870358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7410128</v>
      </c>
      <c r="E39" s="138">
        <f>IF(ISBLANK(D39),"-",$D$48/$D$45*D39)</f>
        <v>758509.64539416542</v>
      </c>
      <c r="F39" s="137">
        <v>7568933</v>
      </c>
      <c r="G39" s="139">
        <f>IF(ISBLANK(F39),"-",$D$48/$F$45*F39)</f>
        <v>761267.46673712484</v>
      </c>
      <c r="I39" s="308">
        <f>ABS((F43/D43*D42)-F42)/D42</f>
        <v>3.2360887251888732E-3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7421239</v>
      </c>
      <c r="E40" s="138">
        <f>IF(ISBLANK(D40),"-",$D$48/$D$45*D40)</f>
        <v>759646.98076407728</v>
      </c>
      <c r="F40" s="137">
        <v>7596390</v>
      </c>
      <c r="G40" s="139">
        <f>IF(ISBLANK(F40),"-",$D$48/$F$45*F40)</f>
        <v>764029.03442892514</v>
      </c>
      <c r="I40" s="308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7415990.666666667</v>
      </c>
      <c r="E42" s="148">
        <f>AVERAGE(E38:E41)</f>
        <v>759109.75502984191</v>
      </c>
      <c r="F42" s="147">
        <f>AVERAGE(F38:F41)</f>
        <v>7571478.666666667</v>
      </c>
      <c r="G42" s="149">
        <f>AVERAGE(G38:G41)</f>
        <v>761523.50457158452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19.739999999999998</v>
      </c>
      <c r="E43" s="140"/>
      <c r="F43" s="152">
        <v>20.09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19.739999999999998</v>
      </c>
      <c r="E44" s="155"/>
      <c r="F44" s="154">
        <f>F43*$B$34</f>
        <v>20.09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19.538651999999999</v>
      </c>
      <c r="E45" s="158"/>
      <c r="F45" s="157">
        <f>F44*$B$30/100</f>
        <v>19.885082000000001</v>
      </c>
      <c r="H45" s="150"/>
    </row>
    <row r="46" spans="1:14" ht="19.5" customHeight="1" x14ac:dyDescent="0.3">
      <c r="A46" s="309" t="s">
        <v>76</v>
      </c>
      <c r="B46" s="310"/>
      <c r="C46" s="153" t="s">
        <v>77</v>
      </c>
      <c r="D46" s="159">
        <f>D45/$B$45</f>
        <v>0.19538651999999998</v>
      </c>
      <c r="E46" s="160"/>
      <c r="F46" s="161">
        <f>F45/$B$45</f>
        <v>0.19885082000000001</v>
      </c>
      <c r="H46" s="150"/>
    </row>
    <row r="47" spans="1:14" ht="27" customHeight="1" x14ac:dyDescent="0.4">
      <c r="A47" s="311"/>
      <c r="B47" s="312"/>
      <c r="C47" s="162" t="s">
        <v>78</v>
      </c>
      <c r="D47" s="163">
        <v>0.02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760316.62980071327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2.6822819853194006E-3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film coated tablets contains: Fluconazole 200mg</v>
      </c>
    </row>
    <row r="56" spans="1:12" ht="26.25" customHeight="1" x14ac:dyDescent="0.4">
      <c r="A56" s="177" t="s">
        <v>85</v>
      </c>
      <c r="B56" s="178">
        <v>200</v>
      </c>
      <c r="C56" s="99" t="str">
        <f>B20</f>
        <v>Fluconazole</v>
      </c>
      <c r="H56" s="179"/>
    </row>
    <row r="57" spans="1:12" ht="18.75" x14ac:dyDescent="0.3">
      <c r="A57" s="176" t="s">
        <v>86</v>
      </c>
      <c r="B57" s="268">
        <f>Uniformity!C46</f>
        <v>322.77699999999999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5</v>
      </c>
      <c r="C60" s="313" t="s">
        <v>92</v>
      </c>
      <c r="D60" s="316">
        <v>319.95999999999998</v>
      </c>
      <c r="E60" s="182">
        <v>1</v>
      </c>
      <c r="F60" s="183">
        <v>7490165</v>
      </c>
      <c r="G60" s="269">
        <f>IF(ISBLANK(F60),"-",(F60/$D$50*$D$47*$B$68)*($B$57/$D$60))</f>
        <v>198.76219474204837</v>
      </c>
      <c r="H60" s="184">
        <f t="shared" ref="H60:H71" si="0">IF(ISBLANK(F60),"-",G60/$B$56)</f>
        <v>0.99381097371024185</v>
      </c>
      <c r="L60" s="112"/>
    </row>
    <row r="61" spans="1:12" s="14" customFormat="1" ht="26.25" customHeight="1" x14ac:dyDescent="0.4">
      <c r="A61" s="124" t="s">
        <v>93</v>
      </c>
      <c r="B61" s="125">
        <v>50</v>
      </c>
      <c r="C61" s="314"/>
      <c r="D61" s="317"/>
      <c r="E61" s="185">
        <v>2</v>
      </c>
      <c r="F61" s="137">
        <v>7511171</v>
      </c>
      <c r="G61" s="270">
        <f>IF(ISBLANK(F61),"-",(F61/$D$50*$D$47*$B$68)*($B$57/$D$60))</f>
        <v>199.31961886591631</v>
      </c>
      <c r="H61" s="186">
        <f t="shared" si="0"/>
        <v>0.99659809432958157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14"/>
      <c r="D62" s="317"/>
      <c r="E62" s="185">
        <v>3</v>
      </c>
      <c r="F62" s="187">
        <v>7524761</v>
      </c>
      <c r="G62" s="270">
        <f>IF(ISBLANK(F62),"-",(F62/$D$50*$D$47*$B$68)*($B$57/$D$60))</f>
        <v>199.68024886893286</v>
      </c>
      <c r="H62" s="186">
        <f t="shared" si="0"/>
        <v>0.99840124434466437</v>
      </c>
      <c r="L62" s="112"/>
    </row>
    <row r="63" spans="1:12" ht="27" customHeight="1" x14ac:dyDescent="0.4">
      <c r="A63" s="124" t="s">
        <v>95</v>
      </c>
      <c r="B63" s="125">
        <v>1</v>
      </c>
      <c r="C63" s="315"/>
      <c r="D63" s="318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3" t="s">
        <v>97</v>
      </c>
      <c r="D64" s="316">
        <v>322.63</v>
      </c>
      <c r="E64" s="182">
        <v>1</v>
      </c>
      <c r="F64" s="183">
        <v>7593626</v>
      </c>
      <c r="G64" s="271">
        <f>IF(ISBLANK(F64),"-",(F64/$D$50*$D$47*$B$68)*($B$57/$D$64))</f>
        <v>199.84005579351629</v>
      </c>
      <c r="H64" s="190">
        <f t="shared" si="0"/>
        <v>0.99920027896758146</v>
      </c>
    </row>
    <row r="65" spans="1:8" ht="26.25" customHeight="1" x14ac:dyDescent="0.4">
      <c r="A65" s="124" t="s">
        <v>98</v>
      </c>
      <c r="B65" s="125">
        <v>1</v>
      </c>
      <c r="C65" s="314"/>
      <c r="D65" s="317"/>
      <c r="E65" s="185">
        <v>2</v>
      </c>
      <c r="F65" s="137">
        <v>7631231</v>
      </c>
      <c r="G65" s="272">
        <f>IF(ISBLANK(F65),"-",(F65/$D$50*$D$47*$B$68)*($B$57/$D$64))</f>
        <v>200.82969964720562</v>
      </c>
      <c r="H65" s="191">
        <f t="shared" si="0"/>
        <v>1.004148498236028</v>
      </c>
    </row>
    <row r="66" spans="1:8" ht="26.25" customHeight="1" x14ac:dyDescent="0.4">
      <c r="A66" s="124" t="s">
        <v>99</v>
      </c>
      <c r="B66" s="125">
        <v>1</v>
      </c>
      <c r="C66" s="314"/>
      <c r="D66" s="317"/>
      <c r="E66" s="185">
        <v>3</v>
      </c>
      <c r="F66" s="137">
        <v>7621946</v>
      </c>
      <c r="G66" s="272">
        <f>IF(ISBLANK(F66),"-",(F66/$D$50*$D$47*$B$68)*($B$57/$D$64))</f>
        <v>200.58534801360622</v>
      </c>
      <c r="H66" s="191">
        <f t="shared" si="0"/>
        <v>1.0029267400680311</v>
      </c>
    </row>
    <row r="67" spans="1:8" ht="27" customHeight="1" x14ac:dyDescent="0.4">
      <c r="A67" s="124" t="s">
        <v>100</v>
      </c>
      <c r="B67" s="125">
        <v>1</v>
      </c>
      <c r="C67" s="315"/>
      <c r="D67" s="318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1000</v>
      </c>
      <c r="C68" s="313" t="s">
        <v>102</v>
      </c>
      <c r="D68" s="316">
        <v>322.95</v>
      </c>
      <c r="E68" s="182">
        <v>1</v>
      </c>
      <c r="F68" s="183">
        <v>7580207</v>
      </c>
      <c r="G68" s="271">
        <f>IF(ISBLANK(F68),"-",(F68/$D$50*$D$47*$B$68)*($B$57/$D$68))</f>
        <v>199.28924575479977</v>
      </c>
      <c r="H68" s="186">
        <f t="shared" si="0"/>
        <v>0.9964462287739988</v>
      </c>
    </row>
    <row r="69" spans="1:8" ht="27" customHeight="1" x14ac:dyDescent="0.4">
      <c r="A69" s="172" t="s">
        <v>103</v>
      </c>
      <c r="B69" s="194">
        <f>(D47*B68)/B56*B57</f>
        <v>32.277700000000003</v>
      </c>
      <c r="C69" s="314"/>
      <c r="D69" s="317"/>
      <c r="E69" s="185">
        <v>2</v>
      </c>
      <c r="F69" s="137">
        <v>7604230</v>
      </c>
      <c r="G69" s="272">
        <f>IF(ISBLANK(F69),"-",(F69/$D$50*$D$47*$B$68)*($B$57/$D$68))</f>
        <v>199.92082818398245</v>
      </c>
      <c r="H69" s="186">
        <f t="shared" si="0"/>
        <v>0.99960414091991223</v>
      </c>
    </row>
    <row r="70" spans="1:8" ht="26.25" customHeight="1" x14ac:dyDescent="0.4">
      <c r="A70" s="326" t="s">
        <v>76</v>
      </c>
      <c r="B70" s="327"/>
      <c r="C70" s="314"/>
      <c r="D70" s="317"/>
      <c r="E70" s="185">
        <v>3</v>
      </c>
      <c r="F70" s="137">
        <v>7609330</v>
      </c>
      <c r="G70" s="272">
        <f>IF(ISBLANK(F70),"-",(F70/$D$50*$D$47*$B$68)*($B$57/$D$68))</f>
        <v>200.05491095419561</v>
      </c>
      <c r="H70" s="186">
        <f t="shared" si="0"/>
        <v>1.0002745547709779</v>
      </c>
    </row>
    <row r="71" spans="1:8" ht="27" customHeight="1" x14ac:dyDescent="0.4">
      <c r="A71" s="328"/>
      <c r="B71" s="329"/>
      <c r="C71" s="325"/>
      <c r="D71" s="318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199.80912786935593</v>
      </c>
      <c r="H72" s="199">
        <f>AVERAGE(H60:H71)</f>
        <v>0.99904563934677981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3.2340414743823216E-3</v>
      </c>
      <c r="H73" s="274">
        <f>STDEV(H60:H71)/H72</f>
        <v>3.2340414743822947E-3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321" t="str">
        <f>B20</f>
        <v>Fluconazole</v>
      </c>
      <c r="D76" s="321"/>
      <c r="E76" s="205" t="s">
        <v>106</v>
      </c>
      <c r="F76" s="205"/>
      <c r="G76" s="206">
        <f>H72</f>
        <v>0.99904563934677981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7" t="str">
        <f>B26</f>
        <v>Fluconazole USP</v>
      </c>
      <c r="C79" s="307"/>
    </row>
    <row r="80" spans="1:8" ht="26.25" customHeight="1" x14ac:dyDescent="0.4">
      <c r="A80" s="109" t="s">
        <v>46</v>
      </c>
      <c r="B80" s="307" t="str">
        <f>B27</f>
        <v>F1-1</v>
      </c>
      <c r="C80" s="307"/>
    </row>
    <row r="81" spans="1:12" ht="27" customHeight="1" x14ac:dyDescent="0.4">
      <c r="A81" s="109" t="s">
        <v>6</v>
      </c>
      <c r="B81" s="208">
        <f>B28</f>
        <v>98.98</v>
      </c>
    </row>
    <row r="82" spans="1:12" s="14" customFormat="1" ht="27" customHeight="1" x14ac:dyDescent="0.4">
      <c r="A82" s="109" t="s">
        <v>47</v>
      </c>
      <c r="B82" s="111">
        <v>0</v>
      </c>
      <c r="C82" s="298" t="s">
        <v>48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98.98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1" t="s">
        <v>109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1" t="s">
        <v>110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09" t="s">
        <v>57</v>
      </c>
      <c r="E89" s="210"/>
      <c r="F89" s="304" t="s">
        <v>58</v>
      </c>
      <c r="G89" s="306"/>
    </row>
    <row r="90" spans="1:12" ht="27" customHeight="1" x14ac:dyDescent="0.4">
      <c r="A90" s="124" t="s">
        <v>59</v>
      </c>
      <c r="B90" s="125">
        <v>1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</v>
      </c>
      <c r="C91" s="213">
        <v>1</v>
      </c>
      <c r="D91" s="132">
        <v>7416605</v>
      </c>
      <c r="E91" s="133">
        <f>IF(ISBLANK(D91),"-",$D$101/$D$98*D91)</f>
        <v>8435251.5436809268</v>
      </c>
      <c r="F91" s="132">
        <v>7549113</v>
      </c>
      <c r="G91" s="134">
        <f>IF(ISBLANK(F91),"-",$D$101/$F$98*F91)</f>
        <v>8436377.9172078166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137">
        <v>7410128</v>
      </c>
      <c r="E92" s="138">
        <f>IF(ISBLANK(D92),"-",$D$101/$D$98*D92)</f>
        <v>8427884.9488240592</v>
      </c>
      <c r="F92" s="137">
        <v>7568933</v>
      </c>
      <c r="G92" s="139">
        <f>IF(ISBLANK(F92),"-",$D$101/$F$98*F92)</f>
        <v>8458527.4081902746</v>
      </c>
      <c r="I92" s="308">
        <f>ABS((F96/D96*D95)-F95)/D95</f>
        <v>3.2360887251888732E-3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137">
        <v>7421239</v>
      </c>
      <c r="E93" s="138">
        <f>IF(ISBLANK(D93),"-",$D$101/$D$98*D93)</f>
        <v>8440522.0084897466</v>
      </c>
      <c r="F93" s="137">
        <v>7596390</v>
      </c>
      <c r="G93" s="139">
        <f>IF(ISBLANK(F93),"-",$D$101/$F$98*F93)</f>
        <v>8489211.4936547242</v>
      </c>
      <c r="I93" s="308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7415990.666666667</v>
      </c>
      <c r="E95" s="148">
        <f>AVERAGE(E91:E94)</f>
        <v>8434552.8336649109</v>
      </c>
      <c r="F95" s="218">
        <f>AVERAGE(F91:F94)</f>
        <v>7571478.666666667</v>
      </c>
      <c r="G95" s="219">
        <f>AVERAGE(G91:G94)</f>
        <v>8461372.2730176058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19.739999999999998</v>
      </c>
      <c r="E96" s="140"/>
      <c r="F96" s="152">
        <v>20.09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19.739999999999998</v>
      </c>
      <c r="E97" s="155"/>
      <c r="F97" s="154">
        <f>F96*$B$87</f>
        <v>20.09</v>
      </c>
    </row>
    <row r="98" spans="1:10" ht="19.5" customHeight="1" x14ac:dyDescent="0.3">
      <c r="A98" s="124" t="s">
        <v>74</v>
      </c>
      <c r="B98" s="224">
        <f>(B97/B96)*(B95/B94)*(B93/B92)*(B91/B90)*B89</f>
        <v>100</v>
      </c>
      <c r="C98" s="222" t="s">
        <v>113</v>
      </c>
      <c r="D98" s="225">
        <f>D97*$B$83/100</f>
        <v>19.538651999999999</v>
      </c>
      <c r="E98" s="158"/>
      <c r="F98" s="157">
        <f>F97*$B$83/100</f>
        <v>19.885082000000001</v>
      </c>
    </row>
    <row r="99" spans="1:10" ht="19.5" customHeight="1" x14ac:dyDescent="0.3">
      <c r="A99" s="309" t="s">
        <v>76</v>
      </c>
      <c r="B99" s="323"/>
      <c r="C99" s="222" t="s">
        <v>114</v>
      </c>
      <c r="D99" s="226">
        <f>D98/$B$98</f>
        <v>0.19538651999999998</v>
      </c>
      <c r="E99" s="158"/>
      <c r="F99" s="161">
        <f>F98/$B$98</f>
        <v>0.19885082000000001</v>
      </c>
      <c r="G99" s="227"/>
      <c r="H99" s="150"/>
    </row>
    <row r="100" spans="1:10" ht="19.5" customHeight="1" x14ac:dyDescent="0.3">
      <c r="A100" s="311"/>
      <c r="B100" s="324"/>
      <c r="C100" s="222" t="s">
        <v>78</v>
      </c>
      <c r="D100" s="228">
        <f>$B$56/$B$116</f>
        <v>0.22222222222222221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8447962.5533412565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2.6822819853194587E-3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39" t="s">
        <v>127</v>
      </c>
      <c r="D107" s="240" t="s">
        <v>61</v>
      </c>
      <c r="E107" s="241" t="s">
        <v>117</v>
      </c>
      <c r="F107" s="242" t="s">
        <v>118</v>
      </c>
    </row>
    <row r="108" spans="1:10" ht="26.25" customHeight="1" x14ac:dyDescent="0.4">
      <c r="A108" s="124" t="s">
        <v>119</v>
      </c>
      <c r="B108" s="125">
        <v>1</v>
      </c>
      <c r="C108" s="243">
        <v>1</v>
      </c>
      <c r="D108" s="244">
        <v>7475641</v>
      </c>
      <c r="E108" s="275">
        <f t="shared" ref="E108:E113" si="1">IF(ISBLANK(D108),"-",D108/$D$103*$D$100*$B$116)</f>
        <v>176.98092179737009</v>
      </c>
      <c r="F108" s="245">
        <f t="shared" ref="F108:F113" si="2">IF(ISBLANK(D108), "-", E108/$B$56)</f>
        <v>0.88490460898685042</v>
      </c>
    </row>
    <row r="109" spans="1:10" ht="26.25" customHeight="1" x14ac:dyDescent="0.4">
      <c r="A109" s="124" t="s">
        <v>93</v>
      </c>
      <c r="B109" s="125">
        <v>1</v>
      </c>
      <c r="C109" s="243">
        <v>2</v>
      </c>
      <c r="D109" s="244">
        <v>7888455</v>
      </c>
      <c r="E109" s="276">
        <f t="shared" si="1"/>
        <v>186.75402382980576</v>
      </c>
      <c r="F109" s="246">
        <f t="shared" si="2"/>
        <v>0.93377011914902885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7645976</v>
      </c>
      <c r="E110" s="276">
        <f t="shared" si="1"/>
        <v>181.01349175549876</v>
      </c>
      <c r="F110" s="246">
        <f t="shared" si="2"/>
        <v>0.90506745877749384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7908887</v>
      </c>
      <c r="E111" s="276">
        <f t="shared" si="1"/>
        <v>187.23773809513284</v>
      </c>
      <c r="F111" s="246">
        <f t="shared" si="2"/>
        <v>0.93618869047566422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8201156</v>
      </c>
      <c r="E112" s="276">
        <f t="shared" si="1"/>
        <v>194.15701592465885</v>
      </c>
      <c r="F112" s="246">
        <f t="shared" si="2"/>
        <v>0.9707850796232943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8277154</v>
      </c>
      <c r="E113" s="277">
        <f t="shared" si="1"/>
        <v>195.95621897557535</v>
      </c>
      <c r="F113" s="249">
        <f t="shared" si="2"/>
        <v>0.97978109487787679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187.01656839634029</v>
      </c>
      <c r="F115" s="252">
        <f>AVERAGE(F108:F113)</f>
        <v>0.93508284198170155</v>
      </c>
    </row>
    <row r="116" spans="1:10" ht="27" customHeight="1" x14ac:dyDescent="0.4">
      <c r="A116" s="124" t="s">
        <v>101</v>
      </c>
      <c r="B116" s="156">
        <f>(B115/B114)*(B113/B112)*(B111/B110)*(B109/B108)*B107</f>
        <v>900</v>
      </c>
      <c r="C116" s="253"/>
      <c r="D116" s="216" t="s">
        <v>82</v>
      </c>
      <c r="E116" s="254">
        <f>STDEV(E108:E113)/E115</f>
        <v>3.9130712478185017E-2</v>
      </c>
      <c r="F116" s="254">
        <f>STDEV(F108:F113)/F115</f>
        <v>3.9130712478185031E-2</v>
      </c>
      <c r="I116" s="98"/>
    </row>
    <row r="117" spans="1:10" ht="27" customHeight="1" x14ac:dyDescent="0.4">
      <c r="A117" s="309" t="s">
        <v>76</v>
      </c>
      <c r="B117" s="310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1"/>
      <c r="B118" s="31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120</v>
      </c>
      <c r="C120" s="321" t="str">
        <f>B20</f>
        <v>Fluconazole</v>
      </c>
      <c r="D120" s="321"/>
      <c r="E120" s="205" t="s">
        <v>121</v>
      </c>
      <c r="F120" s="205"/>
      <c r="G120" s="206">
        <f>F115</f>
        <v>0.93508284198170155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2" t="s">
        <v>24</v>
      </c>
      <c r="C122" s="322"/>
      <c r="E122" s="211" t="s">
        <v>25</v>
      </c>
      <c r="F122" s="260"/>
      <c r="G122" s="322" t="s">
        <v>26</v>
      </c>
      <c r="H122" s="322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Fluconazole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2016-03-01T11:03:16Z</cp:lastPrinted>
  <dcterms:created xsi:type="dcterms:W3CDTF">2005-07-05T10:19:27Z</dcterms:created>
  <dcterms:modified xsi:type="dcterms:W3CDTF">2016-03-09T06:06:11Z</dcterms:modified>
</cp:coreProperties>
</file>