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Lopinavir" sheetId="5" r:id="rId3"/>
    <sheet name="Ritonavir" sheetId="6" r:id="rId4"/>
    <sheet name="SST (2)" sheetId="7" r:id="rId5"/>
  </sheets>
  <definedNames>
    <definedName name="_xlnm.Print_Area" localSheetId="2">Lopinavir!$A$1:$H$172</definedName>
    <definedName name="_xlnm.Print_Area" localSheetId="3">Ritonavir!$A$1:$H$174</definedName>
    <definedName name="_xlnm.Print_Area" localSheetId="0">SST!$A$14:$G$63</definedName>
    <definedName name="_xlnm.Print_Area" localSheetId="1">Uniformity!$A$10:$F$54</definedName>
  </definedNames>
  <calcPr calcId="145621"/>
</workbook>
</file>

<file path=xl/calcChain.xml><?xml version="1.0" encoding="utf-8"?>
<calcChain xmlns="http://schemas.openxmlformats.org/spreadsheetml/2006/main">
  <c r="F52" i="7" l="1"/>
  <c r="F52" i="1"/>
  <c r="B54" i="7" l="1"/>
  <c r="E52" i="7"/>
  <c r="D52" i="7"/>
  <c r="C52" i="7"/>
  <c r="B52" i="7"/>
  <c r="B53" i="7" s="1"/>
  <c r="B43" i="7"/>
  <c r="B32" i="7"/>
  <c r="E30" i="7"/>
  <c r="D30" i="7"/>
  <c r="C30" i="7"/>
  <c r="B30" i="7"/>
  <c r="B31" i="7" s="1"/>
  <c r="B21" i="7"/>
  <c r="B57" i="6"/>
  <c r="B57" i="5"/>
  <c r="C168" i="6"/>
  <c r="B159" i="6"/>
  <c r="D143" i="6" s="1"/>
  <c r="D144" i="6" s="1"/>
  <c r="B141" i="6"/>
  <c r="F138" i="6"/>
  <c r="D138" i="6"/>
  <c r="G137" i="6"/>
  <c r="E137" i="6"/>
  <c r="B130" i="6"/>
  <c r="F140" i="6" s="1"/>
  <c r="F141" i="6" s="1"/>
  <c r="F142" i="6" s="1"/>
  <c r="B126" i="6"/>
  <c r="B116" i="6"/>
  <c r="D100" i="6" s="1"/>
  <c r="D101" i="6" s="1"/>
  <c r="B98" i="6"/>
  <c r="F95" i="6"/>
  <c r="D95" i="6"/>
  <c r="G94" i="6"/>
  <c r="E94" i="6"/>
  <c r="B87" i="6"/>
  <c r="D97" i="6" s="1"/>
  <c r="D98" i="6" s="1"/>
  <c r="D99" i="6" s="1"/>
  <c r="B83" i="6"/>
  <c r="B82" i="6"/>
  <c r="B81" i="6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D42" i="6"/>
  <c r="G41" i="6"/>
  <c r="E41" i="6"/>
  <c r="B34" i="6"/>
  <c r="D44" i="6" s="1"/>
  <c r="D45" i="6" s="1"/>
  <c r="D46" i="6" s="1"/>
  <c r="B30" i="6"/>
  <c r="C168" i="5"/>
  <c r="B159" i="5"/>
  <c r="D143" i="5" s="1"/>
  <c r="D144" i="5" s="1"/>
  <c r="B141" i="5"/>
  <c r="F138" i="5"/>
  <c r="D138" i="5"/>
  <c r="G137" i="5"/>
  <c r="E137" i="5"/>
  <c r="B130" i="5"/>
  <c r="D140" i="5" s="1"/>
  <c r="D141" i="5" s="1"/>
  <c r="D142" i="5" s="1"/>
  <c r="B126" i="5"/>
  <c r="B116" i="5"/>
  <c r="D100" i="5" s="1"/>
  <c r="D101" i="5" s="1"/>
  <c r="B98" i="5"/>
  <c r="F97" i="5"/>
  <c r="F98" i="5" s="1"/>
  <c r="F99" i="5" s="1"/>
  <c r="F95" i="5"/>
  <c r="D95" i="5"/>
  <c r="G94" i="5"/>
  <c r="E94" i="5"/>
  <c r="B87" i="5"/>
  <c r="D97" i="5" s="1"/>
  <c r="D98" i="5" s="1"/>
  <c r="D99" i="5" s="1"/>
  <c r="B82" i="5"/>
  <c r="B83" i="5" s="1"/>
  <c r="B81" i="5"/>
  <c r="B80" i="5"/>
  <c r="B79" i="5"/>
  <c r="C76" i="5"/>
  <c r="H71" i="5"/>
  <c r="G71" i="5"/>
  <c r="B68" i="5"/>
  <c r="H67" i="5"/>
  <c r="G67" i="5"/>
  <c r="H63" i="5"/>
  <c r="G63" i="5"/>
  <c r="C56" i="5"/>
  <c r="B55" i="5"/>
  <c r="B45" i="5"/>
  <c r="D48" i="5" s="1"/>
  <c r="F44" i="5"/>
  <c r="F45" i="5" s="1"/>
  <c r="F46" i="5" s="1"/>
  <c r="F42" i="5"/>
  <c r="D42" i="5"/>
  <c r="G41" i="5"/>
  <c r="E41" i="5"/>
  <c r="B34" i="5"/>
  <c r="D44" i="5" s="1"/>
  <c r="D45" i="5" s="1"/>
  <c r="D46" i="5" s="1"/>
  <c r="B30" i="5"/>
  <c r="B69" i="5" l="1"/>
  <c r="G39" i="5"/>
  <c r="E39" i="5"/>
  <c r="G40" i="5"/>
  <c r="D49" i="5"/>
  <c r="E40" i="5"/>
  <c r="E38" i="5"/>
  <c r="G38" i="5"/>
  <c r="D49" i="6"/>
  <c r="E40" i="6"/>
  <c r="E38" i="6"/>
  <c r="E39" i="6"/>
  <c r="E136" i="5"/>
  <c r="E134" i="5"/>
  <c r="G135" i="5"/>
  <c r="E135" i="5"/>
  <c r="D145" i="5"/>
  <c r="G136" i="5"/>
  <c r="G134" i="5"/>
  <c r="G92" i="5"/>
  <c r="E92" i="5"/>
  <c r="D102" i="5"/>
  <c r="G93" i="5"/>
  <c r="G91" i="5"/>
  <c r="E93" i="5"/>
  <c r="E91" i="5"/>
  <c r="E93" i="6"/>
  <c r="E91" i="6"/>
  <c r="E92" i="6"/>
  <c r="D102" i="6"/>
  <c r="D145" i="6"/>
  <c r="G136" i="6"/>
  <c r="G134" i="6"/>
  <c r="E134" i="6"/>
  <c r="G135" i="6"/>
  <c r="F140" i="5"/>
  <c r="F141" i="5" s="1"/>
  <c r="F142" i="5" s="1"/>
  <c r="F44" i="6"/>
  <c r="F45" i="6" s="1"/>
  <c r="F46" i="6" s="1"/>
  <c r="F97" i="6"/>
  <c r="F98" i="6" s="1"/>
  <c r="F99" i="6" s="1"/>
  <c r="D140" i="6"/>
  <c r="D141" i="6" s="1"/>
  <c r="D142" i="6" s="1"/>
  <c r="B43" i="1"/>
  <c r="B21" i="1"/>
  <c r="D50" i="2"/>
  <c r="B49" i="2"/>
  <c r="C46" i="2"/>
  <c r="C50" i="2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4" i="1"/>
  <c r="E52" i="1"/>
  <c r="D52" i="1"/>
  <c r="C52" i="1"/>
  <c r="B52" i="1"/>
  <c r="B53" i="1" s="1"/>
  <c r="B32" i="1"/>
  <c r="E30" i="1"/>
  <c r="D30" i="1"/>
  <c r="C30" i="1"/>
  <c r="B30" i="1"/>
  <c r="B31" i="1" s="1"/>
  <c r="G138" i="5" l="1"/>
  <c r="D103" i="5"/>
  <c r="E95" i="5"/>
  <c r="D105" i="5"/>
  <c r="E136" i="6"/>
  <c r="G91" i="6"/>
  <c r="G92" i="6"/>
  <c r="G39" i="6"/>
  <c r="G42" i="5"/>
  <c r="D148" i="5"/>
  <c r="D146" i="5"/>
  <c r="E138" i="5"/>
  <c r="E135" i="6"/>
  <c r="D148" i="6" s="1"/>
  <c r="G138" i="6"/>
  <c r="G93" i="6"/>
  <c r="E95" i="6"/>
  <c r="G95" i="5"/>
  <c r="G38" i="6"/>
  <c r="E42" i="6"/>
  <c r="D52" i="5"/>
  <c r="E42" i="5"/>
  <c r="D50" i="5"/>
  <c r="G40" i="6"/>
  <c r="D52" i="6" s="1"/>
  <c r="C49" i="2"/>
  <c r="D24" i="2"/>
  <c r="D28" i="2"/>
  <c r="D32" i="2"/>
  <c r="D36" i="2"/>
  <c r="D40" i="2"/>
  <c r="D49" i="2"/>
  <c r="E138" i="6" l="1"/>
  <c r="G95" i="6"/>
  <c r="D50" i="6"/>
  <c r="D103" i="6"/>
  <c r="D146" i="6"/>
  <c r="E156" i="5"/>
  <c r="F156" i="5" s="1"/>
  <c r="E154" i="5"/>
  <c r="F154" i="5" s="1"/>
  <c r="E152" i="5"/>
  <c r="F152" i="5" s="1"/>
  <c r="D147" i="5"/>
  <c r="E155" i="5"/>
  <c r="F155" i="5" s="1"/>
  <c r="E153" i="5"/>
  <c r="F153" i="5" s="1"/>
  <c r="E151" i="5"/>
  <c r="F151" i="5" s="1"/>
  <c r="G69" i="5"/>
  <c r="H69" i="5" s="1"/>
  <c r="G66" i="5"/>
  <c r="H66" i="5" s="1"/>
  <c r="G64" i="5"/>
  <c r="H64" i="5" s="1"/>
  <c r="G62" i="5"/>
  <c r="H62" i="5" s="1"/>
  <c r="G60" i="5"/>
  <c r="H60" i="5" s="1"/>
  <c r="D51" i="5"/>
  <c r="G70" i="5"/>
  <c r="H70" i="5" s="1"/>
  <c r="G65" i="5"/>
  <c r="H65" i="5" s="1"/>
  <c r="G61" i="5"/>
  <c r="H61" i="5" s="1"/>
  <c r="G68" i="5"/>
  <c r="H68" i="5" s="1"/>
  <c r="G42" i="6"/>
  <c r="D105" i="6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F108" i="5" s="1"/>
  <c r="H74" i="5" l="1"/>
  <c r="H72" i="5"/>
  <c r="E155" i="6"/>
  <c r="F155" i="6" s="1"/>
  <c r="E153" i="6"/>
  <c r="F153" i="6" s="1"/>
  <c r="E151" i="6"/>
  <c r="F151" i="6" s="1"/>
  <c r="E156" i="6"/>
  <c r="F156" i="6" s="1"/>
  <c r="E154" i="6"/>
  <c r="F154" i="6" s="1"/>
  <c r="E152" i="6"/>
  <c r="F152" i="6" s="1"/>
  <c r="D147" i="6"/>
  <c r="F160" i="5"/>
  <c r="F158" i="5"/>
  <c r="F159" i="5" s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F108" i="6" s="1"/>
  <c r="B167" i="5"/>
  <c r="F115" i="5"/>
  <c r="F116" i="5" s="1"/>
  <c r="B165" i="5"/>
  <c r="F117" i="5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D51" i="6"/>
  <c r="G70" i="6"/>
  <c r="H70" i="6" s="1"/>
  <c r="G65" i="6"/>
  <c r="H65" i="6" s="1"/>
  <c r="G61" i="6"/>
  <c r="H61" i="6" s="1"/>
  <c r="B166" i="5" l="1"/>
  <c r="G168" i="5"/>
  <c r="F158" i="6"/>
  <c r="F159" i="6" s="1"/>
  <c r="F160" i="6"/>
  <c r="H74" i="6"/>
  <c r="H72" i="6"/>
  <c r="H73" i="5"/>
  <c r="G76" i="5"/>
  <c r="B165" i="6"/>
  <c r="F117" i="6"/>
  <c r="B167" i="6"/>
  <c r="F115" i="6"/>
  <c r="F116" i="6" s="1"/>
  <c r="H73" i="6" l="1"/>
  <c r="G76" i="6"/>
  <c r="G168" i="6"/>
  <c r="B166" i="6"/>
</calcChain>
</file>

<file path=xl/sharedStrings.xml><?xml version="1.0" encoding="utf-8"?>
<sst xmlns="http://schemas.openxmlformats.org/spreadsheetml/2006/main" count="579" uniqueCount="139">
  <si>
    <t>HPLC System Suitability Report</t>
  </si>
  <si>
    <t>Analysis Data</t>
  </si>
  <si>
    <t>Sample(s)</t>
  </si>
  <si>
    <t>Reference Substance:</t>
  </si>
  <si>
    <t>ALUVIA TABLETS</t>
  </si>
  <si>
    <t>% age Purity:</t>
  </si>
  <si>
    <t>NDQB201603802</t>
  </si>
  <si>
    <t>Weight (mg):</t>
  </si>
  <si>
    <t>Lopinavir 200mg &amp; Ritonavir 50mg</t>
  </si>
  <si>
    <t>Standard Conc (mg/mL):</t>
  </si>
  <si>
    <t>Each film-coated tablet contains Lopinavir 200 mg, Ritonavir 50 mg</t>
  </si>
  <si>
    <t>2016-03-15 12:20:57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</si>
  <si>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</si>
  <si>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</si>
  <si>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</si>
  <si>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</si>
  <si>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</si>
  <si>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</si>
  <si>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</si>
  <si>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</si>
  <si>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</si>
  <si>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</si>
  <si>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</si>
  <si>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</si>
  <si>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</si>
  <si>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</si>
  <si>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</si>
  <si>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</si>
  <si>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</si>
  <si>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</si>
  <si>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</si>
  <si>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</si>
  <si>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</si>
  <si>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</si>
  <si>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</si>
  <si>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</si>
  <si>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</si>
  <si>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</si>
  <si>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</si>
  <si>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</si>
  <si>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</si>
  <si>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</si>
  <si>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</si>
  <si>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</si>
  <si>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</si>
  <si>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</si>
  <si>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</si>
  <si>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</si>
  <si>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</si>
  <si>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</si>
  <si>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</si>
  <si>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</si>
  <si>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</si>
  <si>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</si>
  <si>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</si>
  <si>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</si>
  <si>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</si>
  <si>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</si>
  <si>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</si>
  <si>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</si>
  <si>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</si>
  <si>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</si>
  <si>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</si>
  <si>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</si>
  <si>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</si>
  <si>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</si>
  <si>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</si>
  <si>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</si>
  <si>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</si>
  <si>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</si>
  <si>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</si>
  <si>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</si>
  <si>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</si>
  <si>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</si>
  <si>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</si>
  <si>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</si>
  <si>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</si>
  <si>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</si>
  <si>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</si>
  <si>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</si>
  <si>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</si>
  <si>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</si>
  <si>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</si>
  <si>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</si>
  <si>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</si>
  <si>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</si>
  <si>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</si>
  <si>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</si>
  <si>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</si>
  <si>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</si>
  <si>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</si>
  <si>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</si>
  <si>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</si>
  <si>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</si>
  <si>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</si>
  <si>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</si>
  <si>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</si>
  <si>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</si>
  <si>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</si>
  <si>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</si>
  <si>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</si>
  <si>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</si>
  <si>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</si>
  <si>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</si>
  <si>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</si>
  <si>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</si>
  <si>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</si>
  <si>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</si>
  <si>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</si>
  <si>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</si>
  <si>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Ritonavir</t>
  </si>
  <si>
    <t>R9-1</t>
  </si>
  <si>
    <t>Lopinavir</t>
  </si>
  <si>
    <t>L20-3</t>
  </si>
  <si>
    <t>Assay &amp; Dissolutrion, RITONAVIR</t>
  </si>
  <si>
    <t>Assay &amp; Dissolutrion, LOPINAVIR</t>
  </si>
  <si>
    <t>Kefa Makoyo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</si>
  <si>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NMT 2.0%</t>
    </r>
    <r>
      <rPr>
        <sz val="12"/>
        <color rgb="FF000000"/>
        <rFont val="Book Antiqua"/>
      </rPr>
      <t>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</si>
  <si>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3000</t>
    </r>
  </si>
  <si>
    <r>
      <t xml:space="preserve">The Assymetry of all peaks is </t>
    </r>
    <r>
      <rPr>
        <b/>
        <sz val="12"/>
        <color rgb="FF000000"/>
        <rFont val="Book Antiqua"/>
        <family val="1"/>
      </rPr>
      <t xml:space="preserve">NLT 0.8 </t>
    </r>
    <r>
      <rPr>
        <sz val="12"/>
        <color rgb="FF000000"/>
        <rFont val="Book Antiqua"/>
        <family val="1"/>
      </rPr>
      <t>&amp;</t>
    </r>
    <r>
      <rPr>
        <b/>
        <sz val="12"/>
        <color rgb="FF000000"/>
        <rFont val="Book Antiqua"/>
        <family val="1"/>
      </rPr>
      <t xml:space="preserve"> NMT 2.0</t>
    </r>
  </si>
  <si>
    <r>
      <t xml:space="preserve">The Resolution between Lopinavir &amp; Ritonavir peaks is </t>
    </r>
    <r>
      <rPr>
        <b/>
        <sz val="12"/>
        <color rgb="FF000000"/>
        <rFont val="Book Antiqua"/>
        <family val="1"/>
      </rPr>
      <t>NLT 1.5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</si>
  <si>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NMT 2.0%.</t>
    </r>
  </si>
  <si>
    <t>Aluvia Tablets &amp; Ritonavir/ Lopinavir Oral Pellets Capsules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</si>
  <si>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</si>
  <si>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</si>
  <si>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</si>
  <si>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</si>
  <si>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</si>
  <si>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</si>
  <si>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</si>
  <si>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</si>
  <si>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</si>
  <si>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</si>
  <si>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</si>
  <si>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 xml:space="preserve"> Ritonavir</t>
  </si>
  <si>
    <t>Aluvia Tablets  &amp; Ritonavir/ Lopinavir Oral Pellets Capsules</t>
  </si>
  <si>
    <r>
      <t xml:space="preserve">The Assymetry of all peaks is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&amp; </t>
    </r>
    <r>
      <rPr>
        <b/>
        <sz val="12"/>
        <color rgb="FF000000"/>
        <rFont val="Book Antiqua"/>
        <family val="1"/>
      </rPr>
      <t>NMT 2.0</t>
    </r>
  </si>
  <si>
    <t>Peak Resolution (USP)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</si>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</sst>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8" fillId="2" borderId="0"/>
    <xf numFmtId="0" fontId="28" fillId="2" borderId="0"/>
  </cellStyleXfs>
  <cellXfs count="44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0" applyFont="1" applyFill="1"/>
    <xf numFmtId="0" fontId="25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7" fillId="2" borderId="7" xfId="0" applyFont="1" applyFill="1" applyBorder="1"/>
    <xf numFmtId="0" fontId="24" fillId="2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28" fillId="2" borderId="0" xfId="1" applyFill="1"/>
    <xf numFmtId="0" fontId="12" fillId="2" borderId="0" xfId="1" applyFont="1" applyFill="1" applyAlignment="1">
      <alignment vertical="center"/>
    </xf>
    <xf numFmtId="0" fontId="12" fillId="3" borderId="0" xfId="1" applyFont="1" applyFill="1" applyAlignment="1" applyProtection="1">
      <alignment horizontal="left" vertical="center"/>
      <protection locked="0"/>
    </xf>
    <xf numFmtId="0" fontId="14" fillId="3" borderId="0" xfId="1" applyFont="1" applyFill="1" applyAlignment="1" applyProtection="1">
      <alignment horizontal="left" vertical="center"/>
      <protection locked="0"/>
    </xf>
    <xf numFmtId="0" fontId="11" fillId="2" borderId="0" xfId="1" applyFont="1" applyFill="1" applyAlignment="1">
      <alignment vertical="center"/>
    </xf>
    <xf numFmtId="0" fontId="14" fillId="3" borderId="0" xfId="1" applyFont="1" applyFill="1" applyAlignment="1" applyProtection="1">
      <alignment vertical="center"/>
      <protection locked="0"/>
    </xf>
    <xf numFmtId="0" fontId="11" fillId="3" borderId="0" xfId="1" applyFont="1" applyFill="1" applyAlignment="1" applyProtection="1">
      <alignment vertical="center"/>
      <protection locked="0"/>
    </xf>
    <xf numFmtId="168" fontId="14" fillId="3" borderId="0" xfId="1" applyNumberFormat="1" applyFont="1" applyFill="1" applyAlignment="1" applyProtection="1">
      <alignment horizontal="left" vertical="center"/>
      <protection locked="0"/>
    </xf>
    <xf numFmtId="168" fontId="11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horizontal="right" vertical="center"/>
    </xf>
    <xf numFmtId="0" fontId="13" fillId="3" borderId="0" xfId="1" applyFont="1" applyFill="1" applyAlignment="1" applyProtection="1">
      <alignment horizontal="center" vertical="center"/>
      <protection locked="0"/>
    </xf>
    <xf numFmtId="0" fontId="14" fillId="3" borderId="0" xfId="1" applyFont="1" applyFill="1" applyAlignment="1" applyProtection="1">
      <alignment horizontal="center" vertical="center"/>
      <protection locked="0"/>
    </xf>
    <xf numFmtId="0" fontId="18" fillId="2" borderId="0" xfId="1" applyFont="1" applyFill="1" applyAlignment="1">
      <alignment vertical="center"/>
    </xf>
    <xf numFmtId="0" fontId="15" fillId="2" borderId="0" xfId="1" applyFont="1" applyFill="1" applyAlignment="1">
      <alignment vertical="center" wrapText="1"/>
    </xf>
    <xf numFmtId="0" fontId="2" fillId="2" borderId="0" xfId="1" applyFont="1" applyFill="1"/>
    <xf numFmtId="0" fontId="12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2" fontId="13" fillId="3" borderId="0" xfId="1" applyNumberFormat="1" applyFont="1" applyFill="1" applyAlignment="1" applyProtection="1">
      <alignment horizontal="center" vertic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 vertical="center"/>
    </xf>
    <xf numFmtId="0" fontId="19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 vertical="center"/>
    </xf>
    <xf numFmtId="0" fontId="11" fillId="2" borderId="21" xfId="1" applyFont="1" applyFill="1" applyBorder="1" applyAlignment="1">
      <alignment horizontal="right" vertical="center"/>
    </xf>
    <xf numFmtId="0" fontId="13" fillId="3" borderId="22" xfId="1" applyFont="1" applyFill="1" applyBorder="1" applyAlignment="1" applyProtection="1">
      <alignment horizontal="center" vertical="center"/>
      <protection locked="0"/>
    </xf>
    <xf numFmtId="0" fontId="11" fillId="2" borderId="23" xfId="1" applyFont="1" applyFill="1" applyBorder="1" applyAlignment="1">
      <alignment horizontal="right" vertical="center"/>
    </xf>
    <xf numFmtId="0" fontId="13" fillId="3" borderId="24" xfId="1" applyFont="1" applyFill="1" applyBorder="1" applyAlignment="1" applyProtection="1">
      <alignment horizontal="center" vertical="center"/>
      <protection locked="0"/>
    </xf>
    <xf numFmtId="0" fontId="12" fillId="2" borderId="10" xfId="1" applyFont="1" applyFill="1" applyBorder="1" applyAlignment="1">
      <alignment horizontal="center" vertical="center"/>
    </xf>
    <xf numFmtId="0" fontId="12" fillId="2" borderId="52" xfId="1" applyFont="1" applyFill="1" applyBorder="1" applyAlignment="1">
      <alignment horizontal="center" vertical="center"/>
    </xf>
    <xf numFmtId="0" fontId="12" fillId="2" borderId="26" xfId="1" applyFont="1" applyFill="1" applyBorder="1" applyAlignment="1">
      <alignment horizontal="center" vertical="center"/>
    </xf>
    <xf numFmtId="0" fontId="12" fillId="2" borderId="30" xfId="1" applyFont="1" applyFill="1" applyBorder="1" applyAlignment="1">
      <alignment horizontal="center" vertical="center"/>
    </xf>
    <xf numFmtId="0" fontId="11" fillId="2" borderId="47" xfId="1" applyFont="1" applyFill="1" applyBorder="1" applyAlignment="1">
      <alignment horizontal="center" vertical="center"/>
    </xf>
    <xf numFmtId="0" fontId="13" fillId="3" borderId="52" xfId="1" applyFont="1" applyFill="1" applyBorder="1" applyAlignment="1" applyProtection="1">
      <alignment horizontal="center" vertical="center"/>
      <protection locked="0"/>
    </xf>
    <xf numFmtId="170" fontId="11" fillId="2" borderId="47" xfId="1" applyNumberFormat="1" applyFont="1" applyFill="1" applyBorder="1" applyAlignment="1">
      <alignment horizontal="center" vertical="center"/>
    </xf>
    <xf numFmtId="170" fontId="11" fillId="2" borderId="28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3" fillId="3" borderId="48" xfId="1" applyFont="1" applyFill="1" applyBorder="1" applyAlignment="1" applyProtection="1">
      <alignment horizontal="center" vertical="center"/>
      <protection locked="0"/>
    </xf>
    <xf numFmtId="170" fontId="11" fillId="2" borderId="0" xfId="1" applyNumberFormat="1" applyFont="1" applyFill="1" applyAlignment="1">
      <alignment horizontal="center" vertical="center"/>
    </xf>
    <xf numFmtId="170" fontId="11" fillId="2" borderId="24" xfId="1" applyNumberFormat="1" applyFont="1" applyFill="1" applyBorder="1" applyAlignment="1">
      <alignment horizontal="center" vertical="center"/>
    </xf>
    <xf numFmtId="0" fontId="11" fillId="2" borderId="0" xfId="1" applyFont="1" applyFill="1"/>
    <xf numFmtId="0" fontId="11" fillId="2" borderId="7" xfId="1" applyFont="1" applyFill="1" applyBorder="1" applyAlignment="1">
      <alignment horizontal="center" vertical="center"/>
    </xf>
    <xf numFmtId="0" fontId="13" fillId="3" borderId="58" xfId="1" applyFont="1" applyFill="1" applyBorder="1" applyAlignment="1" applyProtection="1">
      <alignment horizontal="center" vertical="center"/>
      <protection locked="0"/>
    </xf>
    <xf numFmtId="170" fontId="11" fillId="2" borderId="7" xfId="1" applyNumberFormat="1" applyFont="1" applyFill="1" applyBorder="1" applyAlignment="1">
      <alignment horizontal="center" vertical="center"/>
    </xf>
    <xf numFmtId="170" fontId="11" fillId="2" borderId="33" xfId="1" applyNumberFormat="1" applyFont="1" applyFill="1" applyBorder="1" applyAlignment="1">
      <alignment horizontal="center" vertical="center"/>
    </xf>
    <xf numFmtId="170" fontId="12" fillId="6" borderId="48" xfId="1" applyNumberFormat="1" applyFont="1" applyFill="1" applyBorder="1" applyAlignment="1">
      <alignment horizontal="center" vertical="center"/>
    </xf>
    <xf numFmtId="170" fontId="12" fillId="6" borderId="38" xfId="1" applyNumberFormat="1" applyFont="1" applyFill="1" applyBorder="1" applyAlignment="1">
      <alignment horizontal="center" vertical="center"/>
    </xf>
    <xf numFmtId="1" fontId="12" fillId="6" borderId="49" xfId="1" applyNumberFormat="1" applyFont="1" applyFill="1" applyBorder="1" applyAlignment="1">
      <alignment horizontal="center" vertical="center"/>
    </xf>
    <xf numFmtId="170" fontId="12" fillId="6" borderId="39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1" fillId="2" borderId="40" xfId="1" applyFont="1" applyFill="1" applyBorder="1" applyAlignment="1">
      <alignment horizontal="right"/>
    </xf>
    <xf numFmtId="0" fontId="13" fillId="3" borderId="51" xfId="1" applyFont="1" applyFill="1" applyBorder="1" applyAlignment="1" applyProtection="1">
      <alignment horizontal="center" vertical="center"/>
      <protection locked="0"/>
    </xf>
    <xf numFmtId="0" fontId="13" fillId="3" borderId="16" xfId="1" applyFont="1" applyFill="1" applyBorder="1" applyAlignment="1" applyProtection="1">
      <alignment horizontal="center" vertic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 vertical="center"/>
    </xf>
    <xf numFmtId="2" fontId="11" fillId="6" borderId="41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2" fontId="11" fillId="7" borderId="27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2" fontId="11" fillId="7" borderId="41" xfId="1" applyNumberFormat="1" applyFont="1" applyFill="1" applyBorder="1" applyAlignment="1">
      <alignment horizontal="center" vertical="center"/>
    </xf>
    <xf numFmtId="2" fontId="11" fillId="6" borderId="17" xfId="1" applyNumberFormat="1" applyFont="1" applyFill="1" applyBorder="1" applyAlignment="1">
      <alignment horizontal="center" vertical="center"/>
    </xf>
    <xf numFmtId="0" fontId="11" fillId="2" borderId="59" xfId="1" applyFont="1" applyFill="1" applyBorder="1" applyAlignment="1">
      <alignment horizontal="right" vertical="center"/>
    </xf>
    <xf numFmtId="166" fontId="13" fillId="3" borderId="27" xfId="1" applyNumberFormat="1" applyFont="1" applyFill="1" applyBorder="1" applyAlignment="1" applyProtection="1">
      <alignment horizontal="center" vertical="center"/>
      <protection locked="0"/>
    </xf>
    <xf numFmtId="1" fontId="11" fillId="2" borderId="0" xfId="1" applyNumberFormat="1" applyFont="1" applyFill="1" applyAlignment="1">
      <alignment horizontal="center" vertical="center"/>
    </xf>
    <xf numFmtId="0" fontId="11" fillId="2" borderId="25" xfId="1" applyFont="1" applyFill="1" applyBorder="1" applyAlignment="1">
      <alignment horizontal="right" vertical="center"/>
    </xf>
    <xf numFmtId="0" fontId="11" fillId="2" borderId="52" xfId="1" applyFont="1" applyFill="1" applyBorder="1" applyAlignment="1">
      <alignment horizontal="right" vertical="center"/>
    </xf>
    <xf numFmtId="2" fontId="11" fillId="6" borderId="30" xfId="1" applyNumberFormat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right" vertical="center"/>
    </xf>
    <xf numFmtId="170" fontId="12" fillId="7" borderId="16" xfId="1" applyNumberFormat="1" applyFont="1" applyFill="1" applyBorder="1" applyAlignment="1">
      <alignment horizontal="center" vertical="center"/>
    </xf>
    <xf numFmtId="0" fontId="11" fillId="2" borderId="41" xfId="1" applyFont="1" applyFill="1" applyBorder="1" applyAlignment="1">
      <alignment horizontal="right" vertical="center"/>
    </xf>
    <xf numFmtId="10" fontId="11" fillId="6" borderId="41" xfId="1" applyNumberFormat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right" vertical="center"/>
    </xf>
    <xf numFmtId="0" fontId="11" fillId="7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166" fontId="12" fillId="2" borderId="0" xfId="1" applyNumberFormat="1" applyFont="1" applyFill="1" applyAlignment="1" applyProtection="1">
      <alignment horizontal="center" vertical="center"/>
      <protection locked="0"/>
    </xf>
    <xf numFmtId="2" fontId="12" fillId="2" borderId="13" xfId="1" applyNumberFormat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3" fillId="3" borderId="21" xfId="1" applyFont="1" applyFill="1" applyBorder="1" applyAlignment="1" applyProtection="1">
      <alignment horizontal="center" vertical="center"/>
      <protection locked="0"/>
    </xf>
    <xf numFmtId="2" fontId="11" fillId="2" borderId="21" xfId="1" applyNumberFormat="1" applyFont="1" applyFill="1" applyBorder="1" applyAlignment="1">
      <alignment horizontal="center" vertic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 vertical="center"/>
    </xf>
    <xf numFmtId="0" fontId="13" fillId="3" borderId="23" xfId="1" applyFont="1" applyFill="1" applyBorder="1" applyAlignment="1" applyProtection="1">
      <alignment horizontal="center" vertical="center"/>
      <protection locked="0"/>
    </xf>
    <xf numFmtId="2" fontId="11" fillId="2" borderId="23" xfId="1" applyNumberFormat="1" applyFont="1" applyFill="1" applyBorder="1" applyAlignment="1">
      <alignment horizontal="center" vertical="center"/>
    </xf>
    <xf numFmtId="10" fontId="11" fillId="2" borderId="14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  <protection locked="0"/>
    </xf>
    <xf numFmtId="2" fontId="11" fillId="2" borderId="13" xfId="1" applyNumberFormat="1" applyFont="1" applyFill="1" applyBorder="1" applyAlignment="1">
      <alignment horizontal="center" vertical="center"/>
    </xf>
    <xf numFmtId="10" fontId="11" fillId="2" borderId="22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 vertical="center"/>
    </xf>
    <xf numFmtId="10" fontId="11" fillId="2" borderId="24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 vertical="center"/>
    </xf>
    <xf numFmtId="10" fontId="11" fillId="2" borderId="43" xfId="1" applyNumberFormat="1" applyFont="1" applyFill="1" applyBorder="1" applyAlignment="1">
      <alignment horizontal="center" vertical="center"/>
    </xf>
    <xf numFmtId="0" fontId="11" fillId="2" borderId="42" xfId="1" applyFont="1" applyFill="1" applyBorder="1" applyAlignment="1">
      <alignment horizontal="right" vertical="center"/>
    </xf>
    <xf numFmtId="2" fontId="12" fillId="2" borderId="43" xfId="1" applyNumberFormat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4" xfId="1" applyFont="1" applyFill="1" applyBorder="1" applyAlignment="1">
      <alignment horizontal="right" vertical="center"/>
    </xf>
    <xf numFmtId="10" fontId="13" fillId="7" borderId="33" xfId="1" applyNumberFormat="1" applyFont="1" applyFill="1" applyBorder="1" applyAlignment="1">
      <alignment horizontal="center" vertical="center"/>
    </xf>
    <xf numFmtId="10" fontId="13" fillId="6" borderId="56" xfId="1" applyNumberFormat="1" applyFont="1" applyFill="1" applyBorder="1" applyAlignment="1">
      <alignment horizontal="center" vertical="center"/>
    </xf>
    <xf numFmtId="0" fontId="13" fillId="7" borderId="45" xfId="1" applyFont="1" applyFill="1" applyBorder="1" applyAlignment="1">
      <alignment horizontal="center" vertical="center"/>
    </xf>
    <xf numFmtId="165" fontId="13" fillId="2" borderId="0" xfId="1" applyNumberFormat="1" applyFont="1" applyFill="1" applyAlignment="1">
      <alignment horizontal="center" vertical="center"/>
    </xf>
    <xf numFmtId="0" fontId="12" fillId="2" borderId="46" xfId="1" applyFont="1" applyFill="1" applyBorder="1" applyAlignment="1">
      <alignment horizontal="center" vertical="center"/>
    </xf>
    <xf numFmtId="0" fontId="12" fillId="2" borderId="40" xfId="1" applyFont="1" applyFill="1" applyBorder="1" applyAlignment="1">
      <alignment horizontal="center" vertical="center"/>
    </xf>
    <xf numFmtId="0" fontId="12" fillId="2" borderId="25" xfId="1" applyFont="1" applyFill="1" applyBorder="1" applyAlignment="1">
      <alignment horizontal="center" vertical="center"/>
    </xf>
    <xf numFmtId="0" fontId="13" fillId="3" borderId="29" xfId="1" applyFont="1" applyFill="1" applyBorder="1" applyAlignment="1" applyProtection="1">
      <alignment horizontal="center" vertical="center"/>
      <protection locked="0"/>
    </xf>
    <xf numFmtId="170" fontId="11" fillId="2" borderId="26" xfId="1" applyNumberFormat="1" applyFont="1" applyFill="1" applyBorder="1" applyAlignment="1">
      <alignment horizontal="center" vertical="center"/>
    </xf>
    <xf numFmtId="1" fontId="13" fillId="3" borderId="29" xfId="1" applyNumberFormat="1" applyFont="1" applyFill="1" applyBorder="1" applyAlignment="1" applyProtection="1">
      <alignment horizontal="center" vertical="center"/>
      <protection locked="0"/>
    </xf>
    <xf numFmtId="170" fontId="11" fillId="2" borderId="30" xfId="1" applyNumberFormat="1" applyFont="1" applyFill="1" applyBorder="1" applyAlignment="1">
      <alignment horizontal="center" vertical="center"/>
    </xf>
    <xf numFmtId="170" fontId="11" fillId="2" borderId="31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 vertical="center"/>
      <protection locked="0"/>
    </xf>
    <xf numFmtId="170" fontId="11" fillId="2" borderId="32" xfId="1" applyNumberFormat="1" applyFont="1" applyFill="1" applyBorder="1" applyAlignment="1">
      <alignment horizontal="center" vertical="center"/>
    </xf>
    <xf numFmtId="0" fontId="13" fillId="3" borderId="34" xfId="1" applyFont="1" applyFill="1" applyBorder="1" applyAlignment="1" applyProtection="1">
      <alignment horizontal="center" vertical="center"/>
      <protection locked="0"/>
    </xf>
    <xf numFmtId="170" fontId="11" fillId="2" borderId="35" xfId="1" applyNumberFormat="1" applyFont="1" applyFill="1" applyBorder="1" applyAlignment="1">
      <alignment horizontal="center" vertical="center"/>
    </xf>
    <xf numFmtId="1" fontId="13" fillId="3" borderId="34" xfId="1" applyNumberFormat="1" applyFont="1" applyFill="1" applyBorder="1" applyAlignment="1" applyProtection="1">
      <alignment horizontal="center" vertical="center"/>
      <protection locked="0"/>
    </xf>
    <xf numFmtId="170" fontId="11" fillId="2" borderId="36" xfId="1" applyNumberFormat="1" applyFont="1" applyFill="1" applyBorder="1" applyAlignment="1">
      <alignment horizontal="center" vertical="center"/>
    </xf>
    <xf numFmtId="170" fontId="12" fillId="6" borderId="49" xfId="1" applyNumberFormat="1" applyFont="1" applyFill="1" applyBorder="1" applyAlignment="1">
      <alignment horizontal="center" vertical="center"/>
    </xf>
    <xf numFmtId="170" fontId="12" fillId="6" borderId="15" xfId="1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center" vertical="center"/>
    </xf>
    <xf numFmtId="164" fontId="11" fillId="6" borderId="27" xfId="1" applyNumberFormat="1" applyFont="1" applyFill="1" applyBorder="1" applyAlignment="1">
      <alignment horizontal="center" vertical="center"/>
    </xf>
    <xf numFmtId="164" fontId="11" fillId="2" borderId="0" xfId="1" applyNumberFormat="1" applyFont="1" applyFill="1" applyAlignment="1">
      <alignment horizontal="center" vertical="center"/>
    </xf>
    <xf numFmtId="164" fontId="11" fillId="6" borderId="17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11" fillId="7" borderId="27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11" fillId="7" borderId="30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 vertical="center"/>
    </xf>
    <xf numFmtId="0" fontId="12" fillId="7" borderId="17" xfId="1" applyFont="1" applyFill="1" applyBorder="1" applyAlignment="1">
      <alignment horizontal="center" vertical="center"/>
    </xf>
    <xf numFmtId="0" fontId="12" fillId="2" borderId="53" xfId="1" applyFont="1" applyFill="1" applyBorder="1" applyAlignment="1">
      <alignment horizontal="center" vertical="center"/>
    </xf>
    <xf numFmtId="0" fontId="12" fillId="2" borderId="54" xfId="1" applyFont="1" applyFill="1" applyBorder="1" applyAlignment="1">
      <alignment vertical="center"/>
    </xf>
    <xf numFmtId="0" fontId="12" fillId="2" borderId="22" xfId="1" applyFont="1" applyFill="1" applyBorder="1" applyAlignment="1">
      <alignment horizontal="center" vertical="center" wrapText="1"/>
    </xf>
    <xf numFmtId="0" fontId="11" fillId="2" borderId="23" xfId="1" applyFont="1" applyFill="1" applyBorder="1" applyAlignment="1">
      <alignment horizontal="center" vertical="center"/>
    </xf>
    <xf numFmtId="1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1" fillId="2" borderId="26" xfId="1" applyNumberFormat="1" applyFont="1" applyFill="1" applyBorder="1" applyAlignment="1">
      <alignment horizontal="center" vertical="center"/>
    </xf>
    <xf numFmtId="10" fontId="11" fillId="2" borderId="30" xfId="1" applyNumberFormat="1" applyFont="1" applyFill="1" applyBorder="1" applyAlignment="1">
      <alignment horizontal="center" vertical="center"/>
    </xf>
    <xf numFmtId="2" fontId="11" fillId="2" borderId="31" xfId="1" applyNumberFormat="1" applyFont="1" applyFill="1" applyBorder="1" applyAlignment="1">
      <alignment horizontal="center" vertical="center"/>
    </xf>
    <xf numFmtId="10" fontId="11" fillId="2" borderId="32" xfId="1" applyNumberFormat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1" fontId="13" fillId="3" borderId="35" xfId="1" applyNumberFormat="1" applyFont="1" applyFill="1" applyBorder="1" applyAlignment="1" applyProtection="1">
      <alignment horizontal="center" vertical="center"/>
      <protection locked="0"/>
    </xf>
    <xf numFmtId="2" fontId="11" fillId="2" borderId="35" xfId="1" applyNumberFormat="1" applyFont="1" applyFill="1" applyBorder="1" applyAlignment="1">
      <alignment horizontal="center" vertical="center"/>
    </xf>
    <xf numFmtId="10" fontId="11" fillId="2" borderId="36" xfId="1" applyNumberFormat="1" applyFont="1" applyFill="1" applyBorder="1" applyAlignment="1">
      <alignment horizontal="center" vertical="center"/>
    </xf>
    <xf numFmtId="2" fontId="11" fillId="2" borderId="24" xfId="1" applyNumberFormat="1" applyFont="1" applyFill="1" applyBorder="1" applyAlignment="1">
      <alignment horizontal="center" vertical="center"/>
    </xf>
    <xf numFmtId="170" fontId="12" fillId="2" borderId="0" xfId="1" applyNumberFormat="1" applyFont="1" applyFill="1" applyAlignment="1">
      <alignment horizontal="center" vertical="center"/>
    </xf>
    <xf numFmtId="170" fontId="11" fillId="2" borderId="2" xfId="1" applyNumberFormat="1" applyFont="1" applyFill="1" applyBorder="1" applyAlignment="1">
      <alignment horizontal="right" vertical="center"/>
    </xf>
    <xf numFmtId="10" fontId="13" fillId="7" borderId="27" xfId="1" applyNumberFormat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0" fontId="13" fillId="6" borderId="27" xfId="1" applyNumberFormat="1" applyFont="1" applyFill="1" applyBorder="1" applyAlignment="1">
      <alignment horizontal="center" vertical="center"/>
    </xf>
    <xf numFmtId="0" fontId="11" fillId="2" borderId="42" xfId="1" applyFont="1" applyFill="1" applyBorder="1" applyAlignment="1">
      <alignment vertical="center"/>
    </xf>
    <xf numFmtId="0" fontId="11" fillId="2" borderId="60" xfId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right" vertical="center"/>
    </xf>
    <xf numFmtId="0" fontId="13" fillId="7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right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0" fontId="11" fillId="2" borderId="21" xfId="1" applyFont="1" applyFill="1" applyBorder="1" applyAlignment="1">
      <alignment horizontal="right"/>
    </xf>
    <xf numFmtId="0" fontId="13" fillId="3" borderId="61" xfId="1" applyFont="1" applyFill="1" applyBorder="1" applyAlignment="1" applyProtection="1">
      <alignment horizontal="center" vertic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32" xfId="1" applyFont="1" applyFill="1" applyBorder="1" applyAlignment="1" applyProtection="1">
      <alignment horizontal="center" vertical="center"/>
      <protection locked="0"/>
    </xf>
    <xf numFmtId="0" fontId="12" fillId="2" borderId="10" xfId="1" applyFont="1" applyFill="1" applyBorder="1" applyAlignment="1">
      <alignment horizontal="center"/>
    </xf>
    <xf numFmtId="0" fontId="12" fillId="2" borderId="52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7" xfId="1" applyFont="1" applyFill="1" applyBorder="1" applyAlignment="1">
      <alignment horizontal="center"/>
    </xf>
    <xf numFmtId="170" fontId="11" fillId="2" borderId="30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0" fontId="11" fillId="2" borderId="32" xfId="1" applyNumberFormat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1" fontId="12" fillId="6" borderId="43" xfId="1" applyNumberFormat="1" applyFont="1" applyFill="1" applyBorder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3" fillId="3" borderId="13" xfId="1" applyFont="1" applyFill="1" applyBorder="1" applyAlignment="1" applyProtection="1">
      <alignment horizontal="center" vertic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170" fontId="11" fillId="2" borderId="39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1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37" xfId="1" applyFont="1" applyFill="1" applyBorder="1" applyAlignment="1">
      <alignment horizontal="right"/>
    </xf>
    <xf numFmtId="2" fontId="11" fillId="7" borderId="62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1" fillId="2" borderId="44" xfId="1" applyFont="1" applyFill="1" applyBorder="1" applyAlignment="1">
      <alignment horizontal="right"/>
    </xf>
    <xf numFmtId="170" fontId="12" fillId="7" borderId="44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2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2" fillId="7" borderId="17" xfId="1" applyFont="1" applyFill="1" applyBorder="1" applyAlignment="1">
      <alignment horizontal="center"/>
    </xf>
    <xf numFmtId="0" fontId="3" fillId="2" borderId="0" xfId="1" applyFont="1" applyFill="1"/>
    <xf numFmtId="0" fontId="12" fillId="2" borderId="46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4" xfId="1" applyFont="1" applyFill="1" applyBorder="1"/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0" fontId="13" fillId="3" borderId="26" xfId="1" applyFont="1" applyFill="1" applyBorder="1" applyAlignment="1" applyProtection="1">
      <alignment horizontal="center" vertical="center"/>
      <protection locked="0"/>
    </xf>
    <xf numFmtId="2" fontId="11" fillId="2" borderId="4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0" fontId="13" fillId="3" borderId="31" xfId="1" applyFont="1" applyFill="1" applyBorder="1" applyAlignment="1" applyProtection="1">
      <alignment horizontal="center" vertical="center"/>
      <protection locked="0"/>
    </xf>
    <xf numFmtId="2" fontId="11" fillId="2" borderId="3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 vertical="center"/>
      <protection locked="0"/>
    </xf>
    <xf numFmtId="2" fontId="11" fillId="2" borderId="5" xfId="1" applyNumberFormat="1" applyFont="1" applyFill="1" applyBorder="1" applyAlignment="1">
      <alignment horizontal="center"/>
    </xf>
    <xf numFmtId="10" fontId="11" fillId="2" borderId="33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0" fontId="12" fillId="2" borderId="0" xfId="1" applyNumberFormat="1" applyFont="1" applyFill="1" applyAlignment="1">
      <alignment horizontal="center"/>
    </xf>
    <xf numFmtId="170" fontId="11" fillId="2" borderId="1" xfId="1" applyNumberFormat="1" applyFont="1" applyFill="1" applyBorder="1" applyAlignment="1">
      <alignment horizontal="right"/>
    </xf>
    <xf numFmtId="10" fontId="13" fillId="7" borderId="56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" xfId="1" applyFont="1" applyFill="1" applyBorder="1" applyAlignment="1">
      <alignment horizontal="right"/>
    </xf>
    <xf numFmtId="10" fontId="13" fillId="6" borderId="56" xfId="1" applyNumberFormat="1" applyFont="1" applyFill="1" applyBorder="1" applyAlignment="1">
      <alignment horizontal="center"/>
    </xf>
    <xf numFmtId="0" fontId="11" fillId="2" borderId="42" xfId="1" applyFont="1" applyFill="1" applyBorder="1"/>
    <xf numFmtId="0" fontId="11" fillId="2" borderId="9" xfId="1" applyFont="1" applyFill="1" applyBorder="1" applyAlignment="1">
      <alignment horizontal="center"/>
    </xf>
    <xf numFmtId="0" fontId="11" fillId="2" borderId="63" xfId="1" applyFont="1" applyFill="1" applyBorder="1" applyAlignment="1">
      <alignment horizontal="right"/>
    </xf>
    <xf numFmtId="0" fontId="13" fillId="7" borderId="45" xfId="1" applyFont="1" applyFill="1" applyBorder="1" applyAlignment="1">
      <alignment horizontal="center"/>
    </xf>
    <xf numFmtId="170" fontId="11" fillId="2" borderId="46" xfId="1" applyNumberFormat="1" applyFont="1" applyFill="1" applyBorder="1" applyAlignment="1">
      <alignment horizontal="right"/>
    </xf>
    <xf numFmtId="165" fontId="13" fillId="7" borderId="51" xfId="1" applyNumberFormat="1" applyFont="1" applyFill="1" applyBorder="1" applyAlignment="1">
      <alignment horizontal="center"/>
    </xf>
    <xf numFmtId="165" fontId="13" fillId="6" borderId="27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0" fontId="13" fillId="7" borderId="62" xfId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 applyAlignment="1">
      <alignment vertical="center"/>
    </xf>
    <xf numFmtId="0" fontId="11" fillId="2" borderId="10" xfId="1" applyFont="1" applyFill="1" applyBorder="1" applyAlignment="1">
      <alignment horizontal="center" vertical="center"/>
    </xf>
    <xf numFmtId="0" fontId="11" fillId="2" borderId="7" xfId="1" applyFont="1" applyFill="1" applyBorder="1" applyAlignment="1" applyProtection="1">
      <alignment vertical="center"/>
      <protection locked="0"/>
    </xf>
    <xf numFmtId="0" fontId="11" fillId="2" borderId="7" xfId="1" applyFont="1" applyFill="1" applyBorder="1" applyAlignment="1">
      <alignment vertical="center"/>
    </xf>
    <xf numFmtId="0" fontId="12" fillId="2" borderId="11" xfId="1" applyFont="1" applyFill="1" applyBorder="1" applyAlignment="1" applyProtection="1">
      <alignment vertical="center"/>
      <protection locked="0"/>
    </xf>
    <xf numFmtId="0" fontId="12" fillId="2" borderId="11" xfId="1" applyFont="1" applyFill="1" applyBorder="1" applyAlignment="1">
      <alignment vertical="center"/>
    </xf>
    <xf numFmtId="0" fontId="11" fillId="2" borderId="11" xfId="1" applyFont="1" applyFill="1" applyBorder="1" applyAlignment="1">
      <alignment vertical="center"/>
    </xf>
    <xf numFmtId="0" fontId="29" fillId="2" borderId="0" xfId="2" applyFont="1" applyFill="1"/>
    <xf numFmtId="0" fontId="27" fillId="2" borderId="0" xfId="2" applyFont="1" applyFill="1"/>
    <xf numFmtId="0" fontId="27" fillId="2" borderId="0" xfId="2" applyFont="1" applyFill="1" applyAlignment="1">
      <alignment horizontal="right"/>
    </xf>
    <xf numFmtId="0" fontId="26" fillId="2" borderId="0" xfId="2" applyFont="1" applyFill="1"/>
    <xf numFmtId="0" fontId="26" fillId="2" borderId="0" xfId="2" applyFont="1" applyFill="1" applyAlignment="1">
      <alignment horizontal="left"/>
    </xf>
    <xf numFmtId="0" fontId="25" fillId="2" borderId="0" xfId="2" applyFont="1" applyFill="1" applyAlignment="1">
      <alignment horizontal="left"/>
    </xf>
    <xf numFmtId="0" fontId="25" fillId="2" borderId="0" xfId="2" applyFont="1" applyFill="1" applyAlignment="1">
      <alignment horizontal="center"/>
    </xf>
    <xf numFmtId="0" fontId="24" fillId="2" borderId="0" xfId="2" applyFont="1" applyFill="1"/>
    <xf numFmtId="0" fontId="25" fillId="2" borderId="0" xfId="2" applyFont="1" applyFill="1"/>
    <xf numFmtId="2" fontId="25" fillId="2" borderId="0" xfId="2" applyNumberFormat="1" applyFont="1" applyFill="1" applyAlignment="1">
      <alignment horizontal="center"/>
    </xf>
    <xf numFmtId="164" fontId="25" fillId="2" borderId="0" xfId="2" applyNumberFormat="1" applyFont="1" applyFill="1" applyAlignment="1">
      <alignment horizontal="center"/>
    </xf>
    <xf numFmtId="0" fontId="25" fillId="2" borderId="1" xfId="2" applyFont="1" applyFill="1" applyBorder="1" applyAlignment="1">
      <alignment horizontal="center"/>
    </xf>
    <xf numFmtId="0" fontId="25" fillId="2" borderId="2" xfId="2" applyFont="1" applyFill="1" applyBorder="1" applyAlignment="1">
      <alignment horizontal="center"/>
    </xf>
    <xf numFmtId="0" fontId="24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24" fillId="2" borderId="4" xfId="2" applyFont="1" applyFill="1" applyBorder="1"/>
    <xf numFmtId="1" fontId="25" fillId="4" borderId="2" xfId="2" applyNumberFormat="1" applyFont="1" applyFill="1" applyBorder="1" applyAlignment="1">
      <alignment horizontal="center"/>
    </xf>
    <xf numFmtId="1" fontId="25" fillId="4" borderId="1" xfId="2" applyNumberFormat="1" applyFont="1" applyFill="1" applyBorder="1" applyAlignment="1">
      <alignment horizontal="center"/>
    </xf>
    <xf numFmtId="2" fontId="25" fillId="4" borderId="1" xfId="2" applyNumberFormat="1" applyFont="1" applyFill="1" applyBorder="1" applyAlignment="1">
      <alignment horizontal="center"/>
    </xf>
    <xf numFmtId="0" fontId="24" fillId="2" borderId="3" xfId="2" applyFont="1" applyFill="1" applyBorder="1"/>
    <xf numFmtId="10" fontId="25" fillId="5" borderId="1" xfId="2" applyNumberFormat="1" applyFont="1" applyFill="1" applyBorder="1" applyAlignment="1">
      <alignment horizontal="center"/>
    </xf>
    <xf numFmtId="165" fontId="25" fillId="2" borderId="0" xfId="2" applyNumberFormat="1" applyFont="1" applyFill="1" applyAlignment="1">
      <alignment horizontal="center"/>
    </xf>
    <xf numFmtId="0" fontId="24" fillId="2" borderId="6" xfId="2" applyFont="1" applyFill="1" applyBorder="1"/>
    <xf numFmtId="0" fontId="24" fillId="2" borderId="5" xfId="2" applyFont="1" applyFill="1" applyBorder="1"/>
    <xf numFmtId="0" fontId="25" fillId="4" borderId="1" xfId="2" applyFont="1" applyFill="1" applyBorder="1" applyAlignment="1">
      <alignment horizontal="center"/>
    </xf>
    <xf numFmtId="0" fontId="25" fillId="2" borderId="7" xfId="2" applyFont="1" applyFill="1" applyBorder="1" applyAlignment="1">
      <alignment horizontal="center"/>
    </xf>
    <xf numFmtId="0" fontId="24" fillId="2" borderId="7" xfId="2" applyFont="1" applyFill="1" applyBorder="1"/>
    <xf numFmtId="0" fontId="24" fillId="2" borderId="8" xfId="2" applyFont="1" applyFill="1" applyBorder="1"/>
    <xf numFmtId="0" fontId="24" fillId="2" borderId="0" xfId="2" applyFont="1" applyFill="1" applyAlignment="1" applyProtection="1">
      <alignment horizontal="left"/>
      <protection locked="0"/>
    </xf>
    <xf numFmtId="0" fontId="24" fillId="2" borderId="0" xfId="2" applyFont="1" applyFill="1" applyProtection="1">
      <protection locked="0"/>
    </xf>
    <xf numFmtId="0" fontId="27" fillId="2" borderId="9" xfId="2" applyFont="1" applyFill="1" applyBorder="1"/>
    <xf numFmtId="0" fontId="27" fillId="2" borderId="0" xfId="2" applyFont="1" applyFill="1" applyAlignment="1">
      <alignment horizontal="center"/>
    </xf>
    <xf numFmtId="10" fontId="27" fillId="2" borderId="9" xfId="2" applyNumberFormat="1" applyFont="1" applyFill="1" applyBorder="1"/>
    <xf numFmtId="0" fontId="28" fillId="2" borderId="0" xfId="2" applyFill="1"/>
    <xf numFmtId="0" fontId="29" fillId="2" borderId="10" xfId="2" applyFont="1" applyFill="1" applyBorder="1" applyAlignment="1">
      <alignment horizontal="center"/>
    </xf>
    <xf numFmtId="0" fontId="27" fillId="2" borderId="10" xfId="2" applyFont="1" applyFill="1" applyBorder="1" applyAlignment="1">
      <alignment horizontal="center"/>
    </xf>
    <xf numFmtId="0" fontId="29" fillId="2" borderId="0" xfId="2" applyFont="1" applyFill="1" applyAlignment="1">
      <alignment horizontal="right"/>
    </xf>
    <xf numFmtId="0" fontId="27" fillId="2" borderId="7" xfId="2" applyFont="1" applyFill="1" applyBorder="1"/>
    <xf numFmtId="0" fontId="29" fillId="2" borderId="11" xfId="2" applyFont="1" applyFill="1" applyBorder="1"/>
    <xf numFmtId="0" fontId="27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6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2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2" fillId="2" borderId="46" xfId="1" applyFont="1" applyFill="1" applyBorder="1" applyAlignment="1">
      <alignment horizontal="center" vertical="center"/>
    </xf>
    <xf numFmtId="0" fontId="12" fillId="2" borderId="57" xfId="1" applyFont="1" applyFill="1" applyBorder="1" applyAlignment="1">
      <alignment horizontal="center" vertical="center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3" fillId="3" borderId="0" xfId="1" applyFont="1" applyFill="1" applyAlignment="1" applyProtection="1">
      <alignment horizontal="left" vertical="center"/>
      <protection locked="0"/>
    </xf>
    <xf numFmtId="0" fontId="14" fillId="3" borderId="0" xfId="1" applyFont="1" applyFill="1" applyAlignment="1" applyProtection="1">
      <alignment horizontal="left" vertic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2" xfId="1" applyFont="1" applyFill="1" applyBorder="1" applyAlignment="1">
      <alignment horizontal="center" vertical="center"/>
    </xf>
    <xf numFmtId="0" fontId="12" fillId="2" borderId="40" xfId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 vertical="center"/>
    </xf>
    <xf numFmtId="0" fontId="19" fillId="2" borderId="19" xfId="1" applyFont="1" applyFill="1" applyBorder="1" applyAlignment="1">
      <alignment horizontal="center" vertical="center"/>
    </xf>
    <xf numFmtId="0" fontId="19" fillId="2" borderId="20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0" fillId="2" borderId="0" xfId="2" applyFont="1" applyFill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2" fontId="31" fillId="3" borderId="4" xfId="0" applyNumberFormat="1" applyFont="1" applyFill="1" applyBorder="1" applyAlignment="1" applyProtection="1">
      <alignment horizontal="center"/>
      <protection locked="0"/>
    </xf>
    <xf numFmtId="2" fontId="31" fillId="3" borderId="3" xfId="0" applyNumberFormat="1" applyFont="1" applyFill="1" applyBorder="1" applyAlignment="1" applyProtection="1">
      <alignment horizontal="center"/>
      <protection locked="0"/>
    </xf>
    <xf numFmtId="2" fontId="31" fillId="3" borderId="5" xfId="0" applyNumberFormat="1" applyFont="1" applyFill="1" applyBorder="1" applyAlignment="1" applyProtection="1">
      <alignment horizontal="center"/>
      <protection locked="0"/>
    </xf>
    <xf numFmtId="2" fontId="25" fillId="4" borderId="1" xfId="0" applyNumberFormat="1" applyFont="1" applyFill="1" applyBorder="1" applyAlignment="1">
      <alignment horizontal="center"/>
    </xf>
    <xf numFmtId="0" fontId="24" fillId="2" borderId="6" xfId="0" applyFont="1" applyFill="1" applyBorder="1"/>
    <xf numFmtId="0" fontId="24" fillId="2" borderId="8" xfId="0" applyFont="1" applyFill="1" applyBorder="1"/>
  </cellXfs>
  <cellStyles count="3">
    <cellStyle name="Normal" xfId="0" builtinId="0"/>
    <cellStyle name="Normal 2" xfId="1"/>
    <cellStyle name="Normal 3" xfId="2"/>
  </cellStyles>
  <dxfs count="2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view="pageBreakPreview" topLeftCell="A13" zoomScale="60" zoomScaleNormal="100" workbookViewId="0">
      <selection activeCell="E41" sqref="E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89" t="s">
        <v>0</v>
      </c>
      <c r="B15" s="389"/>
      <c r="C15" s="389"/>
      <c r="D15" s="389"/>
      <c r="E15" s="389"/>
    </row>
    <row r="16" spans="1:6" ht="16.5" customHeight="1" x14ac:dyDescent="0.3">
      <c r="A16" s="5" t="s">
        <v>1</v>
      </c>
      <c r="B16" s="96" t="s">
        <v>114</v>
      </c>
    </row>
    <row r="17" spans="1:6" ht="16.5" customHeight="1" x14ac:dyDescent="0.3">
      <c r="A17" s="6" t="s">
        <v>2</v>
      </c>
      <c r="B17" s="97" t="s">
        <v>122</v>
      </c>
      <c r="D17" s="7"/>
      <c r="E17" s="8"/>
    </row>
    <row r="18" spans="1:6" ht="16.5" customHeight="1" x14ac:dyDescent="0.3">
      <c r="A18" s="9" t="s">
        <v>3</v>
      </c>
      <c r="B18" s="95" t="s">
        <v>110</v>
      </c>
      <c r="C18" s="8"/>
      <c r="D18" s="8"/>
      <c r="E18" s="8"/>
    </row>
    <row r="19" spans="1:6" ht="16.5" customHeight="1" x14ac:dyDescent="0.3">
      <c r="A19" s="9" t="s">
        <v>5</v>
      </c>
      <c r="B19" s="10">
        <v>99.3</v>
      </c>
      <c r="C19" s="8"/>
      <c r="D19" s="8"/>
      <c r="E19" s="8"/>
    </row>
    <row r="20" spans="1:6" ht="16.5" customHeight="1" x14ac:dyDescent="0.3">
      <c r="A20" s="6" t="s">
        <v>7</v>
      </c>
      <c r="B20" s="10">
        <v>20.95</v>
      </c>
      <c r="C20" s="8"/>
      <c r="D20" s="8"/>
      <c r="E20" s="8"/>
    </row>
    <row r="21" spans="1:6" ht="16.5" customHeight="1" x14ac:dyDescent="0.3">
      <c r="A21" s="6" t="s">
        <v>9</v>
      </c>
      <c r="B21" s="11">
        <f>B20/50*5/100</f>
        <v>2.0949999999999996E-2</v>
      </c>
      <c r="C21" s="8"/>
      <c r="D21" s="8"/>
      <c r="E21" s="8"/>
    </row>
    <row r="22" spans="1:6" ht="15.75" customHeight="1" x14ac:dyDescent="0.25">
      <c r="A22" s="8"/>
      <c r="B22" s="8"/>
      <c r="C22" s="8"/>
      <c r="D22" s="8"/>
      <c r="E22" s="8"/>
    </row>
    <row r="23" spans="1:6" ht="16.5" customHeight="1" x14ac:dyDescent="0.3">
      <c r="A23" s="12" t="s">
        <v>12</v>
      </c>
      <c r="B23" s="13" t="s">
        <v>13</v>
      </c>
      <c r="C23" s="12" t="s">
        <v>14</v>
      </c>
      <c r="D23" s="12" t="s">
        <v>15</v>
      </c>
      <c r="E23" s="14" t="s">
        <v>16</v>
      </c>
    </row>
    <row r="24" spans="1:6" ht="16.5" customHeight="1" x14ac:dyDescent="0.3">
      <c r="A24" s="15">
        <v>1</v>
      </c>
      <c r="B24" s="16">
        <v>7988169</v>
      </c>
      <c r="C24" s="16">
        <v>6671</v>
      </c>
      <c r="D24" s="17">
        <v>1.06</v>
      </c>
      <c r="E24" s="18">
        <v>7</v>
      </c>
    </row>
    <row r="25" spans="1:6" ht="16.5" customHeight="1" x14ac:dyDescent="0.3">
      <c r="A25" s="15">
        <v>2</v>
      </c>
      <c r="B25" s="16">
        <v>8016589</v>
      </c>
      <c r="C25" s="16">
        <v>6695</v>
      </c>
      <c r="D25" s="17">
        <v>1.06</v>
      </c>
      <c r="E25" s="17">
        <v>7</v>
      </c>
    </row>
    <row r="26" spans="1:6" ht="16.5" customHeight="1" x14ac:dyDescent="0.3">
      <c r="A26" s="15">
        <v>3</v>
      </c>
      <c r="B26" s="16">
        <v>8008111</v>
      </c>
      <c r="C26" s="16">
        <v>6687</v>
      </c>
      <c r="D26" s="17">
        <v>1.05</v>
      </c>
      <c r="E26" s="17">
        <v>7.02</v>
      </c>
    </row>
    <row r="27" spans="1:6" ht="16.5" customHeight="1" x14ac:dyDescent="0.3">
      <c r="A27" s="15">
        <v>4</v>
      </c>
      <c r="B27" s="16">
        <v>7989116</v>
      </c>
      <c r="C27" s="16">
        <v>6734</v>
      </c>
      <c r="D27" s="17">
        <v>1.06</v>
      </c>
      <c r="E27" s="17">
        <v>7.02</v>
      </c>
    </row>
    <row r="28" spans="1:6" ht="16.5" customHeight="1" x14ac:dyDescent="0.3">
      <c r="A28" s="15">
        <v>5</v>
      </c>
      <c r="B28" s="16">
        <v>7970973</v>
      </c>
      <c r="C28" s="16">
        <v>6763</v>
      </c>
      <c r="D28" s="17">
        <v>1.06</v>
      </c>
      <c r="E28" s="17">
        <v>7.05</v>
      </c>
    </row>
    <row r="29" spans="1:6" ht="16.5" customHeight="1" x14ac:dyDescent="0.3">
      <c r="A29" s="15">
        <v>6</v>
      </c>
      <c r="B29" s="19">
        <v>7934778</v>
      </c>
      <c r="C29" s="19">
        <v>6676</v>
      </c>
      <c r="D29" s="20">
        <v>1.04</v>
      </c>
      <c r="E29" s="20">
        <v>7.02</v>
      </c>
    </row>
    <row r="30" spans="1:6" ht="16.5" customHeight="1" x14ac:dyDescent="0.3">
      <c r="A30" s="21" t="s">
        <v>17</v>
      </c>
      <c r="B30" s="22">
        <f>AVERAGE(B24:B29)</f>
        <v>7984622.666666667</v>
      </c>
      <c r="C30" s="23">
        <f>AVERAGE(C24:C29)</f>
        <v>6704.333333333333</v>
      </c>
      <c r="D30" s="24">
        <f>AVERAGE(D24:D29)</f>
        <v>1.0550000000000002</v>
      </c>
      <c r="E30" s="24">
        <f>AVERAGE(E24:E29)</f>
        <v>7.0183333333333335</v>
      </c>
    </row>
    <row r="31" spans="1:6" ht="16.5" customHeight="1" x14ac:dyDescent="0.3">
      <c r="A31" s="25" t="s">
        <v>18</v>
      </c>
      <c r="B31" s="26">
        <f>(STDEV(B24:B29)/B30)</f>
        <v>3.6629945018390557E-3</v>
      </c>
      <c r="C31" s="27"/>
      <c r="D31" s="27"/>
      <c r="E31" s="28"/>
      <c r="F31" s="2"/>
    </row>
    <row r="32" spans="1:6" s="2" customFormat="1" ht="16.5" customHeight="1" x14ac:dyDescent="0.3">
      <c r="A32" s="29" t="s">
        <v>19</v>
      </c>
      <c r="B32" s="30">
        <f>COUNT(B24:B29)</f>
        <v>6</v>
      </c>
      <c r="C32" s="31"/>
      <c r="D32" s="32"/>
      <c r="E32" s="33"/>
    </row>
    <row r="33" spans="1:9" s="2" customFormat="1" ht="15.75" customHeight="1" x14ac:dyDescent="0.25">
      <c r="A33" s="8"/>
      <c r="B33" s="8"/>
      <c r="C33" s="8"/>
      <c r="D33" s="8"/>
      <c r="E33" s="34"/>
    </row>
    <row r="34" spans="1:9" s="2" customFormat="1" ht="16.5" customHeight="1" x14ac:dyDescent="0.3">
      <c r="A34" s="9" t="s">
        <v>20</v>
      </c>
      <c r="B34" s="99" t="s">
        <v>117</v>
      </c>
      <c r="C34" s="35"/>
      <c r="D34" s="35"/>
      <c r="E34" s="36"/>
    </row>
    <row r="35" spans="1:9" ht="16.5" customHeight="1" x14ac:dyDescent="0.3">
      <c r="A35" s="9"/>
      <c r="B35" s="99" t="s">
        <v>118</v>
      </c>
      <c r="C35" s="35"/>
      <c r="D35" s="35"/>
      <c r="E35" s="36"/>
      <c r="F35" s="2"/>
    </row>
    <row r="36" spans="1:9" ht="16.5" customHeight="1" x14ac:dyDescent="0.3">
      <c r="A36" s="9"/>
      <c r="B36" s="99" t="s">
        <v>119</v>
      </c>
      <c r="C36" s="35"/>
      <c r="D36" s="35"/>
      <c r="E36" s="35"/>
    </row>
    <row r="37" spans="1:9" s="40" customFormat="1" ht="16.5" customHeight="1" x14ac:dyDescent="0.3">
      <c r="A37" s="71"/>
      <c r="B37" s="99" t="s">
        <v>120</v>
      </c>
      <c r="C37" s="36"/>
      <c r="D37" s="36"/>
      <c r="E37" s="36"/>
      <c r="F37" s="94"/>
      <c r="G37" s="94"/>
      <c r="H37" s="94"/>
      <c r="I37" s="94"/>
    </row>
    <row r="38" spans="1:9" ht="15.75" customHeight="1" x14ac:dyDescent="0.25">
      <c r="A38" s="8"/>
      <c r="B38" s="8"/>
      <c r="C38" s="8"/>
      <c r="D38" s="8"/>
      <c r="E38" s="8"/>
    </row>
    <row r="39" spans="1:9" ht="16.5" customHeight="1" x14ac:dyDescent="0.3">
      <c r="A39" s="5" t="s">
        <v>1</v>
      </c>
      <c r="B39" s="96" t="s">
        <v>115</v>
      </c>
    </row>
    <row r="40" spans="1:9" ht="16.5" customHeight="1" x14ac:dyDescent="0.3">
      <c r="A40" s="9" t="s">
        <v>3</v>
      </c>
      <c r="B40" s="97" t="s">
        <v>112</v>
      </c>
      <c r="C40" s="8"/>
      <c r="D40" s="8"/>
      <c r="E40" s="8"/>
    </row>
    <row r="41" spans="1:9" ht="16.5" customHeight="1" x14ac:dyDescent="0.3">
      <c r="A41" s="9" t="s">
        <v>5</v>
      </c>
      <c r="B41" s="10">
        <v>98.9</v>
      </c>
      <c r="C41" s="8"/>
      <c r="D41" s="8"/>
      <c r="E41" s="8"/>
    </row>
    <row r="42" spans="1:9" ht="16.5" customHeight="1" x14ac:dyDescent="0.3">
      <c r="A42" s="6" t="s">
        <v>7</v>
      </c>
      <c r="B42" s="10">
        <v>83.85</v>
      </c>
      <c r="C42" s="8"/>
      <c r="D42" s="8"/>
      <c r="E42" s="8"/>
    </row>
    <row r="43" spans="1:9" ht="16.5" customHeight="1" x14ac:dyDescent="0.3">
      <c r="A43" s="6" t="s">
        <v>9</v>
      </c>
      <c r="B43" s="11">
        <f>B42/50*5/100</f>
        <v>8.3849999999999994E-2</v>
      </c>
      <c r="C43" s="8"/>
      <c r="D43" s="8"/>
      <c r="E43" s="8"/>
    </row>
    <row r="44" spans="1:9" ht="15.75" customHeight="1" x14ac:dyDescent="0.25">
      <c r="A44" s="8"/>
      <c r="B44" s="8"/>
      <c r="C44" s="8"/>
      <c r="D44" s="8"/>
      <c r="E44" s="8"/>
    </row>
    <row r="45" spans="1:9" ht="16.5" customHeight="1" x14ac:dyDescent="0.3">
      <c r="A45" s="12" t="s">
        <v>12</v>
      </c>
      <c r="B45" s="13" t="s">
        <v>13</v>
      </c>
      <c r="C45" s="12" t="s">
        <v>14</v>
      </c>
      <c r="D45" s="12" t="s">
        <v>15</v>
      </c>
      <c r="E45" s="14" t="s">
        <v>16</v>
      </c>
      <c r="F45" s="434" t="s">
        <v>137</v>
      </c>
    </row>
    <row r="46" spans="1:9" ht="16.5" customHeight="1" x14ac:dyDescent="0.3">
      <c r="A46" s="15">
        <v>1</v>
      </c>
      <c r="B46" s="16">
        <v>42649135</v>
      </c>
      <c r="C46" s="16">
        <v>7340</v>
      </c>
      <c r="D46" s="17">
        <v>1.06</v>
      </c>
      <c r="E46" s="18">
        <v>8.25</v>
      </c>
      <c r="F46" s="435">
        <v>3.41</v>
      </c>
    </row>
    <row r="47" spans="1:9" ht="16.5" customHeight="1" x14ac:dyDescent="0.3">
      <c r="A47" s="15">
        <v>2</v>
      </c>
      <c r="B47" s="16">
        <v>42757443</v>
      </c>
      <c r="C47" s="16">
        <v>7337</v>
      </c>
      <c r="D47" s="17">
        <v>1.07</v>
      </c>
      <c r="E47" s="17">
        <v>8.25</v>
      </c>
      <c r="F47" s="436">
        <v>3.42</v>
      </c>
    </row>
    <row r="48" spans="1:9" ht="16.5" customHeight="1" x14ac:dyDescent="0.3">
      <c r="A48" s="15">
        <v>3</v>
      </c>
      <c r="B48" s="16">
        <v>42664537</v>
      </c>
      <c r="C48" s="16">
        <v>7368</v>
      </c>
      <c r="D48" s="17">
        <v>1.07</v>
      </c>
      <c r="E48" s="17">
        <v>8.26</v>
      </c>
      <c r="F48" s="436">
        <v>3.41</v>
      </c>
    </row>
    <row r="49" spans="1:9" ht="16.5" customHeight="1" x14ac:dyDescent="0.3">
      <c r="A49" s="15">
        <v>4</v>
      </c>
      <c r="B49" s="16">
        <v>42597829</v>
      </c>
      <c r="C49" s="16">
        <v>7401</v>
      </c>
      <c r="D49" s="17">
        <v>1.05</v>
      </c>
      <c r="E49" s="17">
        <v>8.27</v>
      </c>
      <c r="F49" s="436">
        <v>3.43</v>
      </c>
    </row>
    <row r="50" spans="1:9" ht="16.5" customHeight="1" x14ac:dyDescent="0.3">
      <c r="A50" s="15">
        <v>5</v>
      </c>
      <c r="B50" s="16">
        <v>42630856</v>
      </c>
      <c r="C50" s="16">
        <v>7382</v>
      </c>
      <c r="D50" s="17">
        <v>1.06</v>
      </c>
      <c r="E50" s="17">
        <v>8.3000000000000007</v>
      </c>
      <c r="F50" s="436">
        <v>3.43</v>
      </c>
    </row>
    <row r="51" spans="1:9" ht="16.5" customHeight="1" x14ac:dyDescent="0.3">
      <c r="A51" s="15">
        <v>6</v>
      </c>
      <c r="B51" s="19">
        <v>42356694</v>
      </c>
      <c r="C51" s="19">
        <v>7337</v>
      </c>
      <c r="D51" s="20">
        <v>1.06</v>
      </c>
      <c r="E51" s="20">
        <v>8.27</v>
      </c>
      <c r="F51" s="437">
        <v>3.41</v>
      </c>
    </row>
    <row r="52" spans="1:9" ht="16.5" customHeight="1" x14ac:dyDescent="0.3">
      <c r="A52" s="21" t="s">
        <v>17</v>
      </c>
      <c r="B52" s="22">
        <f>AVERAGE(B46:B51)</f>
        <v>42609415.666666664</v>
      </c>
      <c r="C52" s="23">
        <f>AVERAGE(C46:C51)</f>
        <v>7360.833333333333</v>
      </c>
      <c r="D52" s="24">
        <f>AVERAGE(D46:D51)</f>
        <v>1.0616666666666668</v>
      </c>
      <c r="E52" s="24">
        <f>AVERAGE(E46:E51)</f>
        <v>8.2666666666666657</v>
      </c>
      <c r="F52" s="438">
        <f>AVERAGE(F46:F51)</f>
        <v>3.4183333333333334</v>
      </c>
    </row>
    <row r="53" spans="1:9" ht="16.5" customHeight="1" x14ac:dyDescent="0.3">
      <c r="A53" s="25" t="s">
        <v>18</v>
      </c>
      <c r="B53" s="26">
        <f>(STDEV(B46:B51)/B52)</f>
        <v>3.1659705235788822E-3</v>
      </c>
      <c r="C53" s="27"/>
      <c r="D53" s="27"/>
      <c r="E53" s="28"/>
      <c r="F53" s="439"/>
    </row>
    <row r="54" spans="1:9" s="2" customFormat="1" ht="16.5" customHeight="1" x14ac:dyDescent="0.3">
      <c r="A54" s="29" t="s">
        <v>19</v>
      </c>
      <c r="B54" s="30">
        <f>COUNT(B46:B51)</f>
        <v>6</v>
      </c>
      <c r="C54" s="31"/>
      <c r="D54" s="32"/>
      <c r="E54" s="33"/>
      <c r="F54" s="440"/>
    </row>
    <row r="55" spans="1:9" s="2" customFormat="1" ht="15.75" customHeight="1" x14ac:dyDescent="0.25">
      <c r="A55" s="8"/>
      <c r="B55" s="8"/>
      <c r="C55" s="8"/>
      <c r="D55" s="8"/>
      <c r="E55" s="34"/>
    </row>
    <row r="56" spans="1:9" s="2" customFormat="1" ht="16.5" customHeight="1" x14ac:dyDescent="0.3">
      <c r="A56" s="9" t="s">
        <v>20</v>
      </c>
      <c r="B56" s="99" t="s">
        <v>121</v>
      </c>
      <c r="C56" s="35"/>
      <c r="D56" s="35"/>
      <c r="E56" s="36"/>
    </row>
    <row r="57" spans="1:9" ht="16.5" customHeight="1" x14ac:dyDescent="0.3">
      <c r="A57" s="9"/>
      <c r="B57" s="99" t="s">
        <v>118</v>
      </c>
      <c r="C57" s="35"/>
      <c r="D57" s="35"/>
      <c r="E57" s="36"/>
      <c r="F57" s="2"/>
    </row>
    <row r="58" spans="1:9" ht="16.5" customHeight="1" x14ac:dyDescent="0.3">
      <c r="A58" s="9"/>
      <c r="B58" s="99" t="s">
        <v>119</v>
      </c>
      <c r="C58" s="35"/>
      <c r="D58" s="36"/>
      <c r="E58" s="35"/>
    </row>
    <row r="59" spans="1:9" s="40" customFormat="1" ht="16.5" customHeight="1" x14ac:dyDescent="0.3">
      <c r="A59" s="71"/>
      <c r="B59" s="99" t="s">
        <v>120</v>
      </c>
      <c r="C59" s="36"/>
      <c r="D59" s="36"/>
      <c r="E59" s="36"/>
      <c r="F59" s="94"/>
      <c r="G59" s="94"/>
      <c r="H59" s="94"/>
      <c r="I59" s="94"/>
    </row>
    <row r="60" spans="1:9" ht="14.25" customHeight="1" x14ac:dyDescent="0.25">
      <c r="A60" s="37"/>
      <c r="B60" s="38"/>
      <c r="D60" s="39"/>
      <c r="F60" s="40"/>
      <c r="G60" s="40"/>
    </row>
    <row r="61" spans="1:9" ht="15" customHeight="1" x14ac:dyDescent="0.3">
      <c r="B61" s="390" t="s">
        <v>21</v>
      </c>
      <c r="C61" s="390"/>
      <c r="E61" s="41" t="s">
        <v>22</v>
      </c>
      <c r="F61" s="42"/>
      <c r="G61" s="41" t="s">
        <v>23</v>
      </c>
    </row>
    <row r="62" spans="1:9" ht="15" customHeight="1" x14ac:dyDescent="0.3">
      <c r="A62" s="43" t="s">
        <v>24</v>
      </c>
      <c r="B62" s="98" t="s">
        <v>116</v>
      </c>
      <c r="C62" s="44"/>
      <c r="E62" s="44"/>
      <c r="F62" s="2"/>
      <c r="G62" s="45"/>
    </row>
    <row r="63" spans="1:9" ht="15" customHeight="1" x14ac:dyDescent="0.3">
      <c r="A63" s="43" t="s">
        <v>25</v>
      </c>
      <c r="B63" s="46"/>
      <c r="C63" s="46"/>
      <c r="E63" s="46"/>
      <c r="F63" s="2"/>
      <c r="G63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1:C61"/>
  </mergeCells>
  <pageMargins left="0.7" right="0.7" top="0.75" bottom="0.75" header="0.3" footer="0.3"/>
  <pageSetup scale="63" orientation="landscape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94" t="s">
        <v>26</v>
      </c>
      <c r="B11" s="395"/>
      <c r="C11" s="395"/>
      <c r="D11" s="395"/>
      <c r="E11" s="395"/>
      <c r="F11" s="396"/>
      <c r="G11" s="87"/>
    </row>
    <row r="12" spans="1:7" ht="16.5" customHeight="1" x14ac:dyDescent="0.3">
      <c r="A12" s="393" t="s">
        <v>27</v>
      </c>
      <c r="B12" s="393"/>
      <c r="C12" s="393"/>
      <c r="D12" s="393"/>
      <c r="E12" s="393"/>
      <c r="F12" s="393"/>
      <c r="G12" s="86"/>
    </row>
    <row r="14" spans="1:7" ht="16.5" customHeight="1" x14ac:dyDescent="0.3">
      <c r="A14" s="398" t="s">
        <v>28</v>
      </c>
      <c r="B14" s="398"/>
      <c r="C14" s="56" t="s">
        <v>4</v>
      </c>
    </row>
    <row r="15" spans="1:7" ht="16.5" customHeight="1" x14ac:dyDescent="0.3">
      <c r="A15" s="398" t="s">
        <v>29</v>
      </c>
      <c r="B15" s="398"/>
      <c r="C15" s="56" t="s">
        <v>6</v>
      </c>
    </row>
    <row r="16" spans="1:7" ht="16.5" customHeight="1" x14ac:dyDescent="0.3">
      <c r="A16" s="398" t="s">
        <v>30</v>
      </c>
      <c r="B16" s="398"/>
      <c r="C16" s="56" t="s">
        <v>8</v>
      </c>
    </row>
    <row r="17" spans="1:5" ht="16.5" customHeight="1" x14ac:dyDescent="0.3">
      <c r="A17" s="398" t="s">
        <v>31</v>
      </c>
      <c r="B17" s="398"/>
      <c r="C17" s="56" t="s">
        <v>10</v>
      </c>
    </row>
    <row r="18" spans="1:5" ht="16.5" customHeight="1" x14ac:dyDescent="0.3">
      <c r="A18" s="398" t="s">
        <v>32</v>
      </c>
      <c r="B18" s="398"/>
      <c r="C18" s="93" t="s">
        <v>11</v>
      </c>
    </row>
    <row r="19" spans="1:5" ht="16.5" customHeight="1" x14ac:dyDescent="0.3">
      <c r="A19" s="398" t="s">
        <v>33</v>
      </c>
      <c r="B19" s="398"/>
      <c r="C19" s="93" t="e">
        <f>#REF!</f>
        <v>#REF!</v>
      </c>
    </row>
    <row r="20" spans="1:5" ht="16.5" customHeight="1" x14ac:dyDescent="0.3">
      <c r="A20" s="58"/>
      <c r="B20" s="58"/>
      <c r="C20" s="73"/>
    </row>
    <row r="21" spans="1:5" ht="16.5" customHeight="1" x14ac:dyDescent="0.3">
      <c r="A21" s="393" t="s">
        <v>1</v>
      </c>
      <c r="B21" s="393"/>
      <c r="C21" s="55" t="s">
        <v>34</v>
      </c>
      <c r="D21" s="62"/>
    </row>
    <row r="22" spans="1:5" ht="15.75" customHeight="1" x14ac:dyDescent="0.3">
      <c r="A22" s="397"/>
      <c r="B22" s="397"/>
      <c r="C22" s="53"/>
      <c r="D22" s="397"/>
      <c r="E22" s="397"/>
    </row>
    <row r="23" spans="1:5" ht="33.75" customHeight="1" x14ac:dyDescent="0.3">
      <c r="C23" s="82" t="s">
        <v>35</v>
      </c>
      <c r="D23" s="81" t="s">
        <v>36</v>
      </c>
      <c r="E23" s="48"/>
    </row>
    <row r="24" spans="1:5" ht="15.75" customHeight="1" x14ac:dyDescent="0.3">
      <c r="C24" s="91">
        <v>1259.7</v>
      </c>
      <c r="D24" s="83">
        <f t="shared" ref="D24:D43" si="0">(C24-$C$46)/$C$46</f>
        <v>2.782189212747832E-3</v>
      </c>
      <c r="E24" s="49"/>
    </row>
    <row r="25" spans="1:5" ht="15.75" customHeight="1" x14ac:dyDescent="0.3">
      <c r="C25" s="91">
        <v>1260</v>
      </c>
      <c r="D25" s="84">
        <f t="shared" si="0"/>
        <v>3.0210037374471879E-3</v>
      </c>
      <c r="E25" s="49"/>
    </row>
    <row r="26" spans="1:5" ht="15.75" customHeight="1" x14ac:dyDescent="0.3">
      <c r="C26" s="91">
        <v>1214.9000000000001</v>
      </c>
      <c r="D26" s="84">
        <f t="shared" si="0"/>
        <v>-3.2880779809028031E-2</v>
      </c>
      <c r="E26" s="49"/>
    </row>
    <row r="27" spans="1:5" ht="15.75" customHeight="1" x14ac:dyDescent="0.3">
      <c r="C27" s="91">
        <v>1258.9000000000001</v>
      </c>
      <c r="D27" s="84">
        <f t="shared" si="0"/>
        <v>2.1453504802161558E-3</v>
      </c>
      <c r="E27" s="49"/>
    </row>
    <row r="28" spans="1:5" ht="15.75" customHeight="1" x14ac:dyDescent="0.3">
      <c r="C28" s="91">
        <v>1272.5</v>
      </c>
      <c r="D28" s="84">
        <f t="shared" si="0"/>
        <v>1.2971608933255196E-2</v>
      </c>
      <c r="E28" s="49"/>
    </row>
    <row r="29" spans="1:5" ht="15.75" customHeight="1" x14ac:dyDescent="0.3">
      <c r="C29" s="91">
        <v>1224.2</v>
      </c>
      <c r="D29" s="84">
        <f t="shared" si="0"/>
        <v>-2.5477529543346911E-2</v>
      </c>
      <c r="E29" s="49"/>
    </row>
    <row r="30" spans="1:5" ht="15.75" customHeight="1" x14ac:dyDescent="0.3">
      <c r="C30" s="91">
        <v>1284.7</v>
      </c>
      <c r="D30" s="84">
        <f t="shared" si="0"/>
        <v>2.2683399604363847E-2</v>
      </c>
      <c r="E30" s="49"/>
    </row>
    <row r="31" spans="1:5" ht="15.75" customHeight="1" x14ac:dyDescent="0.3">
      <c r="C31" s="91">
        <v>1234.0999999999999</v>
      </c>
      <c r="D31" s="84">
        <f t="shared" si="0"/>
        <v>-1.7596650228267077E-2</v>
      </c>
      <c r="E31" s="49"/>
    </row>
    <row r="32" spans="1:5" ht="15.75" customHeight="1" x14ac:dyDescent="0.3">
      <c r="C32" s="91">
        <v>1265.7</v>
      </c>
      <c r="D32" s="84">
        <f t="shared" si="0"/>
        <v>7.558479706735676E-3</v>
      </c>
      <c r="E32" s="49"/>
    </row>
    <row r="33" spans="1:7" ht="15.75" customHeight="1" x14ac:dyDescent="0.3">
      <c r="C33" s="91">
        <v>1265.8</v>
      </c>
      <c r="D33" s="84">
        <f t="shared" si="0"/>
        <v>7.6380845483020677E-3</v>
      </c>
      <c r="E33" s="49"/>
    </row>
    <row r="34" spans="1:7" ht="15.75" customHeight="1" x14ac:dyDescent="0.3">
      <c r="C34" s="91">
        <v>1252.2</v>
      </c>
      <c r="D34" s="84">
        <f t="shared" si="0"/>
        <v>-3.1881739047369727E-3</v>
      </c>
      <c r="E34" s="49"/>
    </row>
    <row r="35" spans="1:7" ht="15.75" customHeight="1" x14ac:dyDescent="0.3">
      <c r="C35" s="91">
        <v>1240.4000000000001</v>
      </c>
      <c r="D35" s="84">
        <f t="shared" si="0"/>
        <v>-1.2581545209579695E-2</v>
      </c>
      <c r="E35" s="49"/>
    </row>
    <row r="36" spans="1:7" ht="15.75" customHeight="1" x14ac:dyDescent="0.3">
      <c r="C36" s="91">
        <v>1240.7</v>
      </c>
      <c r="D36" s="84">
        <f t="shared" si="0"/>
        <v>-1.234273068488034E-2</v>
      </c>
      <c r="E36" s="49"/>
    </row>
    <row r="37" spans="1:7" ht="15.75" customHeight="1" x14ac:dyDescent="0.3">
      <c r="C37" s="91">
        <v>1261.9000000000001</v>
      </c>
      <c r="D37" s="84">
        <f t="shared" si="0"/>
        <v>4.533495727210078E-3</v>
      </c>
      <c r="E37" s="49"/>
    </row>
    <row r="38" spans="1:7" ht="15.75" customHeight="1" x14ac:dyDescent="0.3">
      <c r="C38" s="91">
        <v>1255</v>
      </c>
      <c r="D38" s="84">
        <f t="shared" si="0"/>
        <v>-9.5923834087601508E-4</v>
      </c>
      <c r="E38" s="49"/>
    </row>
    <row r="39" spans="1:7" ht="15.75" customHeight="1" x14ac:dyDescent="0.3">
      <c r="C39" s="91">
        <v>1272.0999999999999</v>
      </c>
      <c r="D39" s="84">
        <f t="shared" si="0"/>
        <v>1.2653189566989267E-2</v>
      </c>
      <c r="E39" s="49"/>
    </row>
    <row r="40" spans="1:7" ht="15.75" customHeight="1" x14ac:dyDescent="0.3">
      <c r="C40" s="91">
        <v>1256.9000000000001</v>
      </c>
      <c r="D40" s="84">
        <f t="shared" si="0"/>
        <v>5.5325364888687454E-4</v>
      </c>
      <c r="E40" s="49"/>
    </row>
    <row r="41" spans="1:7" ht="15.75" customHeight="1" x14ac:dyDescent="0.3">
      <c r="C41" s="91">
        <v>1262.7</v>
      </c>
      <c r="D41" s="84">
        <f t="shared" si="0"/>
        <v>5.1703344597417537E-3</v>
      </c>
      <c r="E41" s="49"/>
    </row>
    <row r="42" spans="1:7" ht="15.75" customHeight="1" x14ac:dyDescent="0.3">
      <c r="C42" s="91">
        <v>1280.9000000000001</v>
      </c>
      <c r="D42" s="84">
        <f t="shared" si="0"/>
        <v>1.9658415624838249E-2</v>
      </c>
      <c r="E42" s="49"/>
    </row>
    <row r="43" spans="1:7" ht="16.5" customHeight="1" x14ac:dyDescent="0.3">
      <c r="C43" s="92">
        <v>1260.8</v>
      </c>
      <c r="D43" s="85">
        <f t="shared" si="0"/>
        <v>3.6578424699788645E-3</v>
      </c>
      <c r="E43" s="49"/>
    </row>
    <row r="44" spans="1:7" ht="16.5" customHeight="1" x14ac:dyDescent="0.3">
      <c r="C44" s="50"/>
      <c r="D44" s="49"/>
      <c r="E44" s="51"/>
    </row>
    <row r="45" spans="1:7" ht="16.5" customHeight="1" x14ac:dyDescent="0.3">
      <c r="B45" s="78" t="s">
        <v>37</v>
      </c>
      <c r="C45" s="79">
        <f>SUM(C24:C44)</f>
        <v>25124.100000000002</v>
      </c>
      <c r="D45" s="74"/>
      <c r="E45" s="50"/>
    </row>
    <row r="46" spans="1:7" ht="17.25" customHeight="1" x14ac:dyDescent="0.3">
      <c r="B46" s="78" t="s">
        <v>38</v>
      </c>
      <c r="C46" s="80">
        <f>AVERAGE(C24:C44)</f>
        <v>1256.2050000000002</v>
      </c>
      <c r="E46" s="52"/>
    </row>
    <row r="47" spans="1:7" ht="17.25" customHeight="1" x14ac:dyDescent="0.3">
      <c r="A47" s="56"/>
      <c r="B47" s="75"/>
      <c r="D47" s="54"/>
      <c r="E47" s="52"/>
    </row>
    <row r="48" spans="1:7" ht="33.75" customHeight="1" x14ac:dyDescent="0.3">
      <c r="B48" s="88" t="s">
        <v>38</v>
      </c>
      <c r="C48" s="81" t="s">
        <v>39</v>
      </c>
      <c r="D48" s="76"/>
      <c r="G48" s="54"/>
    </row>
    <row r="49" spans="1:6" ht="17.25" customHeight="1" x14ac:dyDescent="0.3">
      <c r="B49" s="391">
        <f>C46</f>
        <v>1256.2050000000002</v>
      </c>
      <c r="C49" s="89">
        <f>-IF(C46&lt;=80,10%,IF(C46&lt;250,7.5%,5%))</f>
        <v>-0.05</v>
      </c>
      <c r="D49" s="77">
        <f>IF(C46&lt;=80,C46*0.9,IF(C46&lt;250,C46*0.925,C46*0.95))</f>
        <v>1193.3947500000002</v>
      </c>
    </row>
    <row r="50" spans="1:6" ht="17.25" customHeight="1" x14ac:dyDescent="0.3">
      <c r="B50" s="392"/>
      <c r="C50" s="90">
        <f>IF(C46&lt;=80, 10%, IF(C46&lt;250, 7.5%, 5%))</f>
        <v>0.05</v>
      </c>
      <c r="D50" s="77">
        <f>IF(C46&lt;=80, C46*1.1, IF(C46&lt;250, C46*1.075, C46*1.05))</f>
        <v>1319.0152500000002</v>
      </c>
    </row>
    <row r="51" spans="1:6" ht="16.5" customHeight="1" x14ac:dyDescent="0.3">
      <c r="A51" s="59"/>
      <c r="B51" s="60"/>
      <c r="C51" s="56"/>
      <c r="D51" s="61"/>
      <c r="E51" s="56"/>
      <c r="F51" s="62"/>
    </row>
    <row r="52" spans="1:6" ht="16.5" customHeight="1" x14ac:dyDescent="0.3">
      <c r="A52" s="56"/>
      <c r="B52" s="63" t="s">
        <v>21</v>
      </c>
      <c r="C52" s="63"/>
      <c r="D52" s="64" t="s">
        <v>22</v>
      </c>
      <c r="E52" s="65"/>
      <c r="F52" s="64" t="s">
        <v>23</v>
      </c>
    </row>
    <row r="53" spans="1:6" ht="34.5" customHeight="1" x14ac:dyDescent="0.3">
      <c r="A53" s="66" t="s">
        <v>24</v>
      </c>
      <c r="B53" s="67"/>
      <c r="C53" s="68"/>
      <c r="D53" s="67"/>
      <c r="E53" s="57"/>
      <c r="F53" s="69"/>
    </row>
    <row r="54" spans="1:6" ht="34.5" customHeight="1" x14ac:dyDescent="0.3">
      <c r="A54" s="66" t="s">
        <v>25</v>
      </c>
      <c r="B54" s="70"/>
      <c r="C54" s="71"/>
      <c r="D54" s="70"/>
      <c r="E54" s="57"/>
      <c r="F54" s="72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4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33" zoomScale="55" zoomScaleNormal="75" workbookViewId="0">
      <selection activeCell="C28" sqref="C28"/>
    </sheetView>
  </sheetViews>
  <sheetFormatPr defaultRowHeight="16.5" x14ac:dyDescent="0.3"/>
  <cols>
    <col min="1" max="1" width="55.42578125" style="101" customWidth="1"/>
    <col min="2" max="2" width="33.7109375" style="101" customWidth="1"/>
    <col min="3" max="3" width="42.28515625" style="101" customWidth="1"/>
    <col min="4" max="4" width="30.5703125" style="101" customWidth="1"/>
    <col min="5" max="5" width="39.85546875" style="101" customWidth="1"/>
    <col min="6" max="6" width="30.7109375" style="101" customWidth="1"/>
    <col min="7" max="7" width="36.42578125" style="101" customWidth="1"/>
    <col min="8" max="8" width="41.140625" style="101" customWidth="1"/>
    <col min="9" max="9" width="30.42578125" style="100" customWidth="1"/>
    <col min="10" max="10" width="21.28515625" style="100" customWidth="1"/>
    <col min="11" max="11" width="9.140625" style="100" customWidth="1"/>
    <col min="12" max="16384" width="9.140625" style="102"/>
  </cols>
  <sheetData>
    <row r="1" spans="1:8" ht="15" x14ac:dyDescent="0.3">
      <c r="A1" s="425" t="s">
        <v>40</v>
      </c>
      <c r="B1" s="425"/>
      <c r="C1" s="425"/>
      <c r="D1" s="425"/>
      <c r="E1" s="425"/>
      <c r="F1" s="425"/>
      <c r="G1" s="425"/>
      <c r="H1" s="425"/>
    </row>
    <row r="2" spans="1:8" ht="15" x14ac:dyDescent="0.3">
      <c r="A2" s="425"/>
      <c r="B2" s="425"/>
      <c r="C2" s="425"/>
      <c r="D2" s="425"/>
      <c r="E2" s="425"/>
      <c r="F2" s="425"/>
      <c r="G2" s="425"/>
      <c r="H2" s="425"/>
    </row>
    <row r="3" spans="1:8" ht="15" x14ac:dyDescent="0.3">
      <c r="A3" s="425"/>
      <c r="B3" s="425"/>
      <c r="C3" s="425"/>
      <c r="D3" s="425"/>
      <c r="E3" s="425"/>
      <c r="F3" s="425"/>
      <c r="G3" s="425"/>
      <c r="H3" s="425"/>
    </row>
    <row r="4" spans="1:8" ht="15" x14ac:dyDescent="0.3">
      <c r="A4" s="425"/>
      <c r="B4" s="425"/>
      <c r="C4" s="425"/>
      <c r="D4" s="425"/>
      <c r="E4" s="425"/>
      <c r="F4" s="425"/>
      <c r="G4" s="425"/>
      <c r="H4" s="425"/>
    </row>
    <row r="5" spans="1:8" ht="15" x14ac:dyDescent="0.3">
      <c r="A5" s="425"/>
      <c r="B5" s="425"/>
      <c r="C5" s="425"/>
      <c r="D5" s="425"/>
      <c r="E5" s="425"/>
      <c r="F5" s="425"/>
      <c r="G5" s="425"/>
      <c r="H5" s="425"/>
    </row>
    <row r="6" spans="1:8" ht="15" x14ac:dyDescent="0.3">
      <c r="A6" s="425"/>
      <c r="B6" s="425"/>
      <c r="C6" s="425"/>
      <c r="D6" s="425"/>
      <c r="E6" s="425"/>
      <c r="F6" s="425"/>
      <c r="G6" s="425"/>
      <c r="H6" s="425"/>
    </row>
    <row r="7" spans="1:8" ht="15" x14ac:dyDescent="0.3">
      <c r="A7" s="425"/>
      <c r="B7" s="425"/>
      <c r="C7" s="425"/>
      <c r="D7" s="425"/>
      <c r="E7" s="425"/>
      <c r="F7" s="425"/>
      <c r="G7" s="425"/>
      <c r="H7" s="425"/>
    </row>
    <row r="8" spans="1:8" ht="15" x14ac:dyDescent="0.3">
      <c r="A8" s="426" t="s">
        <v>41</v>
      </c>
      <c r="B8" s="426"/>
      <c r="C8" s="426"/>
      <c r="D8" s="426"/>
      <c r="E8" s="426"/>
      <c r="F8" s="426"/>
      <c r="G8" s="426"/>
      <c r="H8" s="426"/>
    </row>
    <row r="9" spans="1:8" ht="15" x14ac:dyDescent="0.3">
      <c r="A9" s="426"/>
      <c r="B9" s="426"/>
      <c r="C9" s="426"/>
      <c r="D9" s="426"/>
      <c r="E9" s="426"/>
      <c r="F9" s="426"/>
      <c r="G9" s="426"/>
      <c r="H9" s="426"/>
    </row>
    <row r="10" spans="1:8" ht="15" x14ac:dyDescent="0.3">
      <c r="A10" s="426"/>
      <c r="B10" s="426"/>
      <c r="C10" s="426"/>
      <c r="D10" s="426"/>
      <c r="E10" s="426"/>
      <c r="F10" s="426"/>
      <c r="G10" s="426"/>
      <c r="H10" s="426"/>
    </row>
    <row r="11" spans="1:8" ht="15" x14ac:dyDescent="0.3">
      <c r="A11" s="426"/>
      <c r="B11" s="426"/>
      <c r="C11" s="426"/>
      <c r="D11" s="426"/>
      <c r="E11" s="426"/>
      <c r="F11" s="426"/>
      <c r="G11" s="426"/>
      <c r="H11" s="426"/>
    </row>
    <row r="12" spans="1:8" ht="15" x14ac:dyDescent="0.3">
      <c r="A12" s="426"/>
      <c r="B12" s="426"/>
      <c r="C12" s="426"/>
      <c r="D12" s="426"/>
      <c r="E12" s="426"/>
      <c r="F12" s="426"/>
      <c r="G12" s="426"/>
      <c r="H12" s="426"/>
    </row>
    <row r="13" spans="1:8" ht="15" x14ac:dyDescent="0.3">
      <c r="A13" s="426"/>
      <c r="B13" s="426"/>
      <c r="C13" s="426"/>
      <c r="D13" s="426"/>
      <c r="E13" s="426"/>
      <c r="F13" s="426"/>
      <c r="G13" s="426"/>
      <c r="H13" s="426"/>
    </row>
    <row r="14" spans="1:8" ht="15" x14ac:dyDescent="0.3">
      <c r="A14" s="426"/>
      <c r="B14" s="426"/>
      <c r="C14" s="426"/>
      <c r="D14" s="426"/>
      <c r="E14" s="426"/>
      <c r="F14" s="426"/>
      <c r="G14" s="426"/>
      <c r="H14" s="426"/>
    </row>
    <row r="15" spans="1:8" ht="19.5" customHeight="1" thickBot="1" x14ac:dyDescent="0.35"/>
    <row r="16" spans="1:8" ht="19.5" customHeight="1" thickBot="1" x14ac:dyDescent="0.35">
      <c r="A16" s="427" t="s">
        <v>26</v>
      </c>
      <c r="B16" s="428"/>
      <c r="C16" s="428"/>
      <c r="D16" s="428"/>
      <c r="E16" s="428"/>
      <c r="F16" s="428"/>
      <c r="G16" s="428"/>
      <c r="H16" s="429"/>
    </row>
    <row r="17" spans="1:13" ht="20.25" customHeight="1" x14ac:dyDescent="0.3">
      <c r="A17" s="430" t="s">
        <v>42</v>
      </c>
      <c r="B17" s="430"/>
      <c r="C17" s="430"/>
      <c r="D17" s="430"/>
      <c r="E17" s="430"/>
      <c r="F17" s="430"/>
      <c r="G17" s="430"/>
      <c r="H17" s="430"/>
    </row>
    <row r="18" spans="1:13" ht="26.25" customHeight="1" x14ac:dyDescent="0.3">
      <c r="A18" s="103" t="s">
        <v>28</v>
      </c>
      <c r="B18" s="417" t="s">
        <v>4</v>
      </c>
      <c r="C18" s="417"/>
      <c r="D18" s="104"/>
      <c r="E18" s="104"/>
    </row>
    <row r="19" spans="1:13" ht="26.25" customHeight="1" x14ac:dyDescent="0.3">
      <c r="A19" s="103" t="s">
        <v>29</v>
      </c>
      <c r="B19" s="105" t="s">
        <v>6</v>
      </c>
      <c r="C19" s="106">
        <v>11</v>
      </c>
    </row>
    <row r="20" spans="1:13" ht="26.25" customHeight="1" x14ac:dyDescent="0.3">
      <c r="A20" s="103" t="s">
        <v>30</v>
      </c>
      <c r="B20" s="105" t="s">
        <v>112</v>
      </c>
    </row>
    <row r="21" spans="1:13" ht="26.25" customHeight="1" x14ac:dyDescent="0.4">
      <c r="A21" s="103" t="s">
        <v>31</v>
      </c>
      <c r="B21" s="431" t="s">
        <v>10</v>
      </c>
      <c r="C21" s="431"/>
      <c r="D21" s="431"/>
      <c r="E21" s="431"/>
      <c r="F21" s="431"/>
      <c r="G21" s="431"/>
      <c r="H21" s="431"/>
    </row>
    <row r="22" spans="1:13" ht="26.25" customHeight="1" x14ac:dyDescent="0.3">
      <c r="A22" s="103" t="s">
        <v>32</v>
      </c>
      <c r="B22" s="109"/>
    </row>
    <row r="23" spans="1:13" ht="26.25" customHeight="1" x14ac:dyDescent="0.3">
      <c r="A23" s="103" t="s">
        <v>33</v>
      </c>
      <c r="B23" s="109"/>
    </row>
    <row r="24" spans="1:13" ht="18.75" x14ac:dyDescent="0.3">
      <c r="A24" s="103"/>
      <c r="B24" s="110"/>
    </row>
    <row r="25" spans="1:13" ht="18.75" x14ac:dyDescent="0.3">
      <c r="A25" s="111" t="s">
        <v>1</v>
      </c>
      <c r="B25" s="110"/>
    </row>
    <row r="26" spans="1:13" ht="26.25" customHeight="1" x14ac:dyDescent="0.3">
      <c r="A26" s="112" t="s">
        <v>3</v>
      </c>
      <c r="B26" s="417" t="s">
        <v>112</v>
      </c>
      <c r="C26" s="417"/>
    </row>
    <row r="27" spans="1:13" ht="26.25" customHeight="1" x14ac:dyDescent="0.3">
      <c r="A27" s="113" t="s">
        <v>43</v>
      </c>
      <c r="B27" s="418" t="s">
        <v>113</v>
      </c>
      <c r="C27" s="418"/>
    </row>
    <row r="28" spans="1:13" ht="27" customHeight="1" thickBot="1" x14ac:dyDescent="0.35">
      <c r="A28" s="113" t="s">
        <v>5</v>
      </c>
      <c r="B28" s="114">
        <v>98.9</v>
      </c>
      <c r="C28" s="101" t="s">
        <v>138</v>
      </c>
    </row>
    <row r="29" spans="1:13" s="118" customFormat="1" ht="15.75" customHeight="1" thickBot="1" x14ac:dyDescent="0.3">
      <c r="A29" s="113" t="s">
        <v>44</v>
      </c>
      <c r="B29" s="115">
        <v>0</v>
      </c>
      <c r="C29" s="411" t="s">
        <v>123</v>
      </c>
      <c r="D29" s="412"/>
      <c r="E29" s="412"/>
      <c r="F29" s="412"/>
      <c r="G29" s="413"/>
      <c r="H29" s="116"/>
      <c r="I29" s="117"/>
      <c r="J29" s="117"/>
      <c r="K29" s="117"/>
    </row>
    <row r="30" spans="1:13" s="118" customFormat="1" ht="19.5" customHeight="1" thickBot="1" x14ac:dyDescent="0.3">
      <c r="A30" s="113" t="s">
        <v>46</v>
      </c>
      <c r="B30" s="119">
        <f>B28-B29</f>
        <v>98.9</v>
      </c>
      <c r="C30" s="120"/>
      <c r="D30" s="120"/>
      <c r="E30" s="120"/>
      <c r="F30" s="120"/>
      <c r="G30" s="121"/>
      <c r="H30" s="116"/>
      <c r="I30" s="117"/>
      <c r="J30" s="117"/>
      <c r="K30" s="117"/>
    </row>
    <row r="31" spans="1:13" s="118" customFormat="1" ht="27" customHeight="1" thickBot="1" x14ac:dyDescent="0.3">
      <c r="A31" s="113" t="s">
        <v>47</v>
      </c>
      <c r="B31" s="122">
        <v>1</v>
      </c>
      <c r="C31" s="414" t="s">
        <v>48</v>
      </c>
      <c r="D31" s="415"/>
      <c r="E31" s="415"/>
      <c r="F31" s="415"/>
      <c r="G31" s="415"/>
      <c r="H31" s="416"/>
      <c r="I31" s="117"/>
      <c r="J31" s="117"/>
      <c r="K31" s="117"/>
    </row>
    <row r="32" spans="1:13" s="118" customFormat="1" ht="27" customHeight="1" thickBot="1" x14ac:dyDescent="0.3">
      <c r="A32" s="113" t="s">
        <v>49</v>
      </c>
      <c r="B32" s="122">
        <v>1</v>
      </c>
      <c r="C32" s="414" t="s">
        <v>50</v>
      </c>
      <c r="D32" s="415"/>
      <c r="E32" s="415"/>
      <c r="F32" s="415"/>
      <c r="G32" s="415"/>
      <c r="H32" s="416"/>
      <c r="I32" s="117"/>
      <c r="J32" s="117"/>
      <c r="K32" s="123"/>
      <c r="L32" s="123"/>
      <c r="M32" s="124"/>
    </row>
    <row r="33" spans="1:13" s="118" customFormat="1" ht="17.25" customHeight="1" x14ac:dyDescent="0.25">
      <c r="A33" s="113"/>
      <c r="B33" s="125"/>
      <c r="C33" s="126"/>
      <c r="D33" s="126"/>
      <c r="E33" s="126"/>
      <c r="F33" s="126"/>
      <c r="G33" s="126"/>
      <c r="H33" s="126"/>
      <c r="I33" s="117"/>
      <c r="J33" s="117"/>
      <c r="K33" s="123"/>
      <c r="L33" s="123"/>
      <c r="M33" s="124"/>
    </row>
    <row r="34" spans="1:13" s="118" customFormat="1" ht="18.75" x14ac:dyDescent="0.25">
      <c r="A34" s="113" t="s">
        <v>51</v>
      </c>
      <c r="B34" s="127">
        <f>B31/B32</f>
        <v>1</v>
      </c>
      <c r="C34" s="106" t="s">
        <v>52</v>
      </c>
      <c r="D34" s="106"/>
      <c r="E34" s="106"/>
      <c r="F34" s="106"/>
      <c r="G34" s="106"/>
      <c r="H34" s="116"/>
      <c r="I34" s="117"/>
      <c r="J34" s="117"/>
      <c r="K34" s="123"/>
      <c r="L34" s="123"/>
      <c r="M34" s="124"/>
    </row>
    <row r="35" spans="1:13" s="118" customFormat="1" ht="19.5" customHeight="1" thickBot="1" x14ac:dyDescent="0.3">
      <c r="A35" s="113"/>
      <c r="B35" s="119"/>
      <c r="C35" s="116"/>
      <c r="D35" s="116"/>
      <c r="E35" s="116"/>
      <c r="F35" s="116"/>
      <c r="G35" s="106"/>
      <c r="H35" s="116"/>
      <c r="I35" s="117"/>
      <c r="J35" s="117"/>
      <c r="K35" s="123"/>
      <c r="L35" s="123"/>
      <c r="M35" s="124"/>
    </row>
    <row r="36" spans="1:13" s="118" customFormat="1" ht="27" customHeight="1" thickBot="1" x14ac:dyDescent="0.3">
      <c r="A36" s="128" t="s">
        <v>124</v>
      </c>
      <c r="B36" s="129">
        <v>50</v>
      </c>
      <c r="C36" s="106"/>
      <c r="D36" s="409" t="s">
        <v>53</v>
      </c>
      <c r="E36" s="424"/>
      <c r="F36" s="409" t="s">
        <v>54</v>
      </c>
      <c r="G36" s="410"/>
      <c r="H36" s="116"/>
      <c r="I36" s="117"/>
      <c r="J36" s="117"/>
      <c r="K36" s="123"/>
      <c r="L36" s="123"/>
      <c r="M36" s="124"/>
    </row>
    <row r="37" spans="1:13" s="118" customFormat="1" ht="26.25" customHeight="1" x14ac:dyDescent="0.25">
      <c r="A37" s="130" t="s">
        <v>55</v>
      </c>
      <c r="B37" s="131">
        <v>5</v>
      </c>
      <c r="C37" s="132" t="s">
        <v>56</v>
      </c>
      <c r="D37" s="133" t="s">
        <v>57</v>
      </c>
      <c r="E37" s="134" t="s">
        <v>58</v>
      </c>
      <c r="F37" s="133" t="s">
        <v>57</v>
      </c>
      <c r="G37" s="135" t="s">
        <v>58</v>
      </c>
      <c r="H37" s="116"/>
      <c r="I37" s="117"/>
      <c r="J37" s="117"/>
      <c r="K37" s="123"/>
      <c r="L37" s="123"/>
      <c r="M37" s="124"/>
    </row>
    <row r="38" spans="1:13" s="118" customFormat="1" ht="26.25" customHeight="1" x14ac:dyDescent="0.25">
      <c r="A38" s="130" t="s">
        <v>59</v>
      </c>
      <c r="B38" s="131">
        <v>100</v>
      </c>
      <c r="C38" s="136">
        <v>1</v>
      </c>
      <c r="D38" s="137">
        <v>42685284</v>
      </c>
      <c r="E38" s="138">
        <f>IF(ISBLANK(D38),"-",$D$48/$D$45*D38)</f>
        <v>41178337.020282134</v>
      </c>
      <c r="F38" s="137">
        <v>42333710</v>
      </c>
      <c r="G38" s="139">
        <f>IF(ISBLANK(F38),"-",$D$48/$F$45*F38)</f>
        <v>40741996.58468014</v>
      </c>
      <c r="H38" s="116"/>
      <c r="I38" s="117"/>
      <c r="J38" s="117"/>
      <c r="K38" s="123"/>
      <c r="L38" s="123"/>
      <c r="M38" s="124"/>
    </row>
    <row r="39" spans="1:13" s="118" customFormat="1" ht="26.25" customHeight="1" x14ac:dyDescent="0.25">
      <c r="A39" s="130" t="s">
        <v>60</v>
      </c>
      <c r="B39" s="131">
        <v>1</v>
      </c>
      <c r="C39" s="140">
        <v>2</v>
      </c>
      <c r="D39" s="141">
        <v>42555454</v>
      </c>
      <c r="E39" s="142">
        <f>IF(ISBLANK(D39),"-",$D$48/$D$45*D39)</f>
        <v>41053090.49514848</v>
      </c>
      <c r="F39" s="141">
        <v>42341071</v>
      </c>
      <c r="G39" s="143">
        <f>IF(ISBLANK(F39),"-",$D$48/$F$45*F39)</f>
        <v>40749080.817006104</v>
      </c>
      <c r="H39" s="116"/>
      <c r="I39" s="117"/>
      <c r="J39" s="117"/>
      <c r="K39" s="123"/>
      <c r="L39" s="123"/>
      <c r="M39" s="124"/>
    </row>
    <row r="40" spans="1:13" ht="26.25" customHeight="1" x14ac:dyDescent="0.3">
      <c r="A40" s="130" t="s">
        <v>61</v>
      </c>
      <c r="B40" s="131">
        <v>1</v>
      </c>
      <c r="C40" s="140">
        <v>3</v>
      </c>
      <c r="D40" s="141">
        <v>42560679</v>
      </c>
      <c r="E40" s="142">
        <f>IF(ISBLANK(D40),"-",$D$48/$D$45*D40)</f>
        <v>41058131.033497266</v>
      </c>
      <c r="F40" s="141">
        <v>42404259</v>
      </c>
      <c r="G40" s="143">
        <f>IF(ISBLANK(F40),"-",$D$48/$F$45*F40)</f>
        <v>40809892.999075495</v>
      </c>
      <c r="K40" s="123"/>
      <c r="L40" s="123"/>
      <c r="M40" s="144"/>
    </row>
    <row r="41" spans="1:13" ht="26.25" customHeight="1" x14ac:dyDescent="0.3">
      <c r="A41" s="130" t="s">
        <v>62</v>
      </c>
      <c r="B41" s="131">
        <v>1</v>
      </c>
      <c r="C41" s="145">
        <v>4</v>
      </c>
      <c r="D41" s="146"/>
      <c r="E41" s="147" t="str">
        <f>IF(ISBLANK(D41),"-",$D$48/$D$45*D41)</f>
        <v>-</v>
      </c>
      <c r="F41" s="146"/>
      <c r="G41" s="148" t="str">
        <f>IF(ISBLANK(F41),"-",$D$48/$F$45*F41)</f>
        <v>-</v>
      </c>
      <c r="K41" s="123"/>
      <c r="L41" s="123"/>
      <c r="M41" s="144"/>
    </row>
    <row r="42" spans="1:13" ht="27" customHeight="1" thickBot="1" x14ac:dyDescent="0.35">
      <c r="A42" s="130" t="s">
        <v>63</v>
      </c>
      <c r="B42" s="131">
        <v>1</v>
      </c>
      <c r="C42" s="113" t="s">
        <v>64</v>
      </c>
      <c r="D42" s="149">
        <f>AVERAGE(D38:D41)</f>
        <v>42600472.333333336</v>
      </c>
      <c r="E42" s="150">
        <f>AVERAGE(E38:E41)</f>
        <v>41096519.516309291</v>
      </c>
      <c r="F42" s="151">
        <f>AVERAGE(F38:F41)</f>
        <v>42359680</v>
      </c>
      <c r="G42" s="152">
        <f>AVERAGE(G38:G41)</f>
        <v>40766990.133587249</v>
      </c>
      <c r="H42" s="153"/>
    </row>
    <row r="43" spans="1:13" ht="26.25" customHeight="1" x14ac:dyDescent="0.3">
      <c r="A43" s="130" t="s">
        <v>65</v>
      </c>
      <c r="B43" s="131">
        <v>1</v>
      </c>
      <c r="C43" s="154" t="s">
        <v>66</v>
      </c>
      <c r="D43" s="155">
        <v>83.85</v>
      </c>
      <c r="E43" s="106"/>
      <c r="F43" s="156">
        <v>84.05</v>
      </c>
      <c r="H43" s="153"/>
    </row>
    <row r="44" spans="1:13" ht="26.25" customHeight="1" x14ac:dyDescent="0.3">
      <c r="A44" s="130" t="s">
        <v>67</v>
      </c>
      <c r="B44" s="131">
        <v>1</v>
      </c>
      <c r="C44" s="157" t="s">
        <v>68</v>
      </c>
      <c r="D44" s="158">
        <f>D43*$B$34</f>
        <v>83.85</v>
      </c>
      <c r="E44" s="140"/>
      <c r="F44" s="159">
        <f>F43*$B$34</f>
        <v>84.05</v>
      </c>
      <c r="H44" s="153"/>
    </row>
    <row r="45" spans="1:13" ht="19.5" customHeight="1" thickBot="1" x14ac:dyDescent="0.35">
      <c r="A45" s="130" t="s">
        <v>69</v>
      </c>
      <c r="B45" s="160">
        <f>(B44/B43)*(B42/B41)*(B40/B39)*(B38/B37)*B36</f>
        <v>1000</v>
      </c>
      <c r="C45" s="157" t="s">
        <v>70</v>
      </c>
      <c r="D45" s="161">
        <f>D44*$B$30/100</f>
        <v>82.92765</v>
      </c>
      <c r="E45" s="162"/>
      <c r="F45" s="163">
        <f>F44*$B$30/100</f>
        <v>83.125450000000001</v>
      </c>
      <c r="H45" s="153"/>
    </row>
    <row r="46" spans="1:13" ht="19.5" customHeight="1" thickBot="1" x14ac:dyDescent="0.35">
      <c r="A46" s="401" t="s">
        <v>71</v>
      </c>
      <c r="B46" s="405"/>
      <c r="C46" s="157" t="s">
        <v>72</v>
      </c>
      <c r="D46" s="158">
        <f>D45/$B$45</f>
        <v>8.2927650000000006E-2</v>
      </c>
      <c r="E46" s="162"/>
      <c r="F46" s="164">
        <f>F45/$B$45</f>
        <v>8.3125450000000004E-2</v>
      </c>
      <c r="H46" s="153"/>
    </row>
    <row r="47" spans="1:13" ht="27" customHeight="1" thickBot="1" x14ac:dyDescent="0.35">
      <c r="A47" s="403"/>
      <c r="B47" s="406"/>
      <c r="C47" s="165" t="s">
        <v>125</v>
      </c>
      <c r="D47" s="166">
        <v>0.08</v>
      </c>
      <c r="F47" s="167"/>
      <c r="H47" s="153"/>
    </row>
    <row r="48" spans="1:13" ht="18.75" x14ac:dyDescent="0.3">
      <c r="C48" s="168" t="s">
        <v>73</v>
      </c>
      <c r="D48" s="161">
        <f>D47*$B$45</f>
        <v>80</v>
      </c>
      <c r="F48" s="167"/>
      <c r="H48" s="153"/>
    </row>
    <row r="49" spans="1:11" ht="19.5" customHeight="1" thickBot="1" x14ac:dyDescent="0.35">
      <c r="C49" s="169" t="s">
        <v>74</v>
      </c>
      <c r="D49" s="170">
        <f>D48/B34</f>
        <v>80</v>
      </c>
      <c r="F49" s="142"/>
      <c r="H49" s="153"/>
    </row>
    <row r="50" spans="1:11" ht="18.75" x14ac:dyDescent="0.3">
      <c r="C50" s="171" t="s">
        <v>75</v>
      </c>
      <c r="D50" s="172">
        <f>AVERAGE(E38:E41,G38:G41)</f>
        <v>40931754.824948274</v>
      </c>
      <c r="F50" s="142"/>
      <c r="H50" s="153"/>
    </row>
    <row r="51" spans="1:11" ht="18.75" x14ac:dyDescent="0.3">
      <c r="C51" s="173" t="s">
        <v>76</v>
      </c>
      <c r="D51" s="174">
        <f>STDEV(E38:E41,G38:G41)/D50</f>
        <v>4.5800541828687437E-3</v>
      </c>
      <c r="F51" s="142"/>
    </row>
    <row r="52" spans="1:11" ht="19.5" customHeight="1" thickBot="1" x14ac:dyDescent="0.35">
      <c r="C52" s="175" t="s">
        <v>19</v>
      </c>
      <c r="D52" s="176">
        <f>COUNT(E38:E41,G38:G41)</f>
        <v>6</v>
      </c>
      <c r="F52" s="142"/>
    </row>
    <row r="54" spans="1:11" ht="18.75" x14ac:dyDescent="0.3">
      <c r="A54" s="177" t="s">
        <v>1</v>
      </c>
      <c r="B54" s="178" t="s">
        <v>77</v>
      </c>
    </row>
    <row r="55" spans="1:11" ht="18.75" x14ac:dyDescent="0.3">
      <c r="A55" s="106" t="s">
        <v>78</v>
      </c>
      <c r="B55" s="179" t="str">
        <f>B21</f>
        <v>Each film-coated tablet contains Lopinavir 200 mg, Ritonavir 50 mg</v>
      </c>
    </row>
    <row r="56" spans="1:11" ht="26.25" customHeight="1" x14ac:dyDescent="0.3">
      <c r="A56" s="179" t="s">
        <v>79</v>
      </c>
      <c r="B56" s="114">
        <v>200</v>
      </c>
      <c r="C56" s="106" t="str">
        <f>B20</f>
        <v>Lopinavir</v>
      </c>
      <c r="H56" s="140"/>
    </row>
    <row r="57" spans="1:11" ht="18.75" x14ac:dyDescent="0.3">
      <c r="A57" s="179" t="s">
        <v>80</v>
      </c>
      <c r="B57" s="180">
        <f>Uniformity!C46</f>
        <v>1256.2050000000002</v>
      </c>
      <c r="H57" s="140"/>
    </row>
    <row r="58" spans="1:11" ht="19.5" customHeight="1" thickBot="1" x14ac:dyDescent="0.35">
      <c r="H58" s="140"/>
    </row>
    <row r="59" spans="1:11" s="118" customFormat="1" ht="27" customHeight="1" thickBot="1" x14ac:dyDescent="0.3">
      <c r="A59" s="128" t="s">
        <v>126</v>
      </c>
      <c r="B59" s="129">
        <v>100</v>
      </c>
      <c r="C59" s="106"/>
      <c r="D59" s="181" t="s">
        <v>81</v>
      </c>
      <c r="E59" s="182" t="s">
        <v>56</v>
      </c>
      <c r="F59" s="182" t="s">
        <v>57</v>
      </c>
      <c r="G59" s="182" t="s">
        <v>82</v>
      </c>
      <c r="H59" s="183" t="s">
        <v>83</v>
      </c>
      <c r="K59" s="117"/>
    </row>
    <row r="60" spans="1:11" s="118" customFormat="1" ht="26.25" customHeight="1" x14ac:dyDescent="0.25">
      <c r="A60" s="130" t="s">
        <v>107</v>
      </c>
      <c r="B60" s="131">
        <v>5</v>
      </c>
      <c r="C60" s="408" t="s">
        <v>84</v>
      </c>
      <c r="D60" s="420">
        <v>557.66999999999996</v>
      </c>
      <c r="E60" s="184">
        <v>1</v>
      </c>
      <c r="F60" s="185">
        <v>46918241</v>
      </c>
      <c r="G60" s="186">
        <f>IF(ISBLANK(F60),"-",(F60/$D$50*$D$47*$B$68)*($B$57/$D$60))</f>
        <v>206.56397396441358</v>
      </c>
      <c r="H60" s="187">
        <f t="shared" ref="H60:H71" si="0">IF(ISBLANK(F60),"-",G60/$B$56)</f>
        <v>1.0328198698220679</v>
      </c>
      <c r="K60" s="117"/>
    </row>
    <row r="61" spans="1:11" s="118" customFormat="1" ht="26.25" customHeight="1" x14ac:dyDescent="0.25">
      <c r="A61" s="130" t="s">
        <v>85</v>
      </c>
      <c r="B61" s="131">
        <v>50</v>
      </c>
      <c r="C61" s="407"/>
      <c r="D61" s="421"/>
      <c r="E61" s="188">
        <v>2</v>
      </c>
      <c r="F61" s="189">
        <v>46982159</v>
      </c>
      <c r="G61" s="190">
        <f>IF(ISBLANK(F61),"-",(F61/$D$50*$D$47*$B$68)*($B$57/$D$60))</f>
        <v>206.8453817027783</v>
      </c>
      <c r="H61" s="191">
        <f t="shared" si="0"/>
        <v>1.0342269085138915</v>
      </c>
      <c r="K61" s="117"/>
    </row>
    <row r="62" spans="1:11" s="118" customFormat="1" ht="26.25" customHeight="1" x14ac:dyDescent="0.25">
      <c r="A62" s="130" t="s">
        <v>86</v>
      </c>
      <c r="B62" s="131">
        <v>1</v>
      </c>
      <c r="C62" s="407"/>
      <c r="D62" s="421"/>
      <c r="E62" s="188">
        <v>3</v>
      </c>
      <c r="F62" s="189">
        <v>46787584</v>
      </c>
      <c r="G62" s="190">
        <f>IF(ISBLANK(F62),"-",(F62/$D$50*$D$47*$B$68)*($B$57/$D$60))</f>
        <v>205.98873864929877</v>
      </c>
      <c r="H62" s="191">
        <f t="shared" si="0"/>
        <v>1.0299436932464938</v>
      </c>
      <c r="K62" s="117"/>
    </row>
    <row r="63" spans="1:11" ht="27" customHeight="1" thickBot="1" x14ac:dyDescent="0.35">
      <c r="A63" s="130" t="s">
        <v>87</v>
      </c>
      <c r="B63" s="131">
        <v>1</v>
      </c>
      <c r="C63" s="419"/>
      <c r="D63" s="422"/>
      <c r="E63" s="192">
        <v>4</v>
      </c>
      <c r="F63" s="193"/>
      <c r="G63" s="190" t="str">
        <f>IF(ISBLANK(F63),"-",(F63/$D$50*$D$47*$B$68)*($B$57/$D$60))</f>
        <v>-</v>
      </c>
      <c r="H63" s="191" t="str">
        <f t="shared" si="0"/>
        <v>-</v>
      </c>
    </row>
    <row r="64" spans="1:11" ht="26.25" customHeight="1" x14ac:dyDescent="0.3">
      <c r="A64" s="130" t="s">
        <v>88</v>
      </c>
      <c r="B64" s="131">
        <v>1</v>
      </c>
      <c r="C64" s="408" t="s">
        <v>89</v>
      </c>
      <c r="D64" s="420">
        <v>509.73</v>
      </c>
      <c r="E64" s="184">
        <v>1</v>
      </c>
      <c r="F64" s="185">
        <v>42986254</v>
      </c>
      <c r="G64" s="194">
        <f>IF(ISBLANK(F64),"-",(F64/$D$50*$D$47*$B$68)*($B$57/$D$64))</f>
        <v>207.05205559475104</v>
      </c>
      <c r="H64" s="195">
        <f t="shared" si="0"/>
        <v>1.0352602779737552</v>
      </c>
    </row>
    <row r="65" spans="1:8" ht="26.25" customHeight="1" x14ac:dyDescent="0.3">
      <c r="A65" s="130" t="s">
        <v>90</v>
      </c>
      <c r="B65" s="131">
        <v>1</v>
      </c>
      <c r="C65" s="407"/>
      <c r="D65" s="421"/>
      <c r="E65" s="188">
        <v>2</v>
      </c>
      <c r="F65" s="189">
        <v>43232422</v>
      </c>
      <c r="G65" s="196">
        <f>IF(ISBLANK(F65),"-",(F65/$D$50*$D$47*$B$68)*($B$57/$D$64))</f>
        <v>208.23777395070852</v>
      </c>
      <c r="H65" s="197">
        <f t="shared" si="0"/>
        <v>1.0411888697535425</v>
      </c>
    </row>
    <row r="66" spans="1:8" ht="26.25" customHeight="1" x14ac:dyDescent="0.3">
      <c r="A66" s="130" t="s">
        <v>91</v>
      </c>
      <c r="B66" s="131">
        <v>1</v>
      </c>
      <c r="C66" s="407"/>
      <c r="D66" s="421"/>
      <c r="E66" s="188">
        <v>3</v>
      </c>
      <c r="F66" s="189">
        <v>43015442</v>
      </c>
      <c r="G66" s="196">
        <f>IF(ISBLANK(F66),"-",(F66/$D$50*$D$47*$B$68)*($B$57/$D$64))</f>
        <v>207.19264554703437</v>
      </c>
      <c r="H66" s="197">
        <f t="shared" si="0"/>
        <v>1.0359632277351718</v>
      </c>
    </row>
    <row r="67" spans="1:8" ht="27" customHeight="1" thickBot="1" x14ac:dyDescent="0.35">
      <c r="A67" s="130" t="s">
        <v>92</v>
      </c>
      <c r="B67" s="131">
        <v>1</v>
      </c>
      <c r="C67" s="419"/>
      <c r="D67" s="422"/>
      <c r="E67" s="192">
        <v>4</v>
      </c>
      <c r="F67" s="193"/>
      <c r="G67" s="198" t="str">
        <f>IF(ISBLANK(F67),"-",(F67/$D$50*$D$47*$B$68)*($B$57/$D$64))</f>
        <v>-</v>
      </c>
      <c r="H67" s="199" t="str">
        <f t="shared" si="0"/>
        <v>-</v>
      </c>
    </row>
    <row r="68" spans="1:8" ht="21.75" customHeight="1" x14ac:dyDescent="0.3">
      <c r="A68" s="130" t="s">
        <v>93</v>
      </c>
      <c r="B68" s="160">
        <f>(B67/B66)*(B65/B64)*(B63/B62)*(B61/B60)*B59</f>
        <v>1000</v>
      </c>
      <c r="C68" s="408" t="s">
        <v>94</v>
      </c>
      <c r="D68" s="420">
        <v>534.12</v>
      </c>
      <c r="E68" s="184">
        <v>1</v>
      </c>
      <c r="F68" s="185">
        <v>45267572</v>
      </c>
      <c r="G68" s="194">
        <f>IF(ISBLANK(F68),"-",(F68/$D$50*$D$47*$B$68)*($B$57/$D$68))</f>
        <v>208.08391066137995</v>
      </c>
      <c r="H68" s="191">
        <f t="shared" si="0"/>
        <v>1.0404195533068998</v>
      </c>
    </row>
    <row r="69" spans="1:8" ht="21.75" customHeight="1" thickBot="1" x14ac:dyDescent="0.35">
      <c r="A69" s="200" t="s">
        <v>127</v>
      </c>
      <c r="B69" s="201">
        <f>D47*B68/B56*B57</f>
        <v>502.48200000000008</v>
      </c>
      <c r="C69" s="407"/>
      <c r="D69" s="421"/>
      <c r="E69" s="188">
        <v>2</v>
      </c>
      <c r="F69" s="189">
        <v>44984969</v>
      </c>
      <c r="G69" s="196">
        <f>IF(ISBLANK(F69),"-",(F69/$D$50*$D$47*$B$68)*($B$57/$D$68))</f>
        <v>206.78485407834438</v>
      </c>
      <c r="H69" s="191">
        <f t="shared" si="0"/>
        <v>1.033924270391722</v>
      </c>
    </row>
    <row r="70" spans="1:8" ht="22.5" customHeight="1" x14ac:dyDescent="0.3">
      <c r="A70" s="401" t="s">
        <v>71</v>
      </c>
      <c r="B70" s="405"/>
      <c r="C70" s="407"/>
      <c r="D70" s="421"/>
      <c r="E70" s="188">
        <v>3</v>
      </c>
      <c r="F70" s="189">
        <v>45485140</v>
      </c>
      <c r="G70" s="196">
        <f>IF(ISBLANK(F70),"-",(F70/$D$50*$D$47*$B$68)*($B$57/$D$68))</f>
        <v>209.08401732216518</v>
      </c>
      <c r="H70" s="191">
        <f t="shared" si="0"/>
        <v>1.0454200866108259</v>
      </c>
    </row>
    <row r="71" spans="1:8" ht="21.75" customHeight="1" thickBot="1" x14ac:dyDescent="0.35">
      <c r="A71" s="403"/>
      <c r="B71" s="406"/>
      <c r="C71" s="423"/>
      <c r="D71" s="422"/>
      <c r="E71" s="192">
        <v>4</v>
      </c>
      <c r="F71" s="193"/>
      <c r="G71" s="198" t="str">
        <f>IF(ISBLANK(F71),"-",(F71/$D$50*$D$47*$B$68)*($B$57/$D$68))</f>
        <v>-</v>
      </c>
      <c r="H71" s="202" t="str">
        <f t="shared" si="0"/>
        <v>-</v>
      </c>
    </row>
    <row r="72" spans="1:8" ht="26.25" customHeight="1" x14ac:dyDescent="0.3">
      <c r="A72" s="140"/>
      <c r="B72" s="140"/>
      <c r="C72" s="140"/>
      <c r="D72" s="140"/>
      <c r="E72" s="140"/>
      <c r="F72" s="140"/>
      <c r="G72" s="203" t="s">
        <v>64</v>
      </c>
      <c r="H72" s="204">
        <f>AVERAGE(H60:H71)</f>
        <v>1.0365740841504854</v>
      </c>
    </row>
    <row r="73" spans="1:8" ht="26.25" customHeight="1" x14ac:dyDescent="0.3">
      <c r="C73" s="140"/>
      <c r="D73" s="140"/>
      <c r="E73" s="140"/>
      <c r="F73" s="140"/>
      <c r="G73" s="173" t="s">
        <v>76</v>
      </c>
      <c r="H73" s="205">
        <f>STDEV(H60:H71)/H72</f>
        <v>4.6644539139907857E-3</v>
      </c>
    </row>
    <row r="74" spans="1:8" ht="27" customHeight="1" thickBot="1" x14ac:dyDescent="0.35">
      <c r="A74" s="140"/>
      <c r="B74" s="140"/>
      <c r="C74" s="140"/>
      <c r="D74" s="140"/>
      <c r="E74" s="162"/>
      <c r="F74" s="140"/>
      <c r="G74" s="175" t="s">
        <v>19</v>
      </c>
      <c r="H74" s="206">
        <f>COUNT(H60:H71)</f>
        <v>9</v>
      </c>
    </row>
    <row r="75" spans="1:8" ht="18.75" x14ac:dyDescent="0.3">
      <c r="A75" s="140"/>
      <c r="B75" s="140"/>
      <c r="C75" s="140"/>
      <c r="D75" s="140"/>
      <c r="E75" s="162"/>
      <c r="F75" s="140"/>
      <c r="G75" s="113"/>
      <c r="H75" s="119"/>
    </row>
    <row r="76" spans="1:8" ht="26.25" customHeight="1" x14ac:dyDescent="0.3">
      <c r="A76" s="112" t="s">
        <v>128</v>
      </c>
      <c r="B76" s="113" t="s">
        <v>95</v>
      </c>
      <c r="C76" s="407" t="str">
        <f>B20</f>
        <v>Lopinavir</v>
      </c>
      <c r="D76" s="407"/>
      <c r="E76" s="106" t="s">
        <v>96</v>
      </c>
      <c r="F76" s="106"/>
      <c r="G76" s="207">
        <f>H72</f>
        <v>1.0365740841504854</v>
      </c>
      <c r="H76" s="119"/>
    </row>
    <row r="77" spans="1:8" ht="18.75" x14ac:dyDescent="0.3">
      <c r="A77" s="111" t="s">
        <v>97</v>
      </c>
      <c r="B77" s="111" t="s">
        <v>98</v>
      </c>
    </row>
    <row r="78" spans="1:8" ht="18.75" x14ac:dyDescent="0.3">
      <c r="A78" s="111"/>
      <c r="B78" s="111"/>
    </row>
    <row r="79" spans="1:8" ht="26.25" customHeight="1" x14ac:dyDescent="0.3">
      <c r="A79" s="112" t="s">
        <v>3</v>
      </c>
      <c r="B79" s="417" t="str">
        <f>B26</f>
        <v>Lopinavir</v>
      </c>
      <c r="C79" s="417"/>
    </row>
    <row r="80" spans="1:8" ht="26.25" customHeight="1" x14ac:dyDescent="0.3">
      <c r="A80" s="113" t="s">
        <v>43</v>
      </c>
      <c r="B80" s="418" t="str">
        <f>B27</f>
        <v>L20-3</v>
      </c>
      <c r="C80" s="418"/>
    </row>
    <row r="81" spans="1:11" ht="27" customHeight="1" thickBot="1" x14ac:dyDescent="0.35">
      <c r="A81" s="113" t="s">
        <v>5</v>
      </c>
      <c r="B81" s="114">
        <f>B28</f>
        <v>98.9</v>
      </c>
    </row>
    <row r="82" spans="1:11" s="118" customFormat="1" ht="27" customHeight="1" thickBot="1" x14ac:dyDescent="0.3">
      <c r="A82" s="113" t="s">
        <v>44</v>
      </c>
      <c r="B82" s="114">
        <f>B29</f>
        <v>0</v>
      </c>
      <c r="C82" s="411" t="s">
        <v>123</v>
      </c>
      <c r="D82" s="412"/>
      <c r="E82" s="412"/>
      <c r="F82" s="412"/>
      <c r="G82" s="413"/>
      <c r="H82" s="116"/>
      <c r="I82" s="117"/>
      <c r="J82" s="117"/>
      <c r="K82" s="117"/>
    </row>
    <row r="83" spans="1:11" s="118" customFormat="1" ht="19.5" customHeight="1" thickBot="1" x14ac:dyDescent="0.3">
      <c r="A83" s="113" t="s">
        <v>46</v>
      </c>
      <c r="B83" s="119">
        <f>B81-B82</f>
        <v>98.9</v>
      </c>
      <c r="C83" s="120"/>
      <c r="D83" s="120"/>
      <c r="E83" s="120"/>
      <c r="F83" s="120"/>
      <c r="G83" s="121"/>
      <c r="H83" s="116"/>
      <c r="I83" s="117"/>
      <c r="J83" s="117"/>
      <c r="K83" s="117"/>
    </row>
    <row r="84" spans="1:11" s="118" customFormat="1" ht="27" customHeight="1" thickBot="1" x14ac:dyDescent="0.3">
      <c r="A84" s="113" t="s">
        <v>47</v>
      </c>
      <c r="B84" s="122">
        <v>1</v>
      </c>
      <c r="C84" s="414" t="s">
        <v>48</v>
      </c>
      <c r="D84" s="415"/>
      <c r="E84" s="415"/>
      <c r="F84" s="415"/>
      <c r="G84" s="415"/>
      <c r="H84" s="416"/>
      <c r="I84" s="117"/>
      <c r="J84" s="117"/>
      <c r="K84" s="117"/>
    </row>
    <row r="85" spans="1:11" s="118" customFormat="1" ht="27" customHeight="1" thickBot="1" x14ac:dyDescent="0.3">
      <c r="A85" s="113" t="s">
        <v>49</v>
      </c>
      <c r="B85" s="122">
        <v>1</v>
      </c>
      <c r="C85" s="414" t="s">
        <v>50</v>
      </c>
      <c r="D85" s="415"/>
      <c r="E85" s="415"/>
      <c r="F85" s="415"/>
      <c r="G85" s="415"/>
      <c r="H85" s="416"/>
      <c r="I85" s="117"/>
      <c r="J85" s="117"/>
      <c r="K85" s="117"/>
    </row>
    <row r="86" spans="1:11" s="118" customFormat="1" ht="18.75" x14ac:dyDescent="0.25">
      <c r="A86" s="113"/>
      <c r="B86" s="125"/>
      <c r="C86" s="126"/>
      <c r="D86" s="126"/>
      <c r="E86" s="126"/>
      <c r="F86" s="126"/>
      <c r="G86" s="126"/>
      <c r="H86" s="126"/>
      <c r="I86" s="117"/>
      <c r="J86" s="117"/>
      <c r="K86" s="117"/>
    </row>
    <row r="87" spans="1:11" ht="18.75" x14ac:dyDescent="0.3">
      <c r="A87" s="113" t="s">
        <v>51</v>
      </c>
      <c r="B87" s="127">
        <f>B84/B85</f>
        <v>1</v>
      </c>
      <c r="C87" s="106" t="s">
        <v>52</v>
      </c>
      <c r="H87" s="116"/>
    </row>
    <row r="88" spans="1:11" ht="19.5" customHeight="1" thickBot="1" x14ac:dyDescent="0.35">
      <c r="A88" s="113"/>
      <c r="B88" s="127"/>
      <c r="H88" s="116"/>
    </row>
    <row r="89" spans="1:11" ht="27" customHeight="1" thickBot="1" x14ac:dyDescent="0.35">
      <c r="A89" s="128" t="s">
        <v>124</v>
      </c>
      <c r="B89" s="129">
        <v>50</v>
      </c>
      <c r="D89" s="208" t="s">
        <v>53</v>
      </c>
      <c r="E89" s="209"/>
      <c r="F89" s="409" t="s">
        <v>54</v>
      </c>
      <c r="G89" s="410"/>
    </row>
    <row r="90" spans="1:11" ht="26.25" customHeight="1" x14ac:dyDescent="0.3">
      <c r="A90" s="130" t="s">
        <v>55</v>
      </c>
      <c r="B90" s="131">
        <v>5</v>
      </c>
      <c r="C90" s="132" t="s">
        <v>56</v>
      </c>
      <c r="D90" s="210" t="s">
        <v>57</v>
      </c>
      <c r="E90" s="134" t="s">
        <v>58</v>
      </c>
      <c r="F90" s="210" t="s">
        <v>57</v>
      </c>
      <c r="G90" s="135" t="s">
        <v>58</v>
      </c>
    </row>
    <row r="91" spans="1:11" ht="26.25" customHeight="1" x14ac:dyDescent="0.3">
      <c r="A91" s="130" t="s">
        <v>59</v>
      </c>
      <c r="B91" s="131">
        <v>100</v>
      </c>
      <c r="C91" s="136">
        <v>1</v>
      </c>
      <c r="D91" s="211">
        <v>42685284</v>
      </c>
      <c r="E91" s="212">
        <f>IF(ISBLANK(D91),"-",$D$101/$D$98*D91)</f>
        <v>28596067.375195924</v>
      </c>
      <c r="F91" s="213">
        <v>42333710</v>
      </c>
      <c r="G91" s="214">
        <f>IF(ISBLANK(F91),"-",$D$101/$F$98*F91)</f>
        <v>28293053.183805652</v>
      </c>
    </row>
    <row r="92" spans="1:11" ht="26.25" customHeight="1" x14ac:dyDescent="0.3">
      <c r="A92" s="130" t="s">
        <v>60</v>
      </c>
      <c r="B92" s="131">
        <v>1</v>
      </c>
      <c r="C92" s="140">
        <v>2</v>
      </c>
      <c r="D92" s="189">
        <v>42555454</v>
      </c>
      <c r="E92" s="215">
        <f>IF(ISBLANK(D92),"-",$D$101/$D$98*D92)</f>
        <v>28509090.621630885</v>
      </c>
      <c r="F92" s="216">
        <v>42341071</v>
      </c>
      <c r="G92" s="217">
        <f>IF(ISBLANK(F92),"-",$D$101/$F$98*F92)</f>
        <v>28297972.789587568</v>
      </c>
    </row>
    <row r="93" spans="1:11" ht="26.25" customHeight="1" x14ac:dyDescent="0.3">
      <c r="A93" s="130" t="s">
        <v>61</v>
      </c>
      <c r="B93" s="131">
        <v>1</v>
      </c>
      <c r="C93" s="140">
        <v>3</v>
      </c>
      <c r="D93" s="189">
        <v>42560679</v>
      </c>
      <c r="E93" s="215">
        <f>IF(ISBLANK(D93),"-",$D$101/$D$98*D93)</f>
        <v>28512590.995484211</v>
      </c>
      <c r="F93" s="216">
        <v>42404259</v>
      </c>
      <c r="G93" s="217">
        <f>IF(ISBLANK(F93),"-",$D$101/$F$98*F93)</f>
        <v>28340203.4715802</v>
      </c>
    </row>
    <row r="94" spans="1:11" ht="26.25" customHeight="1" x14ac:dyDescent="0.3">
      <c r="A94" s="130" t="s">
        <v>62</v>
      </c>
      <c r="B94" s="131">
        <v>1</v>
      </c>
      <c r="C94" s="145">
        <v>4</v>
      </c>
      <c r="D94" s="218"/>
      <c r="E94" s="219" t="str">
        <f>IF(ISBLANK(D94),"-",$D$101/$D$98*D94)</f>
        <v>-</v>
      </c>
      <c r="F94" s="220"/>
      <c r="G94" s="221" t="str">
        <f>IF(ISBLANK(F94),"-",$D$101/$F$98*F94)</f>
        <v>-</v>
      </c>
    </row>
    <row r="95" spans="1:11" ht="27" customHeight="1" thickBot="1" x14ac:dyDescent="0.35">
      <c r="A95" s="130" t="s">
        <v>63</v>
      </c>
      <c r="B95" s="131">
        <v>1</v>
      </c>
      <c r="C95" s="113" t="s">
        <v>64</v>
      </c>
      <c r="D95" s="149">
        <f>AVERAGE(D91:D94)</f>
        <v>42600472.333333336</v>
      </c>
      <c r="E95" s="150">
        <f>AVERAGE(E91:E94)</f>
        <v>28539249.664103676</v>
      </c>
      <c r="F95" s="222">
        <f>AVERAGE(F91:F94)</f>
        <v>42359680</v>
      </c>
      <c r="G95" s="223">
        <f>AVERAGE(G91:G94)</f>
        <v>28310409.814991135</v>
      </c>
    </row>
    <row r="96" spans="1:11" ht="26.25" customHeight="1" x14ac:dyDescent="0.3">
      <c r="A96" s="130" t="s">
        <v>65</v>
      </c>
      <c r="B96" s="131">
        <v>1</v>
      </c>
      <c r="C96" s="154" t="s">
        <v>66</v>
      </c>
      <c r="D96" s="155">
        <v>83.85</v>
      </c>
      <c r="E96" s="106"/>
      <c r="F96" s="156">
        <v>84.05</v>
      </c>
    </row>
    <row r="97" spans="1:9" ht="26.25" customHeight="1" x14ac:dyDescent="0.3">
      <c r="A97" s="130" t="s">
        <v>67</v>
      </c>
      <c r="B97" s="131">
        <v>1</v>
      </c>
      <c r="C97" s="157" t="s">
        <v>68</v>
      </c>
      <c r="D97" s="158">
        <f>D96*$B$87</f>
        <v>83.85</v>
      </c>
      <c r="E97" s="140"/>
      <c r="F97" s="159">
        <f>F96*$B$87</f>
        <v>84.05</v>
      </c>
    </row>
    <row r="98" spans="1:9" ht="19.5" customHeight="1" thickBot="1" x14ac:dyDescent="0.35">
      <c r="A98" s="200" t="s">
        <v>69</v>
      </c>
      <c r="B98" s="224">
        <f>(B97/B96)*(B95/B94)*(B93/B92)*(B91/B90)*B89</f>
        <v>1000</v>
      </c>
      <c r="C98" s="157" t="s">
        <v>70</v>
      </c>
      <c r="D98" s="161">
        <f>D97*$B$83/100</f>
        <v>82.92765</v>
      </c>
      <c r="E98" s="162"/>
      <c r="F98" s="163">
        <f>F97*$B$83/100</f>
        <v>83.125450000000001</v>
      </c>
    </row>
    <row r="99" spans="1:9" ht="19.5" customHeight="1" thickBot="1" x14ac:dyDescent="0.35">
      <c r="A99" s="401" t="s">
        <v>71</v>
      </c>
      <c r="B99" s="405"/>
      <c r="C99" s="157" t="s">
        <v>72</v>
      </c>
      <c r="D99" s="225">
        <f>D98/$B$98</f>
        <v>8.2927650000000006E-2</v>
      </c>
      <c r="E99" s="226"/>
      <c r="F99" s="227">
        <f>F98/$B$98</f>
        <v>8.3125450000000004E-2</v>
      </c>
      <c r="G99" s="228"/>
      <c r="H99" s="153"/>
    </row>
    <row r="100" spans="1:9" ht="19.5" customHeight="1" thickBot="1" x14ac:dyDescent="0.35">
      <c r="A100" s="403"/>
      <c r="B100" s="406"/>
      <c r="C100" s="168" t="s">
        <v>125</v>
      </c>
      <c r="D100" s="229">
        <f>$B$56/$B$116</f>
        <v>5.5555555555555552E-2</v>
      </c>
      <c r="F100" s="167"/>
      <c r="G100" s="230"/>
      <c r="H100" s="153"/>
    </row>
    <row r="101" spans="1:9" ht="18.75" x14ac:dyDescent="0.3">
      <c r="C101" s="168" t="s">
        <v>73</v>
      </c>
      <c r="D101" s="158">
        <f>D100*$B$98</f>
        <v>55.55555555555555</v>
      </c>
      <c r="F101" s="167"/>
      <c r="G101" s="228"/>
      <c r="H101" s="153"/>
    </row>
    <row r="102" spans="1:9" ht="19.5" customHeight="1" thickBot="1" x14ac:dyDescent="0.35">
      <c r="C102" s="169" t="s">
        <v>74</v>
      </c>
      <c r="D102" s="231">
        <f>D101/B34</f>
        <v>55.55555555555555</v>
      </c>
      <c r="F102" s="142"/>
      <c r="G102" s="228"/>
      <c r="H102" s="153"/>
      <c r="I102" s="232"/>
    </row>
    <row r="103" spans="1:9" ht="18.75" x14ac:dyDescent="0.3">
      <c r="C103" s="171" t="s">
        <v>103</v>
      </c>
      <c r="D103" s="172">
        <f>AVERAGE(E91:E94,G91:G94)</f>
        <v>28424829.739547405</v>
      </c>
      <c r="F103" s="142"/>
      <c r="G103" s="230"/>
      <c r="H103" s="153"/>
      <c r="I103" s="233"/>
    </row>
    <row r="104" spans="1:9" ht="18.75" x14ac:dyDescent="0.3">
      <c r="C104" s="173" t="s">
        <v>76</v>
      </c>
      <c r="D104" s="234">
        <f>STDEV(E91:E94,G91:G94)/D103</f>
        <v>4.5800541828687445E-3</v>
      </c>
      <c r="F104" s="142"/>
      <c r="G104" s="228"/>
      <c r="H104" s="153"/>
      <c r="I104" s="233"/>
    </row>
    <row r="105" spans="1:9" ht="19.5" customHeight="1" thickBot="1" x14ac:dyDescent="0.35">
      <c r="C105" s="175" t="s">
        <v>19</v>
      </c>
      <c r="D105" s="235">
        <f>COUNT(E91:E94,G91:G94)</f>
        <v>6</v>
      </c>
      <c r="F105" s="142"/>
      <c r="G105" s="228"/>
      <c r="H105" s="153"/>
      <c r="I105" s="233"/>
    </row>
    <row r="106" spans="1:9" ht="19.5" customHeight="1" thickBot="1" x14ac:dyDescent="0.35">
      <c r="A106" s="177"/>
      <c r="B106" s="177"/>
      <c r="C106" s="177"/>
      <c r="D106" s="177"/>
      <c r="E106" s="177"/>
    </row>
    <row r="107" spans="1:9" ht="26.25" customHeight="1" x14ac:dyDescent="0.3">
      <c r="A107" s="128" t="s">
        <v>104</v>
      </c>
      <c r="B107" s="129">
        <v>900</v>
      </c>
      <c r="C107" s="208" t="s">
        <v>129</v>
      </c>
      <c r="D107" s="236" t="s">
        <v>57</v>
      </c>
      <c r="E107" s="237" t="s">
        <v>105</v>
      </c>
      <c r="F107" s="238" t="s">
        <v>106</v>
      </c>
    </row>
    <row r="108" spans="1:9" ht="26.25" customHeight="1" x14ac:dyDescent="0.3">
      <c r="A108" s="130" t="s">
        <v>107</v>
      </c>
      <c r="B108" s="131">
        <v>5</v>
      </c>
      <c r="C108" s="239">
        <v>1</v>
      </c>
      <c r="D108" s="240">
        <v>29342373</v>
      </c>
      <c r="E108" s="241">
        <f t="shared" ref="E108:E113" si="1">IF(ISBLANK(D108),"-",D108/$D$103*$D$100*$B$116)</f>
        <v>206.45592792540825</v>
      </c>
      <c r="F108" s="242">
        <f t="shared" ref="F108:F113" si="2">IF(ISBLANK(D108), "-", E108/$B$56)</f>
        <v>1.0322796396270413</v>
      </c>
    </row>
    <row r="109" spans="1:9" ht="26.25" customHeight="1" x14ac:dyDescent="0.3">
      <c r="A109" s="130" t="s">
        <v>85</v>
      </c>
      <c r="B109" s="131">
        <v>20</v>
      </c>
      <c r="C109" s="239">
        <v>2</v>
      </c>
      <c r="D109" s="240">
        <v>29249450</v>
      </c>
      <c r="E109" s="243">
        <f t="shared" si="1"/>
        <v>205.80211222377386</v>
      </c>
      <c r="F109" s="244">
        <f t="shared" si="2"/>
        <v>1.0290105611188693</v>
      </c>
    </row>
    <row r="110" spans="1:9" ht="26.25" customHeight="1" x14ac:dyDescent="0.3">
      <c r="A110" s="130" t="s">
        <v>86</v>
      </c>
      <c r="B110" s="131">
        <v>1</v>
      </c>
      <c r="C110" s="239">
        <v>3</v>
      </c>
      <c r="D110" s="240">
        <v>26618385</v>
      </c>
      <c r="E110" s="243">
        <f t="shared" si="1"/>
        <v>187.28967064288796</v>
      </c>
      <c r="F110" s="244">
        <f t="shared" si="2"/>
        <v>0.93644835321443975</v>
      </c>
    </row>
    <row r="111" spans="1:9" ht="26.25" customHeight="1" x14ac:dyDescent="0.3">
      <c r="A111" s="130" t="s">
        <v>87</v>
      </c>
      <c r="B111" s="131">
        <v>1</v>
      </c>
      <c r="C111" s="239">
        <v>4</v>
      </c>
      <c r="D111" s="240">
        <v>29547188</v>
      </c>
      <c r="E111" s="243">
        <f t="shared" si="1"/>
        <v>207.89702714659404</v>
      </c>
      <c r="F111" s="244">
        <f t="shared" si="2"/>
        <v>1.0394851357329702</v>
      </c>
    </row>
    <row r="112" spans="1:9" ht="26.25" customHeight="1" x14ac:dyDescent="0.3">
      <c r="A112" s="130" t="s">
        <v>88</v>
      </c>
      <c r="B112" s="131">
        <v>1</v>
      </c>
      <c r="C112" s="239">
        <v>5</v>
      </c>
      <c r="D112" s="240">
        <v>29292012</v>
      </c>
      <c r="E112" s="243">
        <f t="shared" si="1"/>
        <v>206.10158279503136</v>
      </c>
      <c r="F112" s="244">
        <f t="shared" si="2"/>
        <v>1.0305079139751567</v>
      </c>
    </row>
    <row r="113" spans="1:11" ht="26.25" customHeight="1" x14ac:dyDescent="0.3">
      <c r="A113" s="130" t="s">
        <v>90</v>
      </c>
      <c r="B113" s="131">
        <v>1</v>
      </c>
      <c r="C113" s="245">
        <v>6</v>
      </c>
      <c r="D113" s="246">
        <v>23751094</v>
      </c>
      <c r="E113" s="247">
        <f t="shared" si="1"/>
        <v>167.11511884241935</v>
      </c>
      <c r="F113" s="248">
        <f t="shared" si="2"/>
        <v>0.83557559421209671</v>
      </c>
    </row>
    <row r="114" spans="1:11" ht="26.25" customHeight="1" x14ac:dyDescent="0.3">
      <c r="A114" s="130" t="s">
        <v>91</v>
      </c>
      <c r="B114" s="131">
        <v>1</v>
      </c>
      <c r="C114" s="239"/>
      <c r="D114" s="140"/>
      <c r="E114" s="106"/>
      <c r="F114" s="249"/>
    </row>
    <row r="115" spans="1:11" ht="26.25" customHeight="1" x14ac:dyDescent="0.3">
      <c r="A115" s="130" t="s">
        <v>92</v>
      </c>
      <c r="B115" s="131">
        <v>1</v>
      </c>
      <c r="C115" s="239"/>
      <c r="D115" s="250"/>
      <c r="E115" s="251" t="s">
        <v>64</v>
      </c>
      <c r="F115" s="252">
        <f>AVERAGE(F108:F113)</f>
        <v>0.98388453298009571</v>
      </c>
    </row>
    <row r="116" spans="1:11" ht="27" customHeight="1" thickBot="1" x14ac:dyDescent="0.35">
      <c r="A116" s="130" t="s">
        <v>93</v>
      </c>
      <c r="B116" s="160">
        <f>(B115/B114)*(B113/B112)*(B111/B110)*(B109/B108)*B107</f>
        <v>3600</v>
      </c>
      <c r="C116" s="253"/>
      <c r="D116" s="254"/>
      <c r="E116" s="113" t="s">
        <v>76</v>
      </c>
      <c r="F116" s="255">
        <f>STDEV(F108:F113)/F115</f>
        <v>8.3676295516709465E-2</v>
      </c>
    </row>
    <row r="117" spans="1:11" ht="19.5" customHeight="1" thickBot="1" x14ac:dyDescent="0.35">
      <c r="A117" s="401" t="s">
        <v>71</v>
      </c>
      <c r="B117" s="405"/>
      <c r="C117" s="256"/>
      <c r="D117" s="257"/>
      <c r="E117" s="258" t="s">
        <v>19</v>
      </c>
      <c r="F117" s="259">
        <f>COUNT(F108:F113)</f>
        <v>6</v>
      </c>
      <c r="I117" s="233"/>
    </row>
    <row r="118" spans="1:11" ht="19.5" customHeight="1" thickBot="1" x14ac:dyDescent="0.35">
      <c r="A118" s="403"/>
      <c r="B118" s="406"/>
      <c r="C118" s="106"/>
      <c r="D118" s="106"/>
      <c r="E118" s="106"/>
      <c r="F118" s="140"/>
      <c r="G118" s="106"/>
      <c r="H118" s="106"/>
    </row>
    <row r="119" spans="1:11" ht="18.75" x14ac:dyDescent="0.3">
      <c r="A119" s="126"/>
      <c r="B119" s="126"/>
      <c r="C119" s="106"/>
      <c r="D119" s="106"/>
      <c r="E119" s="106"/>
      <c r="F119" s="140"/>
      <c r="G119" s="106"/>
      <c r="H119" s="106"/>
    </row>
    <row r="120" spans="1:11" ht="18.75" x14ac:dyDescent="0.3">
      <c r="A120" s="260" t="s">
        <v>130</v>
      </c>
      <c r="B120" s="260" t="s">
        <v>131</v>
      </c>
      <c r="C120" s="144"/>
      <c r="D120" s="144"/>
      <c r="E120" s="144"/>
      <c r="F120" s="144"/>
      <c r="G120" s="144"/>
      <c r="H120" s="144"/>
    </row>
    <row r="121" spans="1:11" ht="18.75" x14ac:dyDescent="0.3">
      <c r="A121" s="260"/>
      <c r="B121" s="260"/>
      <c r="C121" s="144"/>
      <c r="D121" s="144"/>
      <c r="E121" s="144"/>
      <c r="F121" s="144"/>
      <c r="G121" s="144"/>
      <c r="H121" s="144"/>
    </row>
    <row r="122" spans="1:11" ht="18.75" x14ac:dyDescent="0.3">
      <c r="A122" s="261" t="s">
        <v>3</v>
      </c>
      <c r="B122" s="262" t="s">
        <v>112</v>
      </c>
      <c r="C122" s="144"/>
      <c r="D122" s="144"/>
      <c r="E122" s="144"/>
      <c r="F122" s="144"/>
      <c r="G122" s="144"/>
      <c r="H122" s="144"/>
    </row>
    <row r="123" spans="1:11" ht="18.75" x14ac:dyDescent="0.3">
      <c r="A123" s="263" t="s">
        <v>43</v>
      </c>
      <c r="B123" s="262" t="s">
        <v>113</v>
      </c>
      <c r="C123" s="144"/>
      <c r="D123" s="144"/>
      <c r="E123" s="144"/>
      <c r="F123" s="144"/>
      <c r="G123" s="144"/>
      <c r="H123" s="144"/>
    </row>
    <row r="124" spans="1:11" ht="19.5" customHeight="1" thickBot="1" x14ac:dyDescent="0.35">
      <c r="A124" s="263" t="s">
        <v>5</v>
      </c>
      <c r="B124" s="262">
        <v>98.9</v>
      </c>
      <c r="C124" s="144"/>
      <c r="D124" s="144"/>
      <c r="E124" s="144"/>
      <c r="F124" s="144"/>
      <c r="G124" s="144"/>
      <c r="H124" s="144"/>
    </row>
    <row r="125" spans="1:11" s="118" customFormat="1" ht="15.75" customHeight="1" thickBot="1" x14ac:dyDescent="0.35">
      <c r="A125" s="263" t="s">
        <v>44</v>
      </c>
      <c r="B125" s="262">
        <v>0</v>
      </c>
      <c r="C125" s="411" t="s">
        <v>45</v>
      </c>
      <c r="D125" s="412"/>
      <c r="E125" s="412"/>
      <c r="F125" s="412"/>
      <c r="G125" s="413"/>
      <c r="I125" s="117"/>
      <c r="J125" s="117"/>
      <c r="K125" s="117"/>
    </row>
    <row r="126" spans="1:11" s="118" customFormat="1" ht="19.5" customHeight="1" thickBot="1" x14ac:dyDescent="0.35">
      <c r="A126" s="263" t="s">
        <v>46</v>
      </c>
      <c r="B126" s="264">
        <f>B124-B125</f>
        <v>98.9</v>
      </c>
      <c r="C126" s="265"/>
      <c r="D126" s="265"/>
      <c r="E126" s="265"/>
      <c r="F126" s="265"/>
      <c r="G126" s="266"/>
      <c r="I126" s="117"/>
      <c r="J126" s="117"/>
      <c r="K126" s="117"/>
    </row>
    <row r="127" spans="1:11" s="118" customFormat="1" ht="27" customHeight="1" thickBot="1" x14ac:dyDescent="0.3">
      <c r="A127" s="113" t="s">
        <v>47</v>
      </c>
      <c r="B127" s="122">
        <v>1</v>
      </c>
      <c r="C127" s="414" t="s">
        <v>48</v>
      </c>
      <c r="D127" s="415"/>
      <c r="E127" s="415"/>
      <c r="F127" s="415"/>
      <c r="G127" s="415"/>
      <c r="H127" s="416"/>
      <c r="I127" s="117"/>
      <c r="J127" s="117"/>
      <c r="K127" s="117"/>
    </row>
    <row r="128" spans="1:11" s="118" customFormat="1" ht="27" customHeight="1" thickBot="1" x14ac:dyDescent="0.3">
      <c r="A128" s="113" t="s">
        <v>49</v>
      </c>
      <c r="B128" s="122">
        <v>1</v>
      </c>
      <c r="C128" s="414" t="s">
        <v>50</v>
      </c>
      <c r="D128" s="415"/>
      <c r="E128" s="415"/>
      <c r="F128" s="415"/>
      <c r="G128" s="415"/>
      <c r="H128" s="416"/>
      <c r="I128" s="117"/>
      <c r="J128" s="117"/>
      <c r="K128" s="117"/>
    </row>
    <row r="129" spans="1:11" s="118" customFormat="1" ht="18.75" x14ac:dyDescent="0.25">
      <c r="A129" s="113"/>
      <c r="B129" s="125"/>
      <c r="C129" s="126"/>
      <c r="D129" s="126"/>
      <c r="E129" s="126"/>
      <c r="F129" s="126"/>
      <c r="G129" s="126"/>
      <c r="H129" s="126"/>
      <c r="I129" s="117"/>
      <c r="J129" s="117"/>
      <c r="K129" s="117"/>
    </row>
    <row r="130" spans="1:11" ht="18.75" x14ac:dyDescent="0.3">
      <c r="A130" s="113" t="s">
        <v>51</v>
      </c>
      <c r="B130" s="127">
        <f>B127/B128</f>
        <v>1</v>
      </c>
      <c r="C130" s="106" t="s">
        <v>52</v>
      </c>
      <c r="H130" s="116"/>
    </row>
    <row r="131" spans="1:11" ht="19.5" customHeight="1" thickBot="1" x14ac:dyDescent="0.35">
      <c r="A131" s="260"/>
      <c r="B131" s="260"/>
      <c r="C131" s="144"/>
      <c r="D131" s="144"/>
      <c r="E131" s="144"/>
      <c r="F131" s="144"/>
      <c r="G131" s="144"/>
      <c r="H131" s="144"/>
    </row>
    <row r="132" spans="1:11" ht="27" customHeight="1" thickBot="1" x14ac:dyDescent="0.35">
      <c r="A132" s="267" t="s">
        <v>124</v>
      </c>
      <c r="B132" s="268">
        <v>50</v>
      </c>
      <c r="C132" s="144"/>
      <c r="D132" s="399" t="s">
        <v>53</v>
      </c>
      <c r="E132" s="400"/>
      <c r="F132" s="399" t="s">
        <v>54</v>
      </c>
      <c r="G132" s="400"/>
      <c r="H132" s="144"/>
    </row>
    <row r="133" spans="1:11" ht="26.25" customHeight="1" x14ac:dyDescent="0.3">
      <c r="A133" s="269" t="s">
        <v>55</v>
      </c>
      <c r="B133" s="270">
        <v>5</v>
      </c>
      <c r="C133" s="271" t="s">
        <v>132</v>
      </c>
      <c r="D133" s="272" t="s">
        <v>57</v>
      </c>
      <c r="E133" s="273" t="s">
        <v>58</v>
      </c>
      <c r="F133" s="272" t="s">
        <v>57</v>
      </c>
      <c r="G133" s="273" t="s">
        <v>58</v>
      </c>
      <c r="H133" s="144"/>
    </row>
    <row r="134" spans="1:11" ht="26.25" customHeight="1" x14ac:dyDescent="0.3">
      <c r="A134" s="269" t="s">
        <v>59</v>
      </c>
      <c r="B134" s="270">
        <v>25</v>
      </c>
      <c r="C134" s="274">
        <v>1</v>
      </c>
      <c r="D134" s="211">
        <v>43801110</v>
      </c>
      <c r="E134" s="275">
        <f>IF(ISBLANK(D134),"-",$D$144/$D$141*D134)</f>
        <v>28905780.787915181</v>
      </c>
      <c r="F134" s="211">
        <v>41394231</v>
      </c>
      <c r="G134" s="275">
        <f>IF(ISBLANK(F134),"-",$D$144/$F$141*F134)</f>
        <v>29007701.230501581</v>
      </c>
      <c r="H134" s="144"/>
    </row>
    <row r="135" spans="1:11" ht="26.25" customHeight="1" x14ac:dyDescent="0.3">
      <c r="A135" s="269" t="s">
        <v>60</v>
      </c>
      <c r="B135" s="270">
        <v>1</v>
      </c>
      <c r="C135" s="276">
        <v>2</v>
      </c>
      <c r="D135" s="189">
        <v>43676320</v>
      </c>
      <c r="E135" s="277">
        <f>IF(ISBLANK(D135),"-",$D$144/$D$141*D135)</f>
        <v>28823427.797670782</v>
      </c>
      <c r="F135" s="189">
        <v>41773879</v>
      </c>
      <c r="G135" s="277">
        <f>IF(ISBLANK(F135),"-",$D$144/$F$141*F135)</f>
        <v>29273745.930226944</v>
      </c>
      <c r="H135" s="144"/>
    </row>
    <row r="136" spans="1:11" ht="26.25" customHeight="1" x14ac:dyDescent="0.3">
      <c r="A136" s="269" t="s">
        <v>61</v>
      </c>
      <c r="B136" s="270">
        <v>1</v>
      </c>
      <c r="C136" s="276">
        <v>3</v>
      </c>
      <c r="D136" s="189">
        <v>43774296</v>
      </c>
      <c r="E136" s="277">
        <f>IF(ISBLANK(D136),"-",$D$144/$D$141*D136)</f>
        <v>28888085.354944482</v>
      </c>
      <c r="F136" s="189">
        <v>41363160</v>
      </c>
      <c r="G136" s="277">
        <f>IF(ISBLANK(F136),"-",$D$144/$F$141*F136)</f>
        <v>28985927.706434108</v>
      </c>
      <c r="H136" s="144"/>
    </row>
    <row r="137" spans="1:11" ht="26.25" customHeight="1" x14ac:dyDescent="0.3">
      <c r="A137" s="269" t="s">
        <v>62</v>
      </c>
      <c r="B137" s="270">
        <v>1</v>
      </c>
      <c r="C137" s="278">
        <v>4</v>
      </c>
      <c r="D137" s="218"/>
      <c r="E137" s="279" t="str">
        <f>IF(ISBLANK(D137),"-",$D$144/$D$141*D137)</f>
        <v>-</v>
      </c>
      <c r="F137" s="218"/>
      <c r="G137" s="279" t="str">
        <f>IF(ISBLANK(F137),"-",$D$144/$D$141*F137)</f>
        <v>-</v>
      </c>
      <c r="H137" s="144"/>
    </row>
    <row r="138" spans="1:11" ht="27" customHeight="1" thickBot="1" x14ac:dyDescent="0.35">
      <c r="A138" s="269" t="s">
        <v>63</v>
      </c>
      <c r="B138" s="270">
        <v>1</v>
      </c>
      <c r="C138" s="263" t="s">
        <v>64</v>
      </c>
      <c r="D138" s="280">
        <f>AVERAGE(D134:D137)</f>
        <v>43750575.333333336</v>
      </c>
      <c r="E138" s="281">
        <f>AVERAGE(E134:E137)</f>
        <v>28872431.31351015</v>
      </c>
      <c r="F138" s="280">
        <f>AVERAGE(F134:F137)</f>
        <v>41510423.333333336</v>
      </c>
      <c r="G138" s="282">
        <f>AVERAGE(G134:G137)</f>
        <v>29089124.955720883</v>
      </c>
      <c r="H138" s="144"/>
    </row>
    <row r="139" spans="1:11" ht="26.25" customHeight="1" x14ac:dyDescent="0.3">
      <c r="A139" s="269" t="s">
        <v>65</v>
      </c>
      <c r="B139" s="270">
        <v>1</v>
      </c>
      <c r="C139" s="283" t="s">
        <v>99</v>
      </c>
      <c r="D139" s="131">
        <v>21.28</v>
      </c>
      <c r="E139" s="144"/>
      <c r="F139" s="284">
        <v>20.04</v>
      </c>
      <c r="G139" s="144"/>
      <c r="H139" s="144"/>
    </row>
    <row r="140" spans="1:11" ht="26.25" customHeight="1" x14ac:dyDescent="0.3">
      <c r="A140" s="269" t="s">
        <v>67</v>
      </c>
      <c r="B140" s="270">
        <v>1</v>
      </c>
      <c r="C140" s="285" t="s">
        <v>100</v>
      </c>
      <c r="D140" s="286">
        <f>D139*B130</f>
        <v>21.28</v>
      </c>
      <c r="E140" s="276"/>
      <c r="F140" s="287">
        <f>F139*B130</f>
        <v>20.04</v>
      </c>
      <c r="G140" s="144"/>
      <c r="H140" s="144"/>
    </row>
    <row r="141" spans="1:11" ht="19.5" customHeight="1" thickBot="1" x14ac:dyDescent="0.35">
      <c r="A141" s="269" t="s">
        <v>69</v>
      </c>
      <c r="B141" s="288">
        <f>(B140/B139)*(B138/B137)*(B136/B135)*(B134/B133)*B132</f>
        <v>250</v>
      </c>
      <c r="C141" s="285" t="s">
        <v>101</v>
      </c>
      <c r="D141" s="289">
        <f>D140*B126/100</f>
        <v>21.045920000000002</v>
      </c>
      <c r="E141" s="290"/>
      <c r="F141" s="291">
        <f>F140*B126/100</f>
        <v>19.819560000000003</v>
      </c>
      <c r="G141" s="144"/>
      <c r="H141" s="144"/>
    </row>
    <row r="142" spans="1:11" ht="19.5" customHeight="1" thickBot="1" x14ac:dyDescent="0.35">
      <c r="A142" s="401" t="s">
        <v>71</v>
      </c>
      <c r="B142" s="402"/>
      <c r="C142" s="285" t="s">
        <v>102</v>
      </c>
      <c r="D142" s="286">
        <f>D141/$B$141</f>
        <v>8.4183680000000011E-2</v>
      </c>
      <c r="E142" s="290"/>
      <c r="F142" s="292">
        <f>F141/$B$141</f>
        <v>7.9278240000000014E-2</v>
      </c>
      <c r="G142" s="118"/>
      <c r="H142" s="293"/>
    </row>
    <row r="143" spans="1:11" ht="19.5" customHeight="1" thickBot="1" x14ac:dyDescent="0.35">
      <c r="A143" s="403"/>
      <c r="B143" s="404"/>
      <c r="C143" s="285" t="s">
        <v>125</v>
      </c>
      <c r="D143" s="289">
        <f>$B$56/$B$159</f>
        <v>5.5555555555555552E-2</v>
      </c>
      <c r="E143" s="144"/>
      <c r="F143" s="294"/>
      <c r="G143" s="295"/>
      <c r="H143" s="293"/>
    </row>
    <row r="144" spans="1:11" ht="18.75" x14ac:dyDescent="0.3">
      <c r="A144" s="144"/>
      <c r="B144" s="144"/>
      <c r="C144" s="285" t="s">
        <v>73</v>
      </c>
      <c r="D144" s="286">
        <f>D143*$B$141</f>
        <v>13.888888888888888</v>
      </c>
      <c r="E144" s="144"/>
      <c r="F144" s="294"/>
      <c r="G144" s="118"/>
      <c r="H144" s="293"/>
    </row>
    <row r="145" spans="1:9" ht="19.5" customHeight="1" thickBot="1" x14ac:dyDescent="0.35">
      <c r="A145" s="144"/>
      <c r="B145" s="144"/>
      <c r="C145" s="296" t="s">
        <v>74</v>
      </c>
      <c r="D145" s="297">
        <f>D144/B130</f>
        <v>13.888888888888888</v>
      </c>
      <c r="E145" s="144"/>
      <c r="F145" s="298"/>
      <c r="G145" s="118"/>
      <c r="H145" s="293"/>
      <c r="I145" s="232"/>
    </row>
    <row r="146" spans="1:9" ht="18.75" x14ac:dyDescent="0.3">
      <c r="A146" s="144"/>
      <c r="B146" s="144"/>
      <c r="C146" s="299" t="s">
        <v>103</v>
      </c>
      <c r="D146" s="300">
        <f>AVERAGE(E134:E137,G134:G137)</f>
        <v>28980778.134615511</v>
      </c>
      <c r="E146" s="144"/>
      <c r="F146" s="298"/>
      <c r="G146" s="295"/>
      <c r="H146" s="293"/>
      <c r="I146" s="233"/>
    </row>
    <row r="147" spans="1:9" ht="18.75" x14ac:dyDescent="0.3">
      <c r="A147" s="144"/>
      <c r="B147" s="144"/>
      <c r="C147" s="301" t="s">
        <v>76</v>
      </c>
      <c r="D147" s="302">
        <f>STDEV(E134:E137,G134:G137)/D146</f>
        <v>5.4679651299024967E-3</v>
      </c>
      <c r="E147" s="144"/>
      <c r="F147" s="298"/>
      <c r="G147" s="118"/>
      <c r="H147" s="293"/>
      <c r="I147" s="233"/>
    </row>
    <row r="148" spans="1:9" ht="19.5" customHeight="1" thickBot="1" x14ac:dyDescent="0.35">
      <c r="A148" s="144"/>
      <c r="B148" s="144"/>
      <c r="C148" s="303" t="s">
        <v>19</v>
      </c>
      <c r="D148" s="304">
        <f>COUNT(E134:E137,G134:G137)</f>
        <v>6</v>
      </c>
      <c r="E148" s="144"/>
      <c r="F148" s="298"/>
      <c r="G148" s="118"/>
      <c r="H148" s="293"/>
      <c r="I148" s="233"/>
    </row>
    <row r="149" spans="1:9" ht="19.5" customHeight="1" thickBot="1" x14ac:dyDescent="0.35">
      <c r="A149" s="305"/>
      <c r="B149" s="305"/>
      <c r="C149" s="305"/>
      <c r="D149" s="305"/>
      <c r="E149" s="305"/>
      <c r="F149" s="144"/>
      <c r="G149" s="144"/>
      <c r="H149" s="144"/>
    </row>
    <row r="150" spans="1:9" ht="17.25" customHeight="1" x14ac:dyDescent="0.3">
      <c r="A150" s="267" t="s">
        <v>104</v>
      </c>
      <c r="B150" s="268">
        <v>900</v>
      </c>
      <c r="C150" s="306" t="s">
        <v>129</v>
      </c>
      <c r="D150" s="307" t="s">
        <v>57</v>
      </c>
      <c r="E150" s="308" t="s">
        <v>105</v>
      </c>
      <c r="F150" s="309" t="s">
        <v>106</v>
      </c>
      <c r="G150" s="144"/>
      <c r="H150" s="144"/>
    </row>
    <row r="151" spans="1:9" ht="26.25" customHeight="1" x14ac:dyDescent="0.3">
      <c r="A151" s="269" t="s">
        <v>107</v>
      </c>
      <c r="B151" s="270">
        <v>5</v>
      </c>
      <c r="C151" s="310">
        <v>1</v>
      </c>
      <c r="D151" s="311">
        <v>28841294</v>
      </c>
      <c r="E151" s="312">
        <f t="shared" ref="E151:E156" si="3">IF(ISBLANK(D151),"-",D151/$D$146*$D$143*$B$159)</f>
        <v>199.03740241916478</v>
      </c>
      <c r="F151" s="313">
        <f t="shared" ref="F151:F156" si="4">IF(ISBLANK(D151), "-", E151/$B$56)</f>
        <v>0.99518701209582394</v>
      </c>
      <c r="G151" s="144"/>
      <c r="H151" s="144"/>
    </row>
    <row r="152" spans="1:9" ht="26.25" customHeight="1" x14ac:dyDescent="0.3">
      <c r="A152" s="269" t="s">
        <v>85</v>
      </c>
      <c r="B152" s="270">
        <v>20</v>
      </c>
      <c r="C152" s="310">
        <v>2</v>
      </c>
      <c r="D152" s="314">
        <v>28637199</v>
      </c>
      <c r="E152" s="315">
        <f t="shared" si="3"/>
        <v>197.62891711865299</v>
      </c>
      <c r="F152" s="316">
        <f t="shared" si="4"/>
        <v>0.98814458559326501</v>
      </c>
      <c r="G152" s="144"/>
      <c r="H152" s="144"/>
    </row>
    <row r="153" spans="1:9" ht="26.25" customHeight="1" x14ac:dyDescent="0.3">
      <c r="A153" s="269" t="s">
        <v>86</v>
      </c>
      <c r="B153" s="270">
        <v>1</v>
      </c>
      <c r="C153" s="310">
        <v>3</v>
      </c>
      <c r="D153" s="314">
        <v>29350688</v>
      </c>
      <c r="E153" s="315">
        <f t="shared" si="3"/>
        <v>202.55279457070654</v>
      </c>
      <c r="F153" s="316">
        <f t="shared" si="4"/>
        <v>1.0127639728535327</v>
      </c>
      <c r="G153" s="144"/>
      <c r="H153" s="144"/>
    </row>
    <row r="154" spans="1:9" ht="26.25" customHeight="1" x14ac:dyDescent="0.3">
      <c r="A154" s="269" t="s">
        <v>87</v>
      </c>
      <c r="B154" s="270">
        <v>1</v>
      </c>
      <c r="C154" s="310">
        <v>4</v>
      </c>
      <c r="D154" s="314">
        <v>29586555</v>
      </c>
      <c r="E154" s="315">
        <f t="shared" si="3"/>
        <v>204.18054244486231</v>
      </c>
      <c r="F154" s="316">
        <f t="shared" si="4"/>
        <v>1.0209027122243115</v>
      </c>
      <c r="G154" s="144"/>
      <c r="H154" s="144"/>
    </row>
    <row r="155" spans="1:9" ht="26.25" customHeight="1" x14ac:dyDescent="0.3">
      <c r="A155" s="269" t="s">
        <v>88</v>
      </c>
      <c r="B155" s="270">
        <v>1</v>
      </c>
      <c r="C155" s="310">
        <v>5</v>
      </c>
      <c r="D155" s="314">
        <v>28829652</v>
      </c>
      <c r="E155" s="315">
        <f t="shared" si="3"/>
        <v>198.95705951086936</v>
      </c>
      <c r="F155" s="316">
        <f t="shared" si="4"/>
        <v>0.99478529755434675</v>
      </c>
      <c r="G155" s="144"/>
      <c r="H155" s="144"/>
    </row>
    <row r="156" spans="1:9" ht="26.25" customHeight="1" x14ac:dyDescent="0.3">
      <c r="A156" s="269" t="s">
        <v>90</v>
      </c>
      <c r="B156" s="270">
        <v>1</v>
      </c>
      <c r="C156" s="317">
        <v>6</v>
      </c>
      <c r="D156" s="318">
        <v>25805044</v>
      </c>
      <c r="E156" s="319">
        <f t="shared" si="3"/>
        <v>178.08385875724764</v>
      </c>
      <c r="F156" s="320">
        <f t="shared" si="4"/>
        <v>0.89041929378623819</v>
      </c>
      <c r="G156" s="144"/>
      <c r="H156" s="144"/>
    </row>
    <row r="157" spans="1:9" ht="26.25" customHeight="1" x14ac:dyDescent="0.3">
      <c r="A157" s="269" t="s">
        <v>91</v>
      </c>
      <c r="B157" s="270">
        <v>1</v>
      </c>
      <c r="C157" s="310"/>
      <c r="D157" s="276"/>
      <c r="E157" s="144"/>
      <c r="F157" s="321"/>
      <c r="G157" s="144"/>
      <c r="H157" s="144"/>
    </row>
    <row r="158" spans="1:9" ht="26.25" customHeight="1" x14ac:dyDescent="0.4">
      <c r="A158" s="269" t="s">
        <v>92</v>
      </c>
      <c r="B158" s="270">
        <v>1</v>
      </c>
      <c r="C158" s="310"/>
      <c r="D158" s="322"/>
      <c r="E158" s="323" t="s">
        <v>64</v>
      </c>
      <c r="F158" s="324">
        <f>AVERAGE(F151:F156)</f>
        <v>0.98370047901791968</v>
      </c>
      <c r="G158" s="144"/>
      <c r="H158" s="144"/>
    </row>
    <row r="159" spans="1:9" ht="27" customHeight="1" thickBot="1" x14ac:dyDescent="0.45">
      <c r="A159" s="269" t="s">
        <v>93</v>
      </c>
      <c r="B159" s="288">
        <f>(B158/B157)*(B156/B155)*(B154/B153)*(B152/B151)*B150</f>
        <v>3600</v>
      </c>
      <c r="C159" s="325"/>
      <c r="D159" s="144"/>
      <c r="E159" s="326" t="s">
        <v>76</v>
      </c>
      <c r="F159" s="327">
        <f>STDEV(F151:F156)/F158</f>
        <v>4.8122811523953854E-2</v>
      </c>
      <c r="G159" s="144"/>
      <c r="H159" s="144"/>
    </row>
    <row r="160" spans="1:9" ht="27" customHeight="1" thickBot="1" x14ac:dyDescent="0.45">
      <c r="A160" s="401" t="s">
        <v>71</v>
      </c>
      <c r="B160" s="405"/>
      <c r="C160" s="328"/>
      <c r="D160" s="329"/>
      <c r="E160" s="330" t="s">
        <v>19</v>
      </c>
      <c r="F160" s="331">
        <f>COUNT(F151:F156)</f>
        <v>6</v>
      </c>
      <c r="G160" s="144"/>
      <c r="H160" s="144"/>
      <c r="I160" s="233"/>
    </row>
    <row r="161" spans="1:8" ht="19.5" customHeight="1" thickBot="1" x14ac:dyDescent="0.35">
      <c r="A161" s="403"/>
      <c r="B161" s="406"/>
      <c r="C161" s="144"/>
      <c r="D161" s="144"/>
      <c r="E161" s="144"/>
      <c r="F161" s="276"/>
      <c r="G161" s="144"/>
      <c r="H161" s="144"/>
    </row>
    <row r="162" spans="1:8" ht="18.75" x14ac:dyDescent="0.3">
      <c r="A162" s="126"/>
      <c r="B162" s="126"/>
      <c r="C162" s="144"/>
      <c r="D162" s="144"/>
      <c r="E162" s="144"/>
      <c r="F162" s="276"/>
      <c r="G162" s="144"/>
      <c r="H162" s="144"/>
    </row>
    <row r="163" spans="1:8" ht="18.75" x14ac:dyDescent="0.3">
      <c r="A163" s="260" t="s">
        <v>130</v>
      </c>
      <c r="B163" s="111" t="s">
        <v>133</v>
      </c>
      <c r="C163" s="144"/>
      <c r="D163" s="144"/>
      <c r="E163" s="144"/>
      <c r="F163" s="276"/>
      <c r="G163" s="144"/>
      <c r="H163" s="144"/>
    </row>
    <row r="164" spans="1:8" ht="19.5" customHeight="1" thickBot="1" x14ac:dyDescent="0.35">
      <c r="A164" s="126"/>
      <c r="B164" s="126"/>
      <c r="C164" s="144"/>
      <c r="D164" s="144"/>
      <c r="E164" s="144"/>
      <c r="F164" s="276"/>
      <c r="G164" s="144"/>
      <c r="H164" s="144"/>
    </row>
    <row r="165" spans="1:8" ht="26.25" customHeight="1" x14ac:dyDescent="0.4">
      <c r="A165" s="332" t="s">
        <v>64</v>
      </c>
      <c r="B165" s="333">
        <f>AVERAGE(F108:F113,F151:F156)</f>
        <v>0.98379250599900769</v>
      </c>
      <c r="C165" s="144"/>
      <c r="D165" s="144"/>
      <c r="E165" s="144"/>
      <c r="F165" s="276"/>
      <c r="G165" s="144"/>
      <c r="H165" s="144"/>
    </row>
    <row r="166" spans="1:8" ht="26.25" customHeight="1" x14ac:dyDescent="0.4">
      <c r="A166" s="269" t="s">
        <v>76</v>
      </c>
      <c r="B166" s="334">
        <f>STDEV(F108:F113,F151:F156)/B165</f>
        <v>6.5081854659204533E-2</v>
      </c>
      <c r="C166" s="144"/>
      <c r="D166" s="144"/>
      <c r="E166" s="144"/>
      <c r="F166" s="276"/>
      <c r="G166" s="144"/>
      <c r="H166" s="144"/>
    </row>
    <row r="167" spans="1:8" ht="27" customHeight="1" thickBot="1" x14ac:dyDescent="0.45">
      <c r="A167" s="335" t="s">
        <v>19</v>
      </c>
      <c r="B167" s="336">
        <f>COUNT(F108:F113,F151:F156)</f>
        <v>12</v>
      </c>
      <c r="C167" s="144"/>
      <c r="D167" s="144"/>
      <c r="E167" s="144"/>
      <c r="F167" s="276"/>
      <c r="G167" s="144"/>
      <c r="H167" s="144"/>
    </row>
    <row r="168" spans="1:8" ht="26.25" customHeight="1" x14ac:dyDescent="0.3">
      <c r="A168" s="112" t="s">
        <v>128</v>
      </c>
      <c r="B168" s="113" t="s">
        <v>108</v>
      </c>
      <c r="C168" s="407" t="str">
        <f>B20</f>
        <v>Lopinavir</v>
      </c>
      <c r="D168" s="407"/>
      <c r="E168" s="106" t="s">
        <v>109</v>
      </c>
      <c r="F168" s="106"/>
      <c r="G168" s="207">
        <f>B165</f>
        <v>0.98379250599900769</v>
      </c>
      <c r="H168" s="106"/>
    </row>
    <row r="169" spans="1:8" ht="19.5" customHeight="1" thickBot="1" x14ac:dyDescent="0.35">
      <c r="A169" s="337"/>
      <c r="B169" s="337"/>
      <c r="C169" s="338"/>
      <c r="D169" s="338"/>
      <c r="E169" s="338"/>
      <c r="F169" s="338"/>
      <c r="G169" s="338"/>
      <c r="H169" s="338"/>
    </row>
    <row r="170" spans="1:8" ht="18.75" x14ac:dyDescent="0.3">
      <c r="B170" s="408" t="s">
        <v>21</v>
      </c>
      <c r="C170" s="408"/>
      <c r="E170" s="132" t="s">
        <v>22</v>
      </c>
      <c r="F170" s="339"/>
      <c r="G170" s="408" t="s">
        <v>23</v>
      </c>
      <c r="H170" s="408"/>
    </row>
    <row r="171" spans="1:8" ht="83.25" customHeight="1" x14ac:dyDescent="0.3">
      <c r="A171" s="112" t="s">
        <v>24</v>
      </c>
      <c r="B171" s="340"/>
      <c r="C171" s="340"/>
      <c r="E171" s="341"/>
      <c r="F171" s="106"/>
      <c r="G171" s="341"/>
      <c r="H171" s="341"/>
    </row>
    <row r="172" spans="1:8" ht="84" customHeight="1" x14ac:dyDescent="0.3">
      <c r="A172" s="112" t="s">
        <v>25</v>
      </c>
      <c r="B172" s="342"/>
      <c r="C172" s="342"/>
      <c r="E172" s="343"/>
      <c r="F172" s="106"/>
      <c r="G172" s="344"/>
      <c r="H172" s="344"/>
    </row>
    <row r="173" spans="1:8" ht="18.75" x14ac:dyDescent="0.3">
      <c r="A173" s="140"/>
      <c r="B173" s="140"/>
      <c r="C173" s="140"/>
      <c r="D173" s="140"/>
      <c r="E173" s="140"/>
      <c r="F173" s="162"/>
      <c r="G173" s="140"/>
      <c r="H173" s="140"/>
    </row>
    <row r="174" spans="1:8" ht="18.75" x14ac:dyDescent="0.3">
      <c r="A174" s="140"/>
      <c r="B174" s="140"/>
      <c r="C174" s="140"/>
      <c r="D174" s="140"/>
      <c r="E174" s="140"/>
      <c r="F174" s="162"/>
      <c r="G174" s="140"/>
      <c r="H174" s="140"/>
    </row>
    <row r="175" spans="1:8" ht="18.75" x14ac:dyDescent="0.3">
      <c r="A175" s="140"/>
      <c r="B175" s="140"/>
      <c r="C175" s="140"/>
      <c r="D175" s="140"/>
      <c r="E175" s="140"/>
      <c r="F175" s="162"/>
      <c r="G175" s="140"/>
      <c r="H175" s="140"/>
    </row>
    <row r="176" spans="1:8" ht="18.75" x14ac:dyDescent="0.3">
      <c r="A176" s="140"/>
      <c r="B176" s="140"/>
      <c r="C176" s="140"/>
      <c r="D176" s="140"/>
      <c r="E176" s="140"/>
      <c r="F176" s="162"/>
      <c r="G176" s="140"/>
      <c r="H176" s="140"/>
    </row>
    <row r="177" spans="1:8" ht="18.75" x14ac:dyDescent="0.3">
      <c r="A177" s="140"/>
      <c r="B177" s="140"/>
      <c r="C177" s="140"/>
      <c r="D177" s="140"/>
      <c r="E177" s="140"/>
      <c r="F177" s="162"/>
      <c r="G177" s="140"/>
      <c r="H177" s="140"/>
    </row>
    <row r="178" spans="1:8" ht="18.75" x14ac:dyDescent="0.3">
      <c r="A178" s="140"/>
      <c r="B178" s="140"/>
      <c r="C178" s="140"/>
      <c r="D178" s="140"/>
      <c r="E178" s="140"/>
      <c r="F178" s="162"/>
      <c r="G178" s="140"/>
      <c r="H178" s="140"/>
    </row>
    <row r="179" spans="1:8" ht="18.75" x14ac:dyDescent="0.3">
      <c r="A179" s="140"/>
      <c r="B179" s="140"/>
      <c r="C179" s="140"/>
      <c r="D179" s="140"/>
      <c r="E179" s="140"/>
      <c r="F179" s="162"/>
      <c r="G179" s="140"/>
      <c r="H179" s="140"/>
    </row>
    <row r="180" spans="1:8" ht="18.75" x14ac:dyDescent="0.3">
      <c r="A180" s="140"/>
      <c r="B180" s="140"/>
      <c r="C180" s="140"/>
      <c r="D180" s="140"/>
      <c r="E180" s="140"/>
      <c r="F180" s="162"/>
      <c r="G180" s="140"/>
      <c r="H180" s="140"/>
    </row>
    <row r="181" spans="1:8" ht="18.75" x14ac:dyDescent="0.3">
      <c r="A181" s="140"/>
      <c r="B181" s="140"/>
      <c r="C181" s="140"/>
      <c r="D181" s="140"/>
      <c r="E181" s="140"/>
      <c r="F181" s="162"/>
      <c r="G181" s="140"/>
      <c r="H181" s="140"/>
    </row>
    <row r="250" spans="1:1" x14ac:dyDescent="0.3">
      <c r="A250" s="10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40">
    <mergeCell ref="B26:C26"/>
    <mergeCell ref="B21:H21"/>
    <mergeCell ref="A1:H7"/>
    <mergeCell ref="A8:H14"/>
    <mergeCell ref="A16:H16"/>
    <mergeCell ref="A17:H17"/>
    <mergeCell ref="B18:C18"/>
    <mergeCell ref="B27:C27"/>
    <mergeCell ref="C29:G29"/>
    <mergeCell ref="C31:H31"/>
    <mergeCell ref="C32:H32"/>
    <mergeCell ref="D36:E36"/>
    <mergeCell ref="F36:G36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4">
    <cfRule type="cellIs" dxfId="3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A139" zoomScale="60" zoomScaleNormal="60" zoomScaleSheetLayoutView="55" workbookViewId="0">
      <selection activeCell="C36" sqref="C36"/>
    </sheetView>
  </sheetViews>
  <sheetFormatPr defaultRowHeight="16.5" x14ac:dyDescent="0.3"/>
  <cols>
    <col min="1" max="1" width="55.42578125" style="101" customWidth="1"/>
    <col min="2" max="2" width="33.7109375" style="101" customWidth="1"/>
    <col min="3" max="3" width="42.28515625" style="101" customWidth="1"/>
    <col min="4" max="4" width="30.5703125" style="101" customWidth="1"/>
    <col min="5" max="5" width="39.85546875" style="101" customWidth="1"/>
    <col min="6" max="6" width="30.7109375" style="101" customWidth="1"/>
    <col min="7" max="7" width="36.42578125" style="101" customWidth="1"/>
    <col min="8" max="8" width="41.140625" style="101" customWidth="1"/>
    <col min="9" max="9" width="30.42578125" style="100" customWidth="1"/>
    <col min="10" max="10" width="21.28515625" style="100" customWidth="1"/>
    <col min="11" max="11" width="9.140625" style="100" customWidth="1"/>
    <col min="12" max="16384" width="9.140625" style="102"/>
  </cols>
  <sheetData>
    <row r="1" spans="1:8" ht="15" x14ac:dyDescent="0.3">
      <c r="A1" s="425" t="s">
        <v>40</v>
      </c>
      <c r="B1" s="425"/>
      <c r="C1" s="425"/>
      <c r="D1" s="425"/>
      <c r="E1" s="425"/>
      <c r="F1" s="425"/>
      <c r="G1" s="425"/>
      <c r="H1" s="425"/>
    </row>
    <row r="2" spans="1:8" ht="15" x14ac:dyDescent="0.3">
      <c r="A2" s="425"/>
      <c r="B2" s="425"/>
      <c r="C2" s="425"/>
      <c r="D2" s="425"/>
      <c r="E2" s="425"/>
      <c r="F2" s="425"/>
      <c r="G2" s="425"/>
      <c r="H2" s="425"/>
    </row>
    <row r="3" spans="1:8" ht="15" x14ac:dyDescent="0.3">
      <c r="A3" s="425"/>
      <c r="B3" s="425"/>
      <c r="C3" s="425"/>
      <c r="D3" s="425"/>
      <c r="E3" s="425"/>
      <c r="F3" s="425"/>
      <c r="G3" s="425"/>
      <c r="H3" s="425"/>
    </row>
    <row r="4" spans="1:8" ht="15" x14ac:dyDescent="0.3">
      <c r="A4" s="425"/>
      <c r="B4" s="425"/>
      <c r="C4" s="425"/>
      <c r="D4" s="425"/>
      <c r="E4" s="425"/>
      <c r="F4" s="425"/>
      <c r="G4" s="425"/>
      <c r="H4" s="425"/>
    </row>
    <row r="5" spans="1:8" ht="15" x14ac:dyDescent="0.3">
      <c r="A5" s="425"/>
      <c r="B5" s="425"/>
      <c r="C5" s="425"/>
      <c r="D5" s="425"/>
      <c r="E5" s="425"/>
      <c r="F5" s="425"/>
      <c r="G5" s="425"/>
      <c r="H5" s="425"/>
    </row>
    <row r="6" spans="1:8" ht="15" x14ac:dyDescent="0.3">
      <c r="A6" s="425"/>
      <c r="B6" s="425"/>
      <c r="C6" s="425"/>
      <c r="D6" s="425"/>
      <c r="E6" s="425"/>
      <c r="F6" s="425"/>
      <c r="G6" s="425"/>
      <c r="H6" s="425"/>
    </row>
    <row r="7" spans="1:8" ht="15" x14ac:dyDescent="0.3">
      <c r="A7" s="425"/>
      <c r="B7" s="425"/>
      <c r="C7" s="425"/>
      <c r="D7" s="425"/>
      <c r="E7" s="425"/>
      <c r="F7" s="425"/>
      <c r="G7" s="425"/>
      <c r="H7" s="425"/>
    </row>
    <row r="8" spans="1:8" ht="15" x14ac:dyDescent="0.3">
      <c r="A8" s="426" t="s">
        <v>41</v>
      </c>
      <c r="B8" s="426"/>
      <c r="C8" s="426"/>
      <c r="D8" s="426"/>
      <c r="E8" s="426"/>
      <c r="F8" s="426"/>
      <c r="G8" s="426"/>
      <c r="H8" s="426"/>
    </row>
    <row r="9" spans="1:8" ht="15" x14ac:dyDescent="0.3">
      <c r="A9" s="426"/>
      <c r="B9" s="426"/>
      <c r="C9" s="426"/>
      <c r="D9" s="426"/>
      <c r="E9" s="426"/>
      <c r="F9" s="426"/>
      <c r="G9" s="426"/>
      <c r="H9" s="426"/>
    </row>
    <row r="10" spans="1:8" ht="15" x14ac:dyDescent="0.3">
      <c r="A10" s="426"/>
      <c r="B10" s="426"/>
      <c r="C10" s="426"/>
      <c r="D10" s="426"/>
      <c r="E10" s="426"/>
      <c r="F10" s="426"/>
      <c r="G10" s="426"/>
      <c r="H10" s="426"/>
    </row>
    <row r="11" spans="1:8" ht="15" x14ac:dyDescent="0.3">
      <c r="A11" s="426"/>
      <c r="B11" s="426"/>
      <c r="C11" s="426"/>
      <c r="D11" s="426"/>
      <c r="E11" s="426"/>
      <c r="F11" s="426"/>
      <c r="G11" s="426"/>
      <c r="H11" s="426"/>
    </row>
    <row r="12" spans="1:8" ht="15" x14ac:dyDescent="0.3">
      <c r="A12" s="426"/>
      <c r="B12" s="426"/>
      <c r="C12" s="426"/>
      <c r="D12" s="426"/>
      <c r="E12" s="426"/>
      <c r="F12" s="426"/>
      <c r="G12" s="426"/>
      <c r="H12" s="426"/>
    </row>
    <row r="13" spans="1:8" ht="15" x14ac:dyDescent="0.3">
      <c r="A13" s="426"/>
      <c r="B13" s="426"/>
      <c r="C13" s="426"/>
      <c r="D13" s="426"/>
      <c r="E13" s="426"/>
      <c r="F13" s="426"/>
      <c r="G13" s="426"/>
      <c r="H13" s="426"/>
    </row>
    <row r="14" spans="1:8" ht="15" x14ac:dyDescent="0.3">
      <c r="A14" s="426"/>
      <c r="B14" s="426"/>
      <c r="C14" s="426"/>
      <c r="D14" s="426"/>
      <c r="E14" s="426"/>
      <c r="F14" s="426"/>
      <c r="G14" s="426"/>
      <c r="H14" s="426"/>
    </row>
    <row r="15" spans="1:8" ht="19.5" customHeight="1" thickBot="1" x14ac:dyDescent="0.35"/>
    <row r="16" spans="1:8" ht="19.5" customHeight="1" thickBot="1" x14ac:dyDescent="0.35">
      <c r="A16" s="427" t="s">
        <v>26</v>
      </c>
      <c r="B16" s="428"/>
      <c r="C16" s="428"/>
      <c r="D16" s="428"/>
      <c r="E16" s="428"/>
      <c r="F16" s="428"/>
      <c r="G16" s="428"/>
      <c r="H16" s="429"/>
    </row>
    <row r="17" spans="1:13" ht="20.25" customHeight="1" x14ac:dyDescent="0.3">
      <c r="A17" s="430" t="s">
        <v>42</v>
      </c>
      <c r="B17" s="430"/>
      <c r="C17" s="430"/>
      <c r="D17" s="430"/>
      <c r="E17" s="430"/>
      <c r="F17" s="430"/>
      <c r="G17" s="430"/>
      <c r="H17" s="430"/>
    </row>
    <row r="18" spans="1:13" ht="26.25" customHeight="1" x14ac:dyDescent="0.3">
      <c r="A18" s="103" t="s">
        <v>28</v>
      </c>
      <c r="B18" s="417" t="s">
        <v>4</v>
      </c>
      <c r="C18" s="417"/>
      <c r="D18" s="104"/>
      <c r="E18" s="104"/>
    </row>
    <row r="19" spans="1:13" ht="26.25" customHeight="1" x14ac:dyDescent="0.3">
      <c r="A19" s="103" t="s">
        <v>29</v>
      </c>
      <c r="B19" s="105" t="s">
        <v>6</v>
      </c>
      <c r="C19" s="106">
        <v>11</v>
      </c>
    </row>
    <row r="20" spans="1:13" ht="26.25" customHeight="1" x14ac:dyDescent="0.3">
      <c r="A20" s="103" t="s">
        <v>30</v>
      </c>
      <c r="B20" s="105" t="s">
        <v>134</v>
      </c>
    </row>
    <row r="21" spans="1:13" ht="26.25" customHeight="1" x14ac:dyDescent="0.3">
      <c r="A21" s="103" t="s">
        <v>31</v>
      </c>
      <c r="B21" s="107" t="s">
        <v>10</v>
      </c>
      <c r="C21" s="108"/>
      <c r="D21" s="108"/>
      <c r="E21" s="108"/>
      <c r="F21" s="108"/>
      <c r="G21" s="108"/>
      <c r="H21" s="108"/>
    </row>
    <row r="22" spans="1:13" ht="26.25" customHeight="1" x14ac:dyDescent="0.3">
      <c r="A22" s="103" t="s">
        <v>32</v>
      </c>
      <c r="B22" s="109"/>
    </row>
    <row r="23" spans="1:13" ht="26.25" customHeight="1" x14ac:dyDescent="0.3">
      <c r="A23" s="103" t="s">
        <v>33</v>
      </c>
      <c r="B23" s="109"/>
    </row>
    <row r="24" spans="1:13" ht="18.75" x14ac:dyDescent="0.3">
      <c r="A24" s="103"/>
      <c r="B24" s="110"/>
    </row>
    <row r="25" spans="1:13" ht="18.75" x14ac:dyDescent="0.3">
      <c r="A25" s="111" t="s">
        <v>1</v>
      </c>
      <c r="B25" s="110"/>
    </row>
    <row r="26" spans="1:13" ht="26.25" customHeight="1" x14ac:dyDescent="0.3">
      <c r="A26" s="112" t="s">
        <v>3</v>
      </c>
      <c r="B26" s="417" t="s">
        <v>110</v>
      </c>
      <c r="C26" s="417"/>
    </row>
    <row r="27" spans="1:13" ht="26.25" customHeight="1" x14ac:dyDescent="0.3">
      <c r="A27" s="113" t="s">
        <v>43</v>
      </c>
      <c r="B27" s="418" t="s">
        <v>111</v>
      </c>
      <c r="C27" s="418"/>
    </row>
    <row r="28" spans="1:13" ht="27" customHeight="1" thickBot="1" x14ac:dyDescent="0.35">
      <c r="A28" s="113" t="s">
        <v>5</v>
      </c>
      <c r="B28" s="114">
        <v>99.3</v>
      </c>
    </row>
    <row r="29" spans="1:13" s="118" customFormat="1" ht="15.75" customHeight="1" thickBot="1" x14ac:dyDescent="0.3">
      <c r="A29" s="113" t="s">
        <v>44</v>
      </c>
      <c r="B29" s="115">
        <v>0</v>
      </c>
      <c r="C29" s="411" t="s">
        <v>123</v>
      </c>
      <c r="D29" s="412"/>
      <c r="E29" s="412"/>
      <c r="F29" s="412"/>
      <c r="G29" s="413"/>
      <c r="H29" s="116"/>
      <c r="I29" s="117"/>
      <c r="J29" s="117"/>
      <c r="K29" s="117"/>
    </row>
    <row r="30" spans="1:13" s="118" customFormat="1" ht="19.5" customHeight="1" thickBot="1" x14ac:dyDescent="0.3">
      <c r="A30" s="113" t="s">
        <v>46</v>
      </c>
      <c r="B30" s="119">
        <f>B28-B29</f>
        <v>99.3</v>
      </c>
      <c r="C30" s="120"/>
      <c r="D30" s="120"/>
      <c r="E30" s="120"/>
      <c r="F30" s="120"/>
      <c r="G30" s="121"/>
      <c r="H30" s="116"/>
      <c r="I30" s="117"/>
      <c r="J30" s="117"/>
      <c r="K30" s="117"/>
    </row>
    <row r="31" spans="1:13" s="118" customFormat="1" ht="27" customHeight="1" thickBot="1" x14ac:dyDescent="0.3">
      <c r="A31" s="113" t="s">
        <v>47</v>
      </c>
      <c r="B31" s="122">
        <v>1</v>
      </c>
      <c r="C31" s="414" t="s">
        <v>48</v>
      </c>
      <c r="D31" s="415"/>
      <c r="E31" s="415"/>
      <c r="F31" s="415"/>
      <c r="G31" s="415"/>
      <c r="H31" s="416"/>
      <c r="I31" s="117"/>
      <c r="J31" s="117"/>
      <c r="K31" s="117"/>
    </row>
    <row r="32" spans="1:13" s="118" customFormat="1" ht="27" customHeight="1" thickBot="1" x14ac:dyDescent="0.3">
      <c r="A32" s="113" t="s">
        <v>49</v>
      </c>
      <c r="B32" s="122">
        <v>1</v>
      </c>
      <c r="C32" s="414" t="s">
        <v>50</v>
      </c>
      <c r="D32" s="415"/>
      <c r="E32" s="415"/>
      <c r="F32" s="415"/>
      <c r="G32" s="415"/>
      <c r="H32" s="416"/>
      <c r="I32" s="117"/>
      <c r="J32" s="117"/>
      <c r="K32" s="123"/>
      <c r="L32" s="123"/>
      <c r="M32" s="124"/>
    </row>
    <row r="33" spans="1:13" s="118" customFormat="1" ht="17.25" customHeight="1" x14ac:dyDescent="0.25">
      <c r="A33" s="113"/>
      <c r="B33" s="125"/>
      <c r="C33" s="126"/>
      <c r="D33" s="126"/>
      <c r="E33" s="126"/>
      <c r="F33" s="126"/>
      <c r="G33" s="126"/>
      <c r="H33" s="126"/>
      <c r="I33" s="117"/>
      <c r="J33" s="117"/>
      <c r="K33" s="123"/>
      <c r="L33" s="123"/>
      <c r="M33" s="124"/>
    </row>
    <row r="34" spans="1:13" s="118" customFormat="1" ht="18.75" x14ac:dyDescent="0.25">
      <c r="A34" s="113" t="s">
        <v>51</v>
      </c>
      <c r="B34" s="127">
        <f>B31/B32</f>
        <v>1</v>
      </c>
      <c r="C34" s="106" t="s">
        <v>52</v>
      </c>
      <c r="D34" s="106"/>
      <c r="E34" s="106"/>
      <c r="F34" s="106"/>
      <c r="G34" s="106"/>
      <c r="H34" s="116"/>
      <c r="I34" s="117"/>
      <c r="J34" s="117"/>
      <c r="K34" s="123"/>
      <c r="L34" s="123"/>
      <c r="M34" s="124"/>
    </row>
    <row r="35" spans="1:13" s="118" customFormat="1" ht="19.5" customHeight="1" thickBot="1" x14ac:dyDescent="0.3">
      <c r="A35" s="113"/>
      <c r="B35" s="119"/>
      <c r="C35" s="116"/>
      <c r="D35" s="116"/>
      <c r="E35" s="116"/>
      <c r="F35" s="116"/>
      <c r="G35" s="106"/>
      <c r="H35" s="116"/>
      <c r="I35" s="117"/>
      <c r="J35" s="117"/>
      <c r="K35" s="123"/>
      <c r="L35" s="123"/>
      <c r="M35" s="124"/>
    </row>
    <row r="36" spans="1:13" s="118" customFormat="1" ht="27" customHeight="1" thickBot="1" x14ac:dyDescent="0.3">
      <c r="A36" s="128" t="s">
        <v>124</v>
      </c>
      <c r="B36" s="129">
        <v>50</v>
      </c>
      <c r="C36" s="106"/>
      <c r="D36" s="409" t="s">
        <v>53</v>
      </c>
      <c r="E36" s="424"/>
      <c r="F36" s="409" t="s">
        <v>54</v>
      </c>
      <c r="G36" s="410"/>
      <c r="H36" s="116"/>
      <c r="I36" s="117"/>
      <c r="J36" s="117"/>
      <c r="K36" s="123"/>
      <c r="L36" s="123"/>
      <c r="M36" s="124"/>
    </row>
    <row r="37" spans="1:13" s="118" customFormat="1" ht="26.25" customHeight="1" x14ac:dyDescent="0.25">
      <c r="A37" s="130" t="s">
        <v>55</v>
      </c>
      <c r="B37" s="131">
        <v>5</v>
      </c>
      <c r="C37" s="132" t="s">
        <v>56</v>
      </c>
      <c r="D37" s="133" t="s">
        <v>57</v>
      </c>
      <c r="E37" s="134" t="s">
        <v>58</v>
      </c>
      <c r="F37" s="133" t="s">
        <v>57</v>
      </c>
      <c r="G37" s="135" t="s">
        <v>58</v>
      </c>
      <c r="H37" s="116"/>
      <c r="I37" s="117"/>
      <c r="J37" s="117"/>
      <c r="K37" s="123"/>
      <c r="L37" s="123"/>
      <c r="M37" s="124"/>
    </row>
    <row r="38" spans="1:13" s="118" customFormat="1" ht="26.25" customHeight="1" x14ac:dyDescent="0.25">
      <c r="A38" s="130" t="s">
        <v>59</v>
      </c>
      <c r="B38" s="131">
        <v>100</v>
      </c>
      <c r="C38" s="136">
        <v>1</v>
      </c>
      <c r="D38" s="137">
        <v>7999737</v>
      </c>
      <c r="E38" s="138">
        <f>IF(ISBLANK(D38),"-",$D$48/$D$45*D38)</f>
        <v>7690816.142592418</v>
      </c>
      <c r="F38" s="137">
        <v>7444858</v>
      </c>
      <c r="G38" s="139">
        <f>IF(ISBLANK(F38),"-",$D$48/$F$45*F38)</f>
        <v>7611512.0564765548</v>
      </c>
      <c r="H38" s="116"/>
      <c r="I38" s="117"/>
      <c r="J38" s="117"/>
      <c r="K38" s="123"/>
      <c r="L38" s="123"/>
      <c r="M38" s="124"/>
    </row>
    <row r="39" spans="1:13" s="118" customFormat="1" ht="26.25" customHeight="1" x14ac:dyDescent="0.25">
      <c r="A39" s="130" t="s">
        <v>60</v>
      </c>
      <c r="B39" s="131">
        <v>1</v>
      </c>
      <c r="C39" s="140">
        <v>2</v>
      </c>
      <c r="D39" s="141">
        <v>7953936</v>
      </c>
      <c r="E39" s="142">
        <f>IF(ISBLANK(D39),"-",$D$48/$D$45*D39)</f>
        <v>7646783.8112611659</v>
      </c>
      <c r="F39" s="141">
        <v>7444300</v>
      </c>
      <c r="G39" s="143">
        <f>IF(ISBLANK(F39),"-",$D$48/$F$45*F39)</f>
        <v>7610941.5655783387</v>
      </c>
      <c r="H39" s="116"/>
      <c r="I39" s="117"/>
      <c r="J39" s="117"/>
      <c r="K39" s="123"/>
      <c r="L39" s="123"/>
      <c r="M39" s="124"/>
    </row>
    <row r="40" spans="1:13" ht="26.25" customHeight="1" x14ac:dyDescent="0.3">
      <c r="A40" s="130" t="s">
        <v>61</v>
      </c>
      <c r="B40" s="131">
        <v>1</v>
      </c>
      <c r="C40" s="140">
        <v>3</v>
      </c>
      <c r="D40" s="141">
        <v>7956523</v>
      </c>
      <c r="E40" s="142">
        <f>IF(ISBLANK(D40),"-",$D$48/$D$45*D40)</f>
        <v>7649270.9106946709</v>
      </c>
      <c r="F40" s="141">
        <v>7443296</v>
      </c>
      <c r="G40" s="143">
        <f>IF(ISBLANK(F40),"-",$D$48/$F$45*F40)</f>
        <v>7609915.090915598</v>
      </c>
      <c r="K40" s="123"/>
      <c r="L40" s="123"/>
      <c r="M40" s="144"/>
    </row>
    <row r="41" spans="1:13" ht="26.25" customHeight="1" x14ac:dyDescent="0.3">
      <c r="A41" s="130" t="s">
        <v>62</v>
      </c>
      <c r="B41" s="131">
        <v>1</v>
      </c>
      <c r="C41" s="145">
        <v>4</v>
      </c>
      <c r="D41" s="146"/>
      <c r="E41" s="147" t="str">
        <f>IF(ISBLANK(D41),"-",$D$48/$D$45*D41)</f>
        <v>-</v>
      </c>
      <c r="F41" s="146"/>
      <c r="G41" s="148" t="str">
        <f>IF(ISBLANK(F41),"-",$D$48/$F$45*F41)</f>
        <v>-</v>
      </c>
      <c r="K41" s="123"/>
      <c r="L41" s="123"/>
      <c r="M41" s="144"/>
    </row>
    <row r="42" spans="1:13" ht="27" customHeight="1" thickBot="1" x14ac:dyDescent="0.35">
      <c r="A42" s="130" t="s">
        <v>63</v>
      </c>
      <c r="B42" s="131">
        <v>1</v>
      </c>
      <c r="C42" s="113" t="s">
        <v>64</v>
      </c>
      <c r="D42" s="149">
        <f>AVERAGE(D38:D41)</f>
        <v>7970065.333333333</v>
      </c>
      <c r="E42" s="150">
        <f>AVERAGE(E38:E41)</f>
        <v>7662290.2881827513</v>
      </c>
      <c r="F42" s="151">
        <f>AVERAGE(F38:F41)</f>
        <v>7444151.333333333</v>
      </c>
      <c r="G42" s="152">
        <f>AVERAGE(G38:G41)</f>
        <v>7610789.5709901638</v>
      </c>
      <c r="H42" s="153"/>
    </row>
    <row r="43" spans="1:13" ht="26.25" customHeight="1" x14ac:dyDescent="0.3">
      <c r="A43" s="130" t="s">
        <v>65</v>
      </c>
      <c r="B43" s="131">
        <v>1</v>
      </c>
      <c r="C43" s="154" t="s">
        <v>66</v>
      </c>
      <c r="D43" s="155">
        <v>20.95</v>
      </c>
      <c r="E43" s="106"/>
      <c r="F43" s="156">
        <v>19.7</v>
      </c>
      <c r="H43" s="153"/>
    </row>
    <row r="44" spans="1:13" ht="26.25" customHeight="1" x14ac:dyDescent="0.3">
      <c r="A44" s="130" t="s">
        <v>67</v>
      </c>
      <c r="B44" s="131">
        <v>1</v>
      </c>
      <c r="C44" s="157" t="s">
        <v>68</v>
      </c>
      <c r="D44" s="158">
        <f>D43*$B$34</f>
        <v>20.95</v>
      </c>
      <c r="E44" s="140"/>
      <c r="F44" s="159">
        <f>F43*$B$34</f>
        <v>19.7</v>
      </c>
      <c r="H44" s="153"/>
    </row>
    <row r="45" spans="1:13" ht="19.5" customHeight="1" thickBot="1" x14ac:dyDescent="0.35">
      <c r="A45" s="130" t="s">
        <v>69</v>
      </c>
      <c r="B45" s="160">
        <f>(B44/B43)*(B42/B41)*(B40/B39)*(B38/B37)*B36</f>
        <v>1000</v>
      </c>
      <c r="C45" s="157" t="s">
        <v>70</v>
      </c>
      <c r="D45" s="161">
        <f>D44*$B$30/100</f>
        <v>20.803350000000002</v>
      </c>
      <c r="E45" s="162"/>
      <c r="F45" s="163">
        <f>F44*$B$30/100</f>
        <v>19.562099999999997</v>
      </c>
      <c r="H45" s="153"/>
    </row>
    <row r="46" spans="1:13" ht="19.5" customHeight="1" thickBot="1" x14ac:dyDescent="0.35">
      <c r="A46" s="401" t="s">
        <v>71</v>
      </c>
      <c r="B46" s="405"/>
      <c r="C46" s="157" t="s">
        <v>72</v>
      </c>
      <c r="D46" s="158">
        <f>D45/$B$45</f>
        <v>2.0803350000000002E-2</v>
      </c>
      <c r="E46" s="162"/>
      <c r="F46" s="164">
        <f>F45/$B$45</f>
        <v>1.9562099999999999E-2</v>
      </c>
      <c r="H46" s="153"/>
    </row>
    <row r="47" spans="1:13" ht="27" customHeight="1" thickBot="1" x14ac:dyDescent="0.35">
      <c r="A47" s="403"/>
      <c r="B47" s="406"/>
      <c r="C47" s="165" t="s">
        <v>125</v>
      </c>
      <c r="D47" s="166">
        <v>0.02</v>
      </c>
      <c r="F47" s="167"/>
      <c r="H47" s="153"/>
    </row>
    <row r="48" spans="1:13" ht="18.75" x14ac:dyDescent="0.3">
      <c r="C48" s="168" t="s">
        <v>73</v>
      </c>
      <c r="D48" s="161">
        <f>D47*$B$45</f>
        <v>20</v>
      </c>
      <c r="F48" s="167"/>
      <c r="H48" s="153"/>
    </row>
    <row r="49" spans="1:11" ht="19.5" customHeight="1" thickBot="1" x14ac:dyDescent="0.35">
      <c r="C49" s="169" t="s">
        <v>74</v>
      </c>
      <c r="D49" s="170">
        <f>D48/B34</f>
        <v>20</v>
      </c>
      <c r="F49" s="142"/>
      <c r="H49" s="153"/>
    </row>
    <row r="50" spans="1:11" ht="18.75" x14ac:dyDescent="0.3">
      <c r="C50" s="171" t="s">
        <v>75</v>
      </c>
      <c r="D50" s="172">
        <f>AVERAGE(E38:E41,G38:G41)</f>
        <v>7636539.929586458</v>
      </c>
      <c r="F50" s="142"/>
      <c r="H50" s="153"/>
    </row>
    <row r="51" spans="1:11" ht="18.75" x14ac:dyDescent="0.3">
      <c r="C51" s="173" t="s">
        <v>76</v>
      </c>
      <c r="D51" s="174">
        <f>STDEV(E38:E41,G38:G41)/D50</f>
        <v>4.2244007099959749E-3</v>
      </c>
      <c r="F51" s="142"/>
    </row>
    <row r="52" spans="1:11" ht="19.5" customHeight="1" thickBot="1" x14ac:dyDescent="0.35">
      <c r="C52" s="175" t="s">
        <v>19</v>
      </c>
      <c r="D52" s="176">
        <f>COUNT(E38:E41,G38:G41)</f>
        <v>6</v>
      </c>
      <c r="F52" s="142"/>
    </row>
    <row r="54" spans="1:11" ht="18.75" x14ac:dyDescent="0.3">
      <c r="A54" s="177" t="s">
        <v>1</v>
      </c>
      <c r="B54" s="178" t="s">
        <v>77</v>
      </c>
    </row>
    <row r="55" spans="1:11" ht="18.75" x14ac:dyDescent="0.3">
      <c r="A55" s="106" t="s">
        <v>78</v>
      </c>
      <c r="B55" s="179" t="str">
        <f>B21</f>
        <v>Each film-coated tablet contains Lopinavir 200 mg, Ritonavir 50 mg</v>
      </c>
    </row>
    <row r="56" spans="1:11" ht="26.25" customHeight="1" x14ac:dyDescent="0.3">
      <c r="A56" s="179" t="s">
        <v>79</v>
      </c>
      <c r="B56" s="114">
        <v>50</v>
      </c>
      <c r="C56" s="106" t="str">
        <f>B20</f>
        <v xml:space="preserve"> Ritonavir</v>
      </c>
      <c r="H56" s="140"/>
    </row>
    <row r="57" spans="1:11" ht="18.75" x14ac:dyDescent="0.3">
      <c r="A57" s="179" t="s">
        <v>80</v>
      </c>
      <c r="B57" s="180">
        <f>Uniformity!C46</f>
        <v>1256.2050000000002</v>
      </c>
      <c r="H57" s="140"/>
    </row>
    <row r="58" spans="1:11" ht="19.5" customHeight="1" thickBot="1" x14ac:dyDescent="0.35">
      <c r="H58" s="140"/>
    </row>
    <row r="59" spans="1:11" s="118" customFormat="1" ht="27" customHeight="1" thickBot="1" x14ac:dyDescent="0.3">
      <c r="A59" s="128" t="s">
        <v>126</v>
      </c>
      <c r="B59" s="129">
        <v>100</v>
      </c>
      <c r="C59" s="106"/>
      <c r="D59" s="181" t="s">
        <v>81</v>
      </c>
      <c r="E59" s="182" t="s">
        <v>56</v>
      </c>
      <c r="F59" s="182" t="s">
        <v>57</v>
      </c>
      <c r="G59" s="182" t="s">
        <v>82</v>
      </c>
      <c r="H59" s="183" t="s">
        <v>83</v>
      </c>
      <c r="K59" s="117"/>
    </row>
    <row r="60" spans="1:11" s="118" customFormat="1" ht="26.25" customHeight="1" x14ac:dyDescent="0.25">
      <c r="A60" s="130" t="s">
        <v>107</v>
      </c>
      <c r="B60" s="131">
        <v>5</v>
      </c>
      <c r="C60" s="408" t="s">
        <v>84</v>
      </c>
      <c r="D60" s="420">
        <v>557.66999999999996</v>
      </c>
      <c r="E60" s="184">
        <v>1</v>
      </c>
      <c r="F60" s="185">
        <v>8265753</v>
      </c>
      <c r="G60" s="186">
        <f>IF(ISBLANK(F60),"-",(F60/$D$50*$D$47*$B$68)*($B$57/$D$60))</f>
        <v>48.763966886304985</v>
      </c>
      <c r="H60" s="187">
        <f t="shared" ref="H60:H71" si="0">IF(ISBLANK(F60),"-",G60/$B$56)</f>
        <v>0.97527933772609965</v>
      </c>
      <c r="K60" s="117"/>
    </row>
    <row r="61" spans="1:11" s="118" customFormat="1" ht="26.25" customHeight="1" x14ac:dyDescent="0.25">
      <c r="A61" s="130" t="s">
        <v>85</v>
      </c>
      <c r="B61" s="131">
        <v>50</v>
      </c>
      <c r="C61" s="407"/>
      <c r="D61" s="421"/>
      <c r="E61" s="188">
        <v>2</v>
      </c>
      <c r="F61" s="189">
        <v>8295730</v>
      </c>
      <c r="G61" s="190">
        <f>IF(ISBLANK(F61),"-",(F61/$D$50*$D$47*$B$68)*($B$57/$D$60))</f>
        <v>48.940816767416933</v>
      </c>
      <c r="H61" s="191">
        <f t="shared" si="0"/>
        <v>0.97881633534833867</v>
      </c>
      <c r="K61" s="117"/>
    </row>
    <row r="62" spans="1:11" s="118" customFormat="1" ht="26.25" customHeight="1" x14ac:dyDescent="0.25">
      <c r="A62" s="130" t="s">
        <v>86</v>
      </c>
      <c r="B62" s="131">
        <v>1</v>
      </c>
      <c r="C62" s="407"/>
      <c r="D62" s="421"/>
      <c r="E62" s="188">
        <v>3</v>
      </c>
      <c r="F62" s="189">
        <v>8252721</v>
      </c>
      <c r="G62" s="190">
        <f>IF(ISBLANK(F62),"-",(F62/$D$50*$D$47*$B$68)*($B$57/$D$60))</f>
        <v>48.687084354675711</v>
      </c>
      <c r="H62" s="191">
        <f t="shared" si="0"/>
        <v>0.97374168709351427</v>
      </c>
      <c r="K62" s="117"/>
    </row>
    <row r="63" spans="1:11" ht="27" customHeight="1" thickBot="1" x14ac:dyDescent="0.35">
      <c r="A63" s="130" t="s">
        <v>87</v>
      </c>
      <c r="B63" s="131">
        <v>1</v>
      </c>
      <c r="C63" s="419"/>
      <c r="D63" s="422"/>
      <c r="E63" s="192">
        <v>4</v>
      </c>
      <c r="F63" s="193"/>
      <c r="G63" s="190" t="str">
        <f>IF(ISBLANK(F63),"-",(F63/$D$50*$D$47*$B$68)*($B$57/$D$60))</f>
        <v>-</v>
      </c>
      <c r="H63" s="191" t="str">
        <f t="shared" si="0"/>
        <v>-</v>
      </c>
    </row>
    <row r="64" spans="1:11" ht="26.25" customHeight="1" x14ac:dyDescent="0.3">
      <c r="A64" s="130" t="s">
        <v>88</v>
      </c>
      <c r="B64" s="131">
        <v>1</v>
      </c>
      <c r="C64" s="408" t="s">
        <v>89</v>
      </c>
      <c r="D64" s="420">
        <v>509.73</v>
      </c>
      <c r="E64" s="184">
        <v>1</v>
      </c>
      <c r="F64" s="185">
        <v>7590296</v>
      </c>
      <c r="G64" s="194">
        <f>IF(ISBLANK(F64),"-",(F64/$D$50*$D$47*$B$68)*($B$57/$D$64))</f>
        <v>48.990560054032869</v>
      </c>
      <c r="H64" s="195">
        <f t="shared" si="0"/>
        <v>0.97981120108065733</v>
      </c>
    </row>
    <row r="65" spans="1:8" ht="26.25" customHeight="1" x14ac:dyDescent="0.3">
      <c r="A65" s="130" t="s">
        <v>90</v>
      </c>
      <c r="B65" s="131">
        <v>1</v>
      </c>
      <c r="C65" s="407"/>
      <c r="D65" s="421"/>
      <c r="E65" s="188">
        <v>2</v>
      </c>
      <c r="F65" s="189">
        <v>7617108</v>
      </c>
      <c r="G65" s="196">
        <f>IF(ISBLANK(F65),"-",(F65/$D$50*$D$47*$B$68)*($B$57/$D$64))</f>
        <v>49.163614556277402</v>
      </c>
      <c r="H65" s="197">
        <f t="shared" si="0"/>
        <v>0.98327229112554804</v>
      </c>
    </row>
    <row r="66" spans="1:8" ht="26.25" customHeight="1" x14ac:dyDescent="0.3">
      <c r="A66" s="130" t="s">
        <v>91</v>
      </c>
      <c r="B66" s="131">
        <v>1</v>
      </c>
      <c r="C66" s="407"/>
      <c r="D66" s="421"/>
      <c r="E66" s="188">
        <v>3</v>
      </c>
      <c r="F66" s="189">
        <v>7620217</v>
      </c>
      <c r="G66" s="196">
        <f>IF(ISBLANK(F66),"-",(F66/$D$50*$D$47*$B$68)*($B$57/$D$64))</f>
        <v>49.183681184931679</v>
      </c>
      <c r="H66" s="197">
        <f t="shared" si="0"/>
        <v>0.98367362369863354</v>
      </c>
    </row>
    <row r="67" spans="1:8" ht="27" customHeight="1" thickBot="1" x14ac:dyDescent="0.35">
      <c r="A67" s="130" t="s">
        <v>92</v>
      </c>
      <c r="B67" s="131">
        <v>1</v>
      </c>
      <c r="C67" s="419"/>
      <c r="D67" s="422"/>
      <c r="E67" s="192">
        <v>4</v>
      </c>
      <c r="F67" s="193"/>
      <c r="G67" s="198" t="str">
        <f>IF(ISBLANK(F67),"-",(F67/$D$50*$D$47*$B$68)*($B$57/$D$64))</f>
        <v>-</v>
      </c>
      <c r="H67" s="199" t="str">
        <f t="shared" si="0"/>
        <v>-</v>
      </c>
    </row>
    <row r="68" spans="1:8" ht="21.75" customHeight="1" x14ac:dyDescent="0.3">
      <c r="A68" s="130" t="s">
        <v>93</v>
      </c>
      <c r="B68" s="160">
        <f>(B67/B66)*(B65/B64)*(B63/B62)*(B61/B60)*B59</f>
        <v>1000</v>
      </c>
      <c r="C68" s="408" t="s">
        <v>94</v>
      </c>
      <c r="D68" s="420">
        <v>534.12</v>
      </c>
      <c r="E68" s="184">
        <v>1</v>
      </c>
      <c r="F68" s="185">
        <v>7998248</v>
      </c>
      <c r="G68" s="194">
        <f>IF(ISBLANK(F68),"-",(F68/$D$50*$D$47*$B$68)*($B$57/$D$68))</f>
        <v>49.266296038012072</v>
      </c>
      <c r="H68" s="191">
        <f t="shared" si="0"/>
        <v>0.98532592076024139</v>
      </c>
    </row>
    <row r="69" spans="1:8" ht="21.75" customHeight="1" thickBot="1" x14ac:dyDescent="0.35">
      <c r="A69" s="200" t="s">
        <v>127</v>
      </c>
      <c r="B69" s="201">
        <f>D47*B68/B56*B57</f>
        <v>502.48200000000008</v>
      </c>
      <c r="C69" s="407"/>
      <c r="D69" s="421"/>
      <c r="E69" s="188">
        <v>2</v>
      </c>
      <c r="F69" s="189">
        <v>7844924</v>
      </c>
      <c r="G69" s="196">
        <f>IF(ISBLANK(F69),"-",(F69/$D$50*$D$47*$B$68)*($B$57/$D$68))</f>
        <v>48.321876013310138</v>
      </c>
      <c r="H69" s="191">
        <f t="shared" si="0"/>
        <v>0.96643752026620278</v>
      </c>
    </row>
    <row r="70" spans="1:8" ht="22.5" customHeight="1" x14ac:dyDescent="0.3">
      <c r="A70" s="401" t="s">
        <v>71</v>
      </c>
      <c r="B70" s="405"/>
      <c r="C70" s="407"/>
      <c r="D70" s="421"/>
      <c r="E70" s="188">
        <v>3</v>
      </c>
      <c r="F70" s="189">
        <v>8032686</v>
      </c>
      <c r="G70" s="196">
        <f>IF(ISBLANK(F70),"-",(F70/$D$50*$D$47*$B$68)*($B$57/$D$68))</f>
        <v>49.478421581375699</v>
      </c>
      <c r="H70" s="191">
        <f t="shared" si="0"/>
        <v>0.98956843162751396</v>
      </c>
    </row>
    <row r="71" spans="1:8" ht="21.75" customHeight="1" thickBot="1" x14ac:dyDescent="0.35">
      <c r="A71" s="403"/>
      <c r="B71" s="406"/>
      <c r="C71" s="423"/>
      <c r="D71" s="422"/>
      <c r="E71" s="192">
        <v>4</v>
      </c>
      <c r="F71" s="193"/>
      <c r="G71" s="198" t="str">
        <f>IF(ISBLANK(F71),"-",(F71/$D$50*$D$47*$B$68)*($B$57/$D$68))</f>
        <v>-</v>
      </c>
      <c r="H71" s="202" t="str">
        <f t="shared" si="0"/>
        <v>-</v>
      </c>
    </row>
    <row r="72" spans="1:8" ht="26.25" customHeight="1" x14ac:dyDescent="0.3">
      <c r="A72" s="140"/>
      <c r="B72" s="140"/>
      <c r="C72" s="140"/>
      <c r="D72" s="140"/>
      <c r="E72" s="140"/>
      <c r="F72" s="140"/>
      <c r="G72" s="203" t="s">
        <v>64</v>
      </c>
      <c r="H72" s="204">
        <f>AVERAGE(H60:H71)</f>
        <v>0.97954737208074993</v>
      </c>
    </row>
    <row r="73" spans="1:8" ht="26.25" customHeight="1" x14ac:dyDescent="0.3">
      <c r="C73" s="140"/>
      <c r="D73" s="140"/>
      <c r="E73" s="140"/>
      <c r="F73" s="140"/>
      <c r="G73" s="173" t="s">
        <v>76</v>
      </c>
      <c r="H73" s="205">
        <f>STDEV(H60:H71)/H72</f>
        <v>7.1197534941759922E-3</v>
      </c>
    </row>
    <row r="74" spans="1:8" ht="27" customHeight="1" thickBot="1" x14ac:dyDescent="0.35">
      <c r="A74" s="140"/>
      <c r="B74" s="140"/>
      <c r="C74" s="140"/>
      <c r="D74" s="140"/>
      <c r="E74" s="162"/>
      <c r="F74" s="140"/>
      <c r="G74" s="175" t="s">
        <v>19</v>
      </c>
      <c r="H74" s="206">
        <f>COUNT(H60:H71)</f>
        <v>9</v>
      </c>
    </row>
    <row r="75" spans="1:8" ht="18.75" x14ac:dyDescent="0.3">
      <c r="A75" s="140"/>
      <c r="B75" s="140"/>
      <c r="C75" s="140"/>
      <c r="D75" s="140"/>
      <c r="E75" s="162"/>
      <c r="F75" s="140"/>
      <c r="G75" s="113"/>
      <c r="H75" s="119"/>
    </row>
    <row r="76" spans="1:8" ht="26.25" customHeight="1" x14ac:dyDescent="0.3">
      <c r="A76" s="112" t="s">
        <v>128</v>
      </c>
      <c r="B76" s="113" t="s">
        <v>95</v>
      </c>
      <c r="C76" s="407" t="str">
        <f>B20</f>
        <v xml:space="preserve"> Ritonavir</v>
      </c>
      <c r="D76" s="407"/>
      <c r="E76" s="106" t="s">
        <v>96</v>
      </c>
      <c r="F76" s="106"/>
      <c r="G76" s="207">
        <f>H72</f>
        <v>0.97954737208074993</v>
      </c>
      <c r="H76" s="119"/>
    </row>
    <row r="77" spans="1:8" ht="18.75" x14ac:dyDescent="0.3">
      <c r="A77" s="111" t="s">
        <v>97</v>
      </c>
      <c r="B77" s="111" t="s">
        <v>98</v>
      </c>
    </row>
    <row r="78" spans="1:8" ht="18.75" x14ac:dyDescent="0.3">
      <c r="A78" s="111"/>
      <c r="B78" s="111"/>
    </row>
    <row r="79" spans="1:8" ht="26.25" customHeight="1" x14ac:dyDescent="0.3">
      <c r="A79" s="112" t="s">
        <v>3</v>
      </c>
      <c r="B79" s="417" t="str">
        <f>B26</f>
        <v>Ritonavir</v>
      </c>
      <c r="C79" s="417"/>
    </row>
    <row r="80" spans="1:8" ht="26.25" customHeight="1" x14ac:dyDescent="0.3">
      <c r="A80" s="113" t="s">
        <v>43</v>
      </c>
      <c r="B80" s="418" t="str">
        <f>B27</f>
        <v>R9-1</v>
      </c>
      <c r="C80" s="418"/>
    </row>
    <row r="81" spans="1:11" ht="27" customHeight="1" thickBot="1" x14ac:dyDescent="0.35">
      <c r="A81" s="113" t="s">
        <v>5</v>
      </c>
      <c r="B81" s="114">
        <f>B28</f>
        <v>99.3</v>
      </c>
    </row>
    <row r="82" spans="1:11" s="118" customFormat="1" ht="27" customHeight="1" thickBot="1" x14ac:dyDescent="0.3">
      <c r="A82" s="113" t="s">
        <v>44</v>
      </c>
      <c r="B82" s="114">
        <f>B29</f>
        <v>0</v>
      </c>
      <c r="C82" s="411" t="s">
        <v>123</v>
      </c>
      <c r="D82" s="412"/>
      <c r="E82" s="412"/>
      <c r="F82" s="412"/>
      <c r="G82" s="413"/>
      <c r="H82" s="116"/>
      <c r="I82" s="117"/>
      <c r="J82" s="117"/>
      <c r="K82" s="117"/>
    </row>
    <row r="83" spans="1:11" s="118" customFormat="1" ht="19.5" customHeight="1" thickBot="1" x14ac:dyDescent="0.3">
      <c r="A83" s="113" t="s">
        <v>46</v>
      </c>
      <c r="B83" s="119">
        <f>B81-B82</f>
        <v>99.3</v>
      </c>
      <c r="C83" s="120"/>
      <c r="D83" s="120"/>
      <c r="E83" s="120"/>
      <c r="F83" s="120"/>
      <c r="G83" s="121"/>
      <c r="H83" s="116"/>
      <c r="I83" s="117"/>
      <c r="J83" s="117"/>
      <c r="K83" s="117"/>
    </row>
    <row r="84" spans="1:11" s="118" customFormat="1" ht="27" customHeight="1" thickBot="1" x14ac:dyDescent="0.3">
      <c r="A84" s="113" t="s">
        <v>47</v>
      </c>
      <c r="B84" s="122">
        <v>1</v>
      </c>
      <c r="C84" s="414" t="s">
        <v>48</v>
      </c>
      <c r="D84" s="415"/>
      <c r="E84" s="415"/>
      <c r="F84" s="415"/>
      <c r="G84" s="415"/>
      <c r="H84" s="416"/>
      <c r="I84" s="117"/>
      <c r="J84" s="117"/>
      <c r="K84" s="117"/>
    </row>
    <row r="85" spans="1:11" s="118" customFormat="1" ht="27" customHeight="1" thickBot="1" x14ac:dyDescent="0.3">
      <c r="A85" s="113" t="s">
        <v>49</v>
      </c>
      <c r="B85" s="122">
        <v>1</v>
      </c>
      <c r="C85" s="414" t="s">
        <v>50</v>
      </c>
      <c r="D85" s="415"/>
      <c r="E85" s="415"/>
      <c r="F85" s="415"/>
      <c r="G85" s="415"/>
      <c r="H85" s="416"/>
      <c r="I85" s="117"/>
      <c r="J85" s="117"/>
      <c r="K85" s="117"/>
    </row>
    <row r="86" spans="1:11" s="118" customFormat="1" ht="18.75" x14ac:dyDescent="0.25">
      <c r="A86" s="113"/>
      <c r="B86" s="125"/>
      <c r="C86" s="126"/>
      <c r="D86" s="126"/>
      <c r="E86" s="126"/>
      <c r="F86" s="126"/>
      <c r="G86" s="126"/>
      <c r="H86" s="126"/>
      <c r="I86" s="117"/>
      <c r="J86" s="117"/>
      <c r="K86" s="117"/>
    </row>
    <row r="87" spans="1:11" ht="18.75" x14ac:dyDescent="0.3">
      <c r="A87" s="113" t="s">
        <v>51</v>
      </c>
      <c r="B87" s="127">
        <f>B84/B85</f>
        <v>1</v>
      </c>
      <c r="C87" s="106" t="s">
        <v>52</v>
      </c>
      <c r="H87" s="116"/>
    </row>
    <row r="88" spans="1:11" ht="19.5" customHeight="1" thickBot="1" x14ac:dyDescent="0.35">
      <c r="A88" s="113"/>
      <c r="B88" s="127"/>
      <c r="H88" s="116"/>
    </row>
    <row r="89" spans="1:11" ht="27" customHeight="1" thickBot="1" x14ac:dyDescent="0.35">
      <c r="A89" s="128" t="s">
        <v>124</v>
      </c>
      <c r="B89" s="129">
        <v>50</v>
      </c>
      <c r="D89" s="208" t="s">
        <v>53</v>
      </c>
      <c r="E89" s="209"/>
      <c r="F89" s="409" t="s">
        <v>54</v>
      </c>
      <c r="G89" s="410"/>
    </row>
    <row r="90" spans="1:11" ht="26.25" customHeight="1" x14ac:dyDescent="0.3">
      <c r="A90" s="130" t="s">
        <v>55</v>
      </c>
      <c r="B90" s="131">
        <v>5</v>
      </c>
      <c r="C90" s="132" t="s">
        <v>56</v>
      </c>
      <c r="D90" s="210" t="s">
        <v>57</v>
      </c>
      <c r="E90" s="134" t="s">
        <v>58</v>
      </c>
      <c r="F90" s="210" t="s">
        <v>57</v>
      </c>
      <c r="G90" s="135" t="s">
        <v>58</v>
      </c>
    </row>
    <row r="91" spans="1:11" ht="26.25" customHeight="1" x14ac:dyDescent="0.3">
      <c r="A91" s="130" t="s">
        <v>59</v>
      </c>
      <c r="B91" s="131">
        <v>100</v>
      </c>
      <c r="C91" s="136">
        <v>1</v>
      </c>
      <c r="D91" s="211">
        <v>7999737</v>
      </c>
      <c r="E91" s="212">
        <f>IF(ISBLANK(D91),"-",$D$101/$D$98*D91)</f>
        <v>5340844.5434669564</v>
      </c>
      <c r="F91" s="213">
        <v>7444858</v>
      </c>
      <c r="G91" s="214">
        <f>IF(ISBLANK(F91),"-",$D$101/$F$98*F91)</f>
        <v>5285772.2614420513</v>
      </c>
    </row>
    <row r="92" spans="1:11" ht="26.25" customHeight="1" x14ac:dyDescent="0.3">
      <c r="A92" s="130" t="s">
        <v>60</v>
      </c>
      <c r="B92" s="131">
        <v>1</v>
      </c>
      <c r="C92" s="140">
        <v>2</v>
      </c>
      <c r="D92" s="189">
        <v>7953936</v>
      </c>
      <c r="E92" s="215">
        <f>IF(ISBLANK(D92),"-",$D$101/$D$98*D92)</f>
        <v>5310266.5355980312</v>
      </c>
      <c r="F92" s="216">
        <v>7444300</v>
      </c>
      <c r="G92" s="217">
        <f>IF(ISBLANK(F92),"-",$D$101/$F$98*F92)</f>
        <v>5285376.0872071795</v>
      </c>
    </row>
    <row r="93" spans="1:11" ht="26.25" customHeight="1" x14ac:dyDescent="0.3">
      <c r="A93" s="130" t="s">
        <v>61</v>
      </c>
      <c r="B93" s="131">
        <v>1</v>
      </c>
      <c r="C93" s="140">
        <v>3</v>
      </c>
      <c r="D93" s="189">
        <v>7956523</v>
      </c>
      <c r="E93" s="215">
        <f>IF(ISBLANK(D93),"-",$D$101/$D$98*D93)</f>
        <v>5311993.6879824102</v>
      </c>
      <c r="F93" s="216">
        <v>7443296</v>
      </c>
      <c r="G93" s="217">
        <f>IF(ISBLANK(F93),"-",$D$101/$F$98*F93)</f>
        <v>5284663.2575802756</v>
      </c>
    </row>
    <row r="94" spans="1:11" ht="26.25" customHeight="1" x14ac:dyDescent="0.3">
      <c r="A94" s="130" t="s">
        <v>62</v>
      </c>
      <c r="B94" s="131">
        <v>1</v>
      </c>
      <c r="C94" s="145">
        <v>4</v>
      </c>
      <c r="D94" s="218"/>
      <c r="E94" s="219" t="str">
        <f>IF(ISBLANK(D94),"-",$D$101/$D$98*D94)</f>
        <v>-</v>
      </c>
      <c r="F94" s="220"/>
      <c r="G94" s="221" t="str">
        <f>IF(ISBLANK(F94),"-",$D$101/$F$98*F94)</f>
        <v>-</v>
      </c>
    </row>
    <row r="95" spans="1:11" ht="27" customHeight="1" thickBot="1" x14ac:dyDescent="0.35">
      <c r="A95" s="130" t="s">
        <v>63</v>
      </c>
      <c r="B95" s="131">
        <v>1</v>
      </c>
      <c r="C95" s="113" t="s">
        <v>64</v>
      </c>
      <c r="D95" s="149">
        <f>AVERAGE(D91:D94)</f>
        <v>7970065.333333333</v>
      </c>
      <c r="E95" s="150">
        <f>AVERAGE(E91:E94)</f>
        <v>5321034.9223491326</v>
      </c>
      <c r="F95" s="222">
        <f>AVERAGE(F91:F94)</f>
        <v>7444151.333333333</v>
      </c>
      <c r="G95" s="223">
        <f>AVERAGE(G91:G94)</f>
        <v>5285270.5354098352</v>
      </c>
    </row>
    <row r="96" spans="1:11" ht="26.25" customHeight="1" x14ac:dyDescent="0.3">
      <c r="A96" s="130" t="s">
        <v>65</v>
      </c>
      <c r="B96" s="131">
        <v>1</v>
      </c>
      <c r="C96" s="154" t="s">
        <v>66</v>
      </c>
      <c r="D96" s="155">
        <v>20.95</v>
      </c>
      <c r="E96" s="106"/>
      <c r="F96" s="156">
        <v>19.7</v>
      </c>
    </row>
    <row r="97" spans="1:9" ht="26.25" customHeight="1" x14ac:dyDescent="0.3">
      <c r="A97" s="130" t="s">
        <v>67</v>
      </c>
      <c r="B97" s="131">
        <v>1</v>
      </c>
      <c r="C97" s="157" t="s">
        <v>68</v>
      </c>
      <c r="D97" s="158">
        <f>D96*$B$87</f>
        <v>20.95</v>
      </c>
      <c r="E97" s="140"/>
      <c r="F97" s="159">
        <f>F96*$B$87</f>
        <v>19.7</v>
      </c>
    </row>
    <row r="98" spans="1:9" ht="19.5" customHeight="1" thickBot="1" x14ac:dyDescent="0.35">
      <c r="A98" s="200" t="s">
        <v>69</v>
      </c>
      <c r="B98" s="224">
        <f>(B97/B96)*(B95/B94)*(B93/B92)*(B91/B90)*B89</f>
        <v>1000</v>
      </c>
      <c r="C98" s="157" t="s">
        <v>70</v>
      </c>
      <c r="D98" s="161">
        <f>D97*$B$83/100</f>
        <v>20.803350000000002</v>
      </c>
      <c r="E98" s="162"/>
      <c r="F98" s="163">
        <f>F97*$B$83/100</f>
        <v>19.562099999999997</v>
      </c>
    </row>
    <row r="99" spans="1:9" ht="19.5" customHeight="1" thickBot="1" x14ac:dyDescent="0.35">
      <c r="A99" s="401" t="s">
        <v>71</v>
      </c>
      <c r="B99" s="405"/>
      <c r="C99" s="157" t="s">
        <v>72</v>
      </c>
      <c r="D99" s="225">
        <f>D98/$B$98</f>
        <v>2.0803350000000002E-2</v>
      </c>
      <c r="E99" s="226"/>
      <c r="F99" s="227">
        <f>F98/$B$98</f>
        <v>1.9562099999999999E-2</v>
      </c>
      <c r="G99" s="228"/>
      <c r="H99" s="153"/>
    </row>
    <row r="100" spans="1:9" ht="19.5" customHeight="1" thickBot="1" x14ac:dyDescent="0.35">
      <c r="A100" s="403"/>
      <c r="B100" s="406"/>
      <c r="C100" s="168" t="s">
        <v>125</v>
      </c>
      <c r="D100" s="229">
        <f>$B$56/$B$116</f>
        <v>1.3888888888888888E-2</v>
      </c>
      <c r="F100" s="167"/>
      <c r="G100" s="230"/>
      <c r="H100" s="153"/>
    </row>
    <row r="101" spans="1:9" ht="18.75" x14ac:dyDescent="0.3">
      <c r="C101" s="168" t="s">
        <v>73</v>
      </c>
      <c r="D101" s="158">
        <f>D100*$B$98</f>
        <v>13.888888888888888</v>
      </c>
      <c r="F101" s="167"/>
      <c r="G101" s="228"/>
      <c r="H101" s="153"/>
    </row>
    <row r="102" spans="1:9" ht="19.5" customHeight="1" thickBot="1" x14ac:dyDescent="0.35">
      <c r="C102" s="169" t="s">
        <v>74</v>
      </c>
      <c r="D102" s="231">
        <f>D101/B34</f>
        <v>13.888888888888888</v>
      </c>
      <c r="F102" s="142"/>
      <c r="G102" s="228"/>
      <c r="H102" s="153"/>
      <c r="I102" s="232"/>
    </row>
    <row r="103" spans="1:9" ht="18.75" x14ac:dyDescent="0.3">
      <c r="C103" s="171" t="s">
        <v>103</v>
      </c>
      <c r="D103" s="172">
        <f>AVERAGE(E91:E94,G91:G94)</f>
        <v>5303152.7288794843</v>
      </c>
      <c r="F103" s="142"/>
      <c r="G103" s="230"/>
      <c r="H103" s="153"/>
      <c r="I103" s="233"/>
    </row>
    <row r="104" spans="1:9" ht="18.75" x14ac:dyDescent="0.3">
      <c r="C104" s="173" t="s">
        <v>76</v>
      </c>
      <c r="D104" s="234">
        <f>STDEV(E91:E94,G91:G94)/D103</f>
        <v>4.2244007099959758E-3</v>
      </c>
      <c r="F104" s="142"/>
      <c r="G104" s="228"/>
      <c r="H104" s="153"/>
      <c r="I104" s="233"/>
    </row>
    <row r="105" spans="1:9" ht="19.5" customHeight="1" thickBot="1" x14ac:dyDescent="0.35">
      <c r="C105" s="175" t="s">
        <v>19</v>
      </c>
      <c r="D105" s="235">
        <f>COUNT(E91:E94,G91:G94)</f>
        <v>6</v>
      </c>
      <c r="F105" s="142"/>
      <c r="G105" s="228"/>
      <c r="H105" s="153"/>
      <c r="I105" s="233"/>
    </row>
    <row r="106" spans="1:9" ht="19.5" customHeight="1" thickBot="1" x14ac:dyDescent="0.35">
      <c r="A106" s="177"/>
      <c r="B106" s="177"/>
      <c r="C106" s="177"/>
      <c r="D106" s="177"/>
      <c r="E106" s="177"/>
    </row>
    <row r="107" spans="1:9" ht="26.25" customHeight="1" x14ac:dyDescent="0.3">
      <c r="A107" s="128" t="s">
        <v>104</v>
      </c>
      <c r="B107" s="129">
        <v>900</v>
      </c>
      <c r="C107" s="208" t="s">
        <v>129</v>
      </c>
      <c r="D107" s="236" t="s">
        <v>57</v>
      </c>
      <c r="E107" s="237" t="s">
        <v>105</v>
      </c>
      <c r="F107" s="238" t="s">
        <v>106</v>
      </c>
    </row>
    <row r="108" spans="1:9" ht="26.25" customHeight="1" x14ac:dyDescent="0.3">
      <c r="A108" s="130" t="s">
        <v>107</v>
      </c>
      <c r="B108" s="131">
        <v>5</v>
      </c>
      <c r="C108" s="239">
        <v>1</v>
      </c>
      <c r="D108" s="240">
        <v>5239283</v>
      </c>
      <c r="E108" s="241">
        <f t="shared" ref="E108:E113" si="1">IF(ISBLANK(D108),"-",D108/$D$103*$D$100*$B$116)</f>
        <v>49.397813601221891</v>
      </c>
      <c r="F108" s="242">
        <f t="shared" ref="F108:F113" si="2">IF(ISBLANK(D108), "-", E108/$B$56)</f>
        <v>0.98795627202443781</v>
      </c>
    </row>
    <row r="109" spans="1:9" ht="26.25" customHeight="1" x14ac:dyDescent="0.3">
      <c r="A109" s="130" t="s">
        <v>85</v>
      </c>
      <c r="B109" s="131">
        <v>20</v>
      </c>
      <c r="C109" s="239">
        <v>2</v>
      </c>
      <c r="D109" s="240">
        <v>5209318</v>
      </c>
      <c r="E109" s="243">
        <f t="shared" si="1"/>
        <v>49.115292980640675</v>
      </c>
      <c r="F109" s="244">
        <f t="shared" si="2"/>
        <v>0.98230585961281347</v>
      </c>
    </row>
    <row r="110" spans="1:9" ht="26.25" customHeight="1" x14ac:dyDescent="0.3">
      <c r="A110" s="130" t="s">
        <v>86</v>
      </c>
      <c r="B110" s="131">
        <v>1</v>
      </c>
      <c r="C110" s="239">
        <v>3</v>
      </c>
      <c r="D110" s="240">
        <v>4762826</v>
      </c>
      <c r="E110" s="243">
        <f t="shared" si="1"/>
        <v>44.905608451204728</v>
      </c>
      <c r="F110" s="244">
        <f t="shared" si="2"/>
        <v>0.89811216902409452</v>
      </c>
    </row>
    <row r="111" spans="1:9" ht="26.25" customHeight="1" x14ac:dyDescent="0.3">
      <c r="A111" s="130" t="s">
        <v>87</v>
      </c>
      <c r="B111" s="131">
        <v>1</v>
      </c>
      <c r="C111" s="239">
        <v>4</v>
      </c>
      <c r="D111" s="240">
        <v>5246747</v>
      </c>
      <c r="E111" s="243">
        <f t="shared" si="1"/>
        <v>49.468186833727088</v>
      </c>
      <c r="F111" s="244">
        <f t="shared" si="2"/>
        <v>0.9893637366745418</v>
      </c>
    </row>
    <row r="112" spans="1:9" ht="26.25" customHeight="1" x14ac:dyDescent="0.3">
      <c r="A112" s="130" t="s">
        <v>88</v>
      </c>
      <c r="B112" s="131">
        <v>1</v>
      </c>
      <c r="C112" s="239">
        <v>5</v>
      </c>
      <c r="D112" s="240">
        <v>5201437</v>
      </c>
      <c r="E112" s="243">
        <f t="shared" si="1"/>
        <v>49.040988124615296</v>
      </c>
      <c r="F112" s="244">
        <f t="shared" si="2"/>
        <v>0.98081976249230596</v>
      </c>
    </row>
    <row r="113" spans="1:11" ht="26.25" customHeight="1" x14ac:dyDescent="0.3">
      <c r="A113" s="130" t="s">
        <v>90</v>
      </c>
      <c r="B113" s="131">
        <v>1</v>
      </c>
      <c r="C113" s="245">
        <v>6</v>
      </c>
      <c r="D113" s="246">
        <v>4163505</v>
      </c>
      <c r="E113" s="247">
        <f t="shared" si="1"/>
        <v>39.254998044151343</v>
      </c>
      <c r="F113" s="248">
        <f t="shared" si="2"/>
        <v>0.7850999608830268</v>
      </c>
    </row>
    <row r="114" spans="1:11" ht="26.25" customHeight="1" x14ac:dyDescent="0.3">
      <c r="A114" s="130" t="s">
        <v>91</v>
      </c>
      <c r="B114" s="131">
        <v>1</v>
      </c>
      <c r="C114" s="239"/>
      <c r="D114" s="140"/>
      <c r="E114" s="106"/>
      <c r="F114" s="249"/>
    </row>
    <row r="115" spans="1:11" ht="26.25" customHeight="1" x14ac:dyDescent="0.3">
      <c r="A115" s="130" t="s">
        <v>92</v>
      </c>
      <c r="B115" s="131">
        <v>1</v>
      </c>
      <c r="C115" s="239"/>
      <c r="D115" s="250"/>
      <c r="E115" s="251" t="s">
        <v>64</v>
      </c>
      <c r="F115" s="252">
        <f>AVERAGE(F108:F113)</f>
        <v>0.93727629345187013</v>
      </c>
    </row>
    <row r="116" spans="1:11" ht="27" customHeight="1" thickBot="1" x14ac:dyDescent="0.35">
      <c r="A116" s="130" t="s">
        <v>93</v>
      </c>
      <c r="B116" s="160">
        <f>(B115/B114)*(B113/B112)*(B111/B110)*(B109/B108)*B107</f>
        <v>3600</v>
      </c>
      <c r="C116" s="253"/>
      <c r="D116" s="254"/>
      <c r="E116" s="113" t="s">
        <v>76</v>
      </c>
      <c r="F116" s="255">
        <f>STDEV(F108:F113)/F115</f>
        <v>8.784685504566038E-2</v>
      </c>
    </row>
    <row r="117" spans="1:11" ht="19.5" customHeight="1" thickBot="1" x14ac:dyDescent="0.35">
      <c r="A117" s="401" t="s">
        <v>71</v>
      </c>
      <c r="B117" s="405"/>
      <c r="C117" s="256"/>
      <c r="D117" s="257"/>
      <c r="E117" s="258" t="s">
        <v>19</v>
      </c>
      <c r="F117" s="259">
        <f>COUNT(F108:F113)</f>
        <v>6</v>
      </c>
      <c r="I117" s="233"/>
    </row>
    <row r="118" spans="1:11" ht="19.5" customHeight="1" thickBot="1" x14ac:dyDescent="0.35">
      <c r="A118" s="403"/>
      <c r="B118" s="406"/>
      <c r="C118" s="106"/>
      <c r="D118" s="106"/>
      <c r="E118" s="106"/>
      <c r="F118" s="140"/>
      <c r="G118" s="106"/>
      <c r="H118" s="106"/>
    </row>
    <row r="119" spans="1:11" ht="18.75" x14ac:dyDescent="0.3">
      <c r="A119" s="126"/>
      <c r="B119" s="126"/>
      <c r="C119" s="106"/>
      <c r="D119" s="106"/>
      <c r="E119" s="106"/>
      <c r="F119" s="140"/>
      <c r="G119" s="106"/>
      <c r="H119" s="106"/>
    </row>
    <row r="120" spans="1:11" ht="18.75" x14ac:dyDescent="0.3">
      <c r="A120" s="260" t="s">
        <v>130</v>
      </c>
      <c r="B120" s="260" t="s">
        <v>131</v>
      </c>
      <c r="C120" s="144"/>
      <c r="D120" s="144"/>
      <c r="E120" s="144"/>
      <c r="F120" s="144"/>
      <c r="G120" s="144"/>
      <c r="H120" s="144"/>
    </row>
    <row r="121" spans="1:11" ht="18.75" x14ac:dyDescent="0.3">
      <c r="A121" s="260"/>
      <c r="B121" s="260"/>
      <c r="C121" s="144"/>
      <c r="D121" s="144"/>
      <c r="E121" s="144"/>
      <c r="F121" s="144"/>
      <c r="G121" s="144"/>
      <c r="H121" s="144"/>
    </row>
    <row r="122" spans="1:11" ht="18.75" x14ac:dyDescent="0.3">
      <c r="A122" s="261" t="s">
        <v>3</v>
      </c>
      <c r="B122" s="262" t="s">
        <v>110</v>
      </c>
      <c r="C122" s="144"/>
      <c r="D122" s="144"/>
      <c r="E122" s="144"/>
      <c r="F122" s="144"/>
      <c r="G122" s="144"/>
      <c r="H122" s="144"/>
    </row>
    <row r="123" spans="1:11" ht="18.75" x14ac:dyDescent="0.3">
      <c r="A123" s="263" t="s">
        <v>43</v>
      </c>
      <c r="B123" s="262" t="s">
        <v>111</v>
      </c>
      <c r="C123" s="144"/>
      <c r="D123" s="144"/>
      <c r="E123" s="144"/>
      <c r="F123" s="144"/>
      <c r="G123" s="144"/>
      <c r="H123" s="144"/>
    </row>
    <row r="124" spans="1:11" ht="19.5" customHeight="1" thickBot="1" x14ac:dyDescent="0.35">
      <c r="A124" s="263" t="s">
        <v>5</v>
      </c>
      <c r="B124" s="262">
        <v>99.3</v>
      </c>
      <c r="C124" s="144"/>
      <c r="D124" s="144"/>
      <c r="E124" s="144"/>
      <c r="F124" s="144"/>
      <c r="G124" s="144"/>
      <c r="H124" s="144"/>
    </row>
    <row r="125" spans="1:11" s="118" customFormat="1" ht="15.75" customHeight="1" thickBot="1" x14ac:dyDescent="0.35">
      <c r="A125" s="263" t="s">
        <v>44</v>
      </c>
      <c r="B125" s="262">
        <v>0</v>
      </c>
      <c r="C125" s="411" t="s">
        <v>45</v>
      </c>
      <c r="D125" s="412"/>
      <c r="E125" s="412"/>
      <c r="F125" s="412"/>
      <c r="G125" s="413"/>
      <c r="I125" s="117"/>
      <c r="J125" s="117"/>
      <c r="K125" s="117"/>
    </row>
    <row r="126" spans="1:11" s="118" customFormat="1" ht="19.5" customHeight="1" thickBot="1" x14ac:dyDescent="0.35">
      <c r="A126" s="263" t="s">
        <v>46</v>
      </c>
      <c r="B126" s="264">
        <f>B124-B125</f>
        <v>99.3</v>
      </c>
      <c r="C126" s="265"/>
      <c r="D126" s="265"/>
      <c r="E126" s="265"/>
      <c r="F126" s="265"/>
      <c r="G126" s="266"/>
      <c r="I126" s="117"/>
      <c r="J126" s="117"/>
      <c r="K126" s="117"/>
    </row>
    <row r="127" spans="1:11" s="118" customFormat="1" ht="27" customHeight="1" thickBot="1" x14ac:dyDescent="0.3">
      <c r="A127" s="113" t="s">
        <v>47</v>
      </c>
      <c r="B127" s="122">
        <v>1</v>
      </c>
      <c r="C127" s="414" t="s">
        <v>48</v>
      </c>
      <c r="D127" s="415"/>
      <c r="E127" s="415"/>
      <c r="F127" s="415"/>
      <c r="G127" s="415"/>
      <c r="H127" s="416"/>
      <c r="I127" s="117"/>
      <c r="J127" s="117"/>
      <c r="K127" s="117"/>
    </row>
    <row r="128" spans="1:11" s="118" customFormat="1" ht="27" customHeight="1" thickBot="1" x14ac:dyDescent="0.3">
      <c r="A128" s="113" t="s">
        <v>49</v>
      </c>
      <c r="B128" s="122">
        <v>1</v>
      </c>
      <c r="C128" s="414" t="s">
        <v>50</v>
      </c>
      <c r="D128" s="415"/>
      <c r="E128" s="415"/>
      <c r="F128" s="415"/>
      <c r="G128" s="415"/>
      <c r="H128" s="416"/>
      <c r="I128" s="117"/>
      <c r="J128" s="117"/>
      <c r="K128" s="117"/>
    </row>
    <row r="129" spans="1:11" s="118" customFormat="1" ht="18.75" x14ac:dyDescent="0.25">
      <c r="A129" s="113"/>
      <c r="B129" s="125"/>
      <c r="C129" s="126"/>
      <c r="D129" s="126"/>
      <c r="E129" s="126"/>
      <c r="F129" s="126"/>
      <c r="G129" s="126"/>
      <c r="H129" s="126"/>
      <c r="I129" s="117"/>
      <c r="J129" s="117"/>
      <c r="K129" s="117"/>
    </row>
    <row r="130" spans="1:11" ht="18.75" x14ac:dyDescent="0.3">
      <c r="A130" s="113" t="s">
        <v>51</v>
      </c>
      <c r="B130" s="127">
        <f>B127/B128</f>
        <v>1</v>
      </c>
      <c r="C130" s="106" t="s">
        <v>52</v>
      </c>
      <c r="H130" s="116"/>
    </row>
    <row r="131" spans="1:11" ht="19.5" customHeight="1" thickBot="1" x14ac:dyDescent="0.35">
      <c r="A131" s="260"/>
      <c r="B131" s="260"/>
      <c r="C131" s="144"/>
      <c r="D131" s="144"/>
      <c r="E131" s="144"/>
      <c r="F131" s="144"/>
      <c r="G131" s="144"/>
      <c r="H131" s="144"/>
    </row>
    <row r="132" spans="1:11" ht="27" customHeight="1" thickBot="1" x14ac:dyDescent="0.35">
      <c r="A132" s="267" t="s">
        <v>124</v>
      </c>
      <c r="B132" s="268">
        <v>100</v>
      </c>
      <c r="C132" s="144"/>
      <c r="D132" s="399" t="s">
        <v>53</v>
      </c>
      <c r="E132" s="400"/>
      <c r="F132" s="399" t="s">
        <v>54</v>
      </c>
      <c r="G132" s="400"/>
      <c r="H132" s="144"/>
    </row>
    <row r="133" spans="1:11" ht="26.25" customHeight="1" x14ac:dyDescent="0.3">
      <c r="A133" s="269" t="s">
        <v>55</v>
      </c>
      <c r="B133" s="270">
        <v>5</v>
      </c>
      <c r="C133" s="271" t="s">
        <v>132</v>
      </c>
      <c r="D133" s="272" t="s">
        <v>57</v>
      </c>
      <c r="E133" s="273" t="s">
        <v>58</v>
      </c>
      <c r="F133" s="272" t="s">
        <v>57</v>
      </c>
      <c r="G133" s="273" t="s">
        <v>58</v>
      </c>
      <c r="H133" s="144"/>
    </row>
    <row r="134" spans="1:11" ht="26.25" customHeight="1" x14ac:dyDescent="0.3">
      <c r="A134" s="269" t="s">
        <v>59</v>
      </c>
      <c r="B134" s="270">
        <v>25</v>
      </c>
      <c r="C134" s="274">
        <v>1</v>
      </c>
      <c r="D134" s="211">
        <v>9903536</v>
      </c>
      <c r="E134" s="275">
        <f>IF(ISBLANK(D134),"-",$D$144/$D$141*D134)</f>
        <v>5344087.2803727584</v>
      </c>
      <c r="F134" s="211">
        <v>10339191</v>
      </c>
      <c r="G134" s="275">
        <f>IF(ISBLANK(F134),"-",$D$144/$F$141*F134)</f>
        <v>5277816.0628045956</v>
      </c>
      <c r="H134" s="144"/>
    </row>
    <row r="135" spans="1:11" ht="26.25" customHeight="1" x14ac:dyDescent="0.3">
      <c r="A135" s="269" t="s">
        <v>60</v>
      </c>
      <c r="B135" s="270">
        <v>1</v>
      </c>
      <c r="C135" s="276">
        <v>2</v>
      </c>
      <c r="D135" s="189">
        <v>9918302</v>
      </c>
      <c r="E135" s="277">
        <f>IF(ISBLANK(D135),"-",$D$144/$D$141*D135)</f>
        <v>5352055.2215992035</v>
      </c>
      <c r="F135" s="189">
        <v>10408503</v>
      </c>
      <c r="G135" s="277">
        <f>IF(ISBLANK(F135),"-",$D$144/$F$141*F135)</f>
        <v>5313197.553188622</v>
      </c>
      <c r="H135" s="144"/>
    </row>
    <row r="136" spans="1:11" ht="26.25" customHeight="1" x14ac:dyDescent="0.3">
      <c r="A136" s="269" t="s">
        <v>61</v>
      </c>
      <c r="B136" s="270">
        <v>1</v>
      </c>
      <c r="C136" s="276">
        <v>3</v>
      </c>
      <c r="D136" s="189">
        <v>9915498</v>
      </c>
      <c r="E136" s="277">
        <f>IF(ISBLANK(D136),"-",$D$144/$D$141*D136)</f>
        <v>5350542.1437718337</v>
      </c>
      <c r="F136" s="189">
        <v>10369559</v>
      </c>
      <c r="G136" s="277">
        <f>IF(ISBLANK(F136),"-",$D$144/$F$141*F136)</f>
        <v>5293317.9253966734</v>
      </c>
      <c r="H136" s="144"/>
    </row>
    <row r="137" spans="1:11" ht="26.25" customHeight="1" x14ac:dyDescent="0.3">
      <c r="A137" s="269" t="s">
        <v>62</v>
      </c>
      <c r="B137" s="270">
        <v>1</v>
      </c>
      <c r="C137" s="278">
        <v>4</v>
      </c>
      <c r="D137" s="218"/>
      <c r="E137" s="279" t="str">
        <f>IF(ISBLANK(D137),"-",$D$144/$D$141*D137)</f>
        <v>-</v>
      </c>
      <c r="F137" s="218"/>
      <c r="G137" s="279" t="str">
        <f>IF(ISBLANK(F137),"-",$D$144/$D$141*F137)</f>
        <v>-</v>
      </c>
      <c r="H137" s="144"/>
    </row>
    <row r="138" spans="1:11" ht="27" customHeight="1" thickBot="1" x14ac:dyDescent="0.35">
      <c r="A138" s="269" t="s">
        <v>63</v>
      </c>
      <c r="B138" s="270">
        <v>1</v>
      </c>
      <c r="C138" s="263" t="s">
        <v>64</v>
      </c>
      <c r="D138" s="280">
        <f>AVERAGE(D134:D137)</f>
        <v>9912445.333333334</v>
      </c>
      <c r="E138" s="281">
        <f>AVERAGE(E134:E137)</f>
        <v>5348894.8819145979</v>
      </c>
      <c r="F138" s="280">
        <f>AVERAGE(F134:F137)</f>
        <v>10372417.666666666</v>
      </c>
      <c r="G138" s="282">
        <f>AVERAGE(G134:G137)</f>
        <v>5294777.1804632964</v>
      </c>
      <c r="H138" s="144"/>
    </row>
    <row r="139" spans="1:11" ht="26.25" customHeight="1" x14ac:dyDescent="0.3">
      <c r="A139" s="269" t="s">
        <v>65</v>
      </c>
      <c r="B139" s="270">
        <v>1</v>
      </c>
      <c r="C139" s="283" t="s">
        <v>99</v>
      </c>
      <c r="D139" s="131">
        <v>12.96</v>
      </c>
      <c r="E139" s="144"/>
      <c r="F139" s="284">
        <v>13.7</v>
      </c>
      <c r="G139" s="144"/>
      <c r="H139" s="144"/>
    </row>
    <row r="140" spans="1:11" ht="26.25" customHeight="1" x14ac:dyDescent="0.3">
      <c r="A140" s="269" t="s">
        <v>67</v>
      </c>
      <c r="B140" s="270">
        <v>1</v>
      </c>
      <c r="C140" s="285" t="s">
        <v>100</v>
      </c>
      <c r="D140" s="286">
        <f>D139*B130</f>
        <v>12.96</v>
      </c>
      <c r="E140" s="276"/>
      <c r="F140" s="287">
        <f>F139*B130</f>
        <v>13.7</v>
      </c>
      <c r="G140" s="144"/>
      <c r="H140" s="144"/>
    </row>
    <row r="141" spans="1:11" ht="19.5" customHeight="1" thickBot="1" x14ac:dyDescent="0.35">
      <c r="A141" s="269" t="s">
        <v>69</v>
      </c>
      <c r="B141" s="288">
        <f>(B140/B139)*(B138/B137)*(B136/B135)*(B134/B133)*B132</f>
        <v>500</v>
      </c>
      <c r="C141" s="285" t="s">
        <v>101</v>
      </c>
      <c r="D141" s="289">
        <f>D140*B126/100</f>
        <v>12.869280000000002</v>
      </c>
      <c r="E141" s="290"/>
      <c r="F141" s="291">
        <f>F140*B126/100</f>
        <v>13.604099999999999</v>
      </c>
      <c r="G141" s="144"/>
      <c r="H141" s="144"/>
    </row>
    <row r="142" spans="1:11" ht="19.5" customHeight="1" thickBot="1" x14ac:dyDescent="0.35">
      <c r="A142" s="401" t="s">
        <v>71</v>
      </c>
      <c r="B142" s="402"/>
      <c r="C142" s="285" t="s">
        <v>102</v>
      </c>
      <c r="D142" s="286">
        <f>D141/$B$141</f>
        <v>2.5738560000000004E-2</v>
      </c>
      <c r="E142" s="290"/>
      <c r="F142" s="292">
        <f>F141/$B$141</f>
        <v>2.7208199999999998E-2</v>
      </c>
      <c r="G142" s="118"/>
      <c r="H142" s="293"/>
    </row>
    <row r="143" spans="1:11" ht="19.5" customHeight="1" thickBot="1" x14ac:dyDescent="0.35">
      <c r="A143" s="403"/>
      <c r="B143" s="404"/>
      <c r="C143" s="285" t="s">
        <v>125</v>
      </c>
      <c r="D143" s="289">
        <f>$B$56/$B$159</f>
        <v>1.3888888888888888E-2</v>
      </c>
      <c r="E143" s="144"/>
      <c r="F143" s="294"/>
      <c r="G143" s="295"/>
      <c r="H143" s="293"/>
    </row>
    <row r="144" spans="1:11" ht="18.75" x14ac:dyDescent="0.3">
      <c r="A144" s="144"/>
      <c r="B144" s="144"/>
      <c r="C144" s="285" t="s">
        <v>73</v>
      </c>
      <c r="D144" s="286">
        <f>D143*$B$141</f>
        <v>6.9444444444444438</v>
      </c>
      <c r="E144" s="144"/>
      <c r="F144" s="294"/>
      <c r="G144" s="118"/>
      <c r="H144" s="293"/>
    </row>
    <row r="145" spans="1:9" ht="19.5" customHeight="1" thickBot="1" x14ac:dyDescent="0.35">
      <c r="A145" s="144"/>
      <c r="B145" s="144"/>
      <c r="C145" s="296" t="s">
        <v>74</v>
      </c>
      <c r="D145" s="297">
        <f>D144/B130</f>
        <v>6.9444444444444438</v>
      </c>
      <c r="E145" s="144"/>
      <c r="F145" s="298"/>
      <c r="G145" s="118"/>
      <c r="H145" s="293"/>
      <c r="I145" s="232"/>
    </row>
    <row r="146" spans="1:9" ht="18.75" x14ac:dyDescent="0.3">
      <c r="A146" s="144"/>
      <c r="B146" s="144"/>
      <c r="C146" s="299" t="s">
        <v>103</v>
      </c>
      <c r="D146" s="300">
        <f>AVERAGE(E134:E137,G134:G137)</f>
        <v>5321836.0311889471</v>
      </c>
      <c r="E146" s="144"/>
      <c r="F146" s="298"/>
      <c r="G146" s="295"/>
      <c r="H146" s="293"/>
      <c r="I146" s="233"/>
    </row>
    <row r="147" spans="1:9" ht="18.75" x14ac:dyDescent="0.3">
      <c r="A147" s="144"/>
      <c r="B147" s="144"/>
      <c r="C147" s="301" t="s">
        <v>76</v>
      </c>
      <c r="D147" s="302">
        <f>STDEV(E134:E137,G134:G137)/D146</f>
        <v>5.9764577536824421E-3</v>
      </c>
      <c r="E147" s="144"/>
      <c r="F147" s="298"/>
      <c r="G147" s="118"/>
      <c r="H147" s="293"/>
      <c r="I147" s="233"/>
    </row>
    <row r="148" spans="1:9" ht="19.5" customHeight="1" thickBot="1" x14ac:dyDescent="0.35">
      <c r="A148" s="144"/>
      <c r="B148" s="144"/>
      <c r="C148" s="303" t="s">
        <v>19</v>
      </c>
      <c r="D148" s="304">
        <f>COUNT(E134:E137,G134:G137)</f>
        <v>6</v>
      </c>
      <c r="E148" s="144"/>
      <c r="F148" s="298"/>
      <c r="G148" s="118"/>
      <c r="H148" s="293"/>
      <c r="I148" s="233"/>
    </row>
    <row r="149" spans="1:9" ht="19.5" customHeight="1" thickBot="1" x14ac:dyDescent="0.35">
      <c r="A149" s="305"/>
      <c r="B149" s="305"/>
      <c r="C149" s="305"/>
      <c r="D149" s="305"/>
      <c r="E149" s="305"/>
      <c r="F149" s="144"/>
      <c r="G149" s="144"/>
      <c r="H149" s="144"/>
    </row>
    <row r="150" spans="1:9" ht="17.25" customHeight="1" x14ac:dyDescent="0.3">
      <c r="A150" s="267" t="s">
        <v>104</v>
      </c>
      <c r="B150" s="268">
        <v>900</v>
      </c>
      <c r="C150" s="306" t="s">
        <v>129</v>
      </c>
      <c r="D150" s="307" t="s">
        <v>57</v>
      </c>
      <c r="E150" s="308" t="s">
        <v>105</v>
      </c>
      <c r="F150" s="309" t="s">
        <v>106</v>
      </c>
      <c r="G150" s="144"/>
      <c r="H150" s="144"/>
    </row>
    <row r="151" spans="1:9" ht="26.25" customHeight="1" x14ac:dyDescent="0.3">
      <c r="A151" s="269" t="s">
        <v>107</v>
      </c>
      <c r="B151" s="270">
        <v>5</v>
      </c>
      <c r="C151" s="310">
        <v>1</v>
      </c>
      <c r="D151" s="311">
        <v>5147371</v>
      </c>
      <c r="E151" s="312">
        <f t="shared" ref="E151:E156" si="3">IF(ISBLANK(D151),"-",D151/$D$146*$D$143*$B$159)</f>
        <v>48.360856759147744</v>
      </c>
      <c r="F151" s="313">
        <f t="shared" ref="F151:F156" si="4">IF(ISBLANK(D151), "-", E151/$B$56)</f>
        <v>0.96721713518295482</v>
      </c>
      <c r="G151" s="144"/>
      <c r="H151" s="144"/>
    </row>
    <row r="152" spans="1:9" ht="26.25" customHeight="1" x14ac:dyDescent="0.3">
      <c r="A152" s="269" t="s">
        <v>85</v>
      </c>
      <c r="B152" s="270">
        <v>20</v>
      </c>
      <c r="C152" s="310">
        <v>2</v>
      </c>
      <c r="D152" s="314">
        <v>5114619</v>
      </c>
      <c r="E152" s="315">
        <f t="shared" si="3"/>
        <v>48.053143407890261</v>
      </c>
      <c r="F152" s="316">
        <f t="shared" si="4"/>
        <v>0.96106286815780517</v>
      </c>
      <c r="G152" s="144"/>
      <c r="H152" s="144"/>
    </row>
    <row r="153" spans="1:9" ht="26.25" customHeight="1" x14ac:dyDescent="0.3">
      <c r="A153" s="269" t="s">
        <v>86</v>
      </c>
      <c r="B153" s="270">
        <v>1</v>
      </c>
      <c r="C153" s="310">
        <v>3</v>
      </c>
      <c r="D153" s="314">
        <v>5232021</v>
      </c>
      <c r="E153" s="315">
        <f t="shared" si="3"/>
        <v>49.156164990215963</v>
      </c>
      <c r="F153" s="316">
        <f t="shared" si="4"/>
        <v>0.98312329980431923</v>
      </c>
      <c r="G153" s="144"/>
      <c r="H153" s="144"/>
    </row>
    <row r="154" spans="1:9" ht="26.25" customHeight="1" x14ac:dyDescent="0.3">
      <c r="A154" s="269" t="s">
        <v>87</v>
      </c>
      <c r="B154" s="270">
        <v>1</v>
      </c>
      <c r="C154" s="310">
        <v>4</v>
      </c>
      <c r="D154" s="314">
        <v>5310576</v>
      </c>
      <c r="E154" s="315">
        <f t="shared" si="3"/>
        <v>49.89420914959652</v>
      </c>
      <c r="F154" s="316">
        <f t="shared" si="4"/>
        <v>0.99788418299193038</v>
      </c>
      <c r="G154" s="144"/>
      <c r="H154" s="144"/>
    </row>
    <row r="155" spans="1:9" ht="26.25" customHeight="1" x14ac:dyDescent="0.3">
      <c r="A155" s="269" t="s">
        <v>88</v>
      </c>
      <c r="B155" s="270">
        <v>1</v>
      </c>
      <c r="C155" s="310">
        <v>5</v>
      </c>
      <c r="D155" s="314">
        <v>5152067</v>
      </c>
      <c r="E155" s="315">
        <f t="shared" si="3"/>
        <v>48.40497687082047</v>
      </c>
      <c r="F155" s="316">
        <f t="shared" si="4"/>
        <v>0.96809953741640942</v>
      </c>
      <c r="G155" s="144"/>
      <c r="H155" s="144"/>
    </row>
    <row r="156" spans="1:9" ht="26.25" customHeight="1" x14ac:dyDescent="0.3">
      <c r="A156" s="269" t="s">
        <v>90</v>
      </c>
      <c r="B156" s="270">
        <v>1</v>
      </c>
      <c r="C156" s="317">
        <v>6</v>
      </c>
      <c r="D156" s="318">
        <v>4620549</v>
      </c>
      <c r="E156" s="319">
        <f t="shared" si="3"/>
        <v>43.411230381028169</v>
      </c>
      <c r="F156" s="320">
        <f t="shared" si="4"/>
        <v>0.86822460762056342</v>
      </c>
      <c r="G156" s="144"/>
      <c r="H156" s="144"/>
    </row>
    <row r="157" spans="1:9" ht="26.25" customHeight="1" x14ac:dyDescent="0.3">
      <c r="A157" s="269" t="s">
        <v>91</v>
      </c>
      <c r="B157" s="270">
        <v>1</v>
      </c>
      <c r="C157" s="310"/>
      <c r="D157" s="276"/>
      <c r="E157" s="144"/>
      <c r="F157" s="321"/>
      <c r="G157" s="144"/>
      <c r="H157" s="144"/>
    </row>
    <row r="158" spans="1:9" ht="26.25" customHeight="1" x14ac:dyDescent="0.4">
      <c r="A158" s="269" t="s">
        <v>92</v>
      </c>
      <c r="B158" s="270">
        <v>1</v>
      </c>
      <c r="C158" s="310"/>
      <c r="D158" s="322"/>
      <c r="E158" s="323" t="s">
        <v>64</v>
      </c>
      <c r="F158" s="324">
        <f>AVERAGE(F151:F156)</f>
        <v>0.95760193852899711</v>
      </c>
      <c r="G158" s="144"/>
      <c r="H158" s="144"/>
    </row>
    <row r="159" spans="1:9" ht="27" customHeight="1" thickBot="1" x14ac:dyDescent="0.45">
      <c r="A159" s="269" t="s">
        <v>93</v>
      </c>
      <c r="B159" s="288">
        <f>(B158/B157)*(B156/B155)*(B154/B153)*(B152/B151)*B150</f>
        <v>3600</v>
      </c>
      <c r="C159" s="325"/>
      <c r="D159" s="144"/>
      <c r="E159" s="326" t="s">
        <v>76</v>
      </c>
      <c r="F159" s="327">
        <f>STDEV(F151:F156)/F158</f>
        <v>4.7802116592364968E-2</v>
      </c>
      <c r="G159" s="144"/>
      <c r="H159" s="144"/>
    </row>
    <row r="160" spans="1:9" ht="27" customHeight="1" thickBot="1" x14ac:dyDescent="0.45">
      <c r="A160" s="401" t="s">
        <v>71</v>
      </c>
      <c r="B160" s="405"/>
      <c r="C160" s="328"/>
      <c r="D160" s="329"/>
      <c r="E160" s="330" t="s">
        <v>19</v>
      </c>
      <c r="F160" s="331">
        <f>COUNT(F151:F156)</f>
        <v>6</v>
      </c>
      <c r="G160" s="144"/>
      <c r="H160" s="144"/>
      <c r="I160" s="233"/>
    </row>
    <row r="161" spans="1:8" ht="19.5" customHeight="1" thickBot="1" x14ac:dyDescent="0.35">
      <c r="A161" s="403"/>
      <c r="B161" s="406"/>
      <c r="C161" s="144"/>
      <c r="D161" s="144"/>
      <c r="E161" s="144"/>
      <c r="F161" s="276"/>
      <c r="G161" s="144"/>
      <c r="H161" s="144"/>
    </row>
    <row r="162" spans="1:8" ht="18.75" x14ac:dyDescent="0.3">
      <c r="A162" s="126"/>
      <c r="B162" s="126"/>
      <c r="C162" s="144"/>
      <c r="D162" s="144"/>
      <c r="E162" s="144"/>
      <c r="F162" s="276"/>
      <c r="G162" s="144"/>
      <c r="H162" s="144"/>
    </row>
    <row r="163" spans="1:8" ht="18.75" x14ac:dyDescent="0.3">
      <c r="A163" s="260" t="s">
        <v>130</v>
      </c>
      <c r="B163" s="111" t="s">
        <v>133</v>
      </c>
      <c r="C163" s="144"/>
      <c r="D163" s="144"/>
      <c r="E163" s="144"/>
      <c r="F163" s="276"/>
      <c r="G163" s="144"/>
      <c r="H163" s="144"/>
    </row>
    <row r="164" spans="1:8" ht="19.5" customHeight="1" thickBot="1" x14ac:dyDescent="0.35">
      <c r="A164" s="126"/>
      <c r="B164" s="126"/>
      <c r="C164" s="144"/>
      <c r="D164" s="144"/>
      <c r="E164" s="144"/>
      <c r="F164" s="276"/>
      <c r="G164" s="144"/>
      <c r="H164" s="144"/>
    </row>
    <row r="165" spans="1:8" ht="26.25" customHeight="1" x14ac:dyDescent="0.4">
      <c r="A165" s="332" t="s">
        <v>64</v>
      </c>
      <c r="B165" s="333">
        <f>AVERAGE(F108:F113,F151:F156)</f>
        <v>0.94743911599043351</v>
      </c>
      <c r="C165" s="144"/>
      <c r="D165" s="144"/>
      <c r="E165" s="144"/>
      <c r="F165" s="276"/>
      <c r="G165" s="144"/>
      <c r="H165" s="144"/>
    </row>
    <row r="166" spans="1:8" ht="26.25" customHeight="1" x14ac:dyDescent="0.4">
      <c r="A166" s="269" t="s">
        <v>76</v>
      </c>
      <c r="B166" s="334">
        <f>STDEV(F108:F113,F151:F156)/B165</f>
        <v>6.7966815391446472E-2</v>
      </c>
      <c r="C166" s="144"/>
      <c r="D166" s="144"/>
      <c r="E166" s="144"/>
      <c r="F166" s="276"/>
      <c r="G166" s="144"/>
      <c r="H166" s="144"/>
    </row>
    <row r="167" spans="1:8" ht="27" customHeight="1" thickBot="1" x14ac:dyDescent="0.45">
      <c r="A167" s="335" t="s">
        <v>19</v>
      </c>
      <c r="B167" s="336">
        <f>COUNT(F108:F113,F151:F156)</f>
        <v>12</v>
      </c>
      <c r="C167" s="144"/>
      <c r="D167" s="144"/>
      <c r="E167" s="144"/>
      <c r="F167" s="276"/>
      <c r="G167" s="144"/>
      <c r="H167" s="144"/>
    </row>
    <row r="168" spans="1:8" ht="26.25" customHeight="1" x14ac:dyDescent="0.3">
      <c r="A168" s="112" t="s">
        <v>128</v>
      </c>
      <c r="B168" s="113" t="s">
        <v>108</v>
      </c>
      <c r="C168" s="407" t="str">
        <f>B20</f>
        <v xml:space="preserve"> Ritonavir</v>
      </c>
      <c r="D168" s="407"/>
      <c r="E168" s="106" t="s">
        <v>109</v>
      </c>
      <c r="F168" s="106"/>
      <c r="G168" s="207">
        <f>B165</f>
        <v>0.94743911599043351</v>
      </c>
      <c r="H168" s="106"/>
    </row>
    <row r="169" spans="1:8" ht="19.5" customHeight="1" thickBot="1" x14ac:dyDescent="0.35">
      <c r="A169" s="337"/>
      <c r="B169" s="337"/>
      <c r="C169" s="338"/>
      <c r="D169" s="338"/>
      <c r="E169" s="338"/>
      <c r="F169" s="338"/>
      <c r="G169" s="338"/>
      <c r="H169" s="338"/>
    </row>
    <row r="170" spans="1:8" ht="18.75" x14ac:dyDescent="0.3">
      <c r="B170" s="408" t="s">
        <v>21</v>
      </c>
      <c r="C170" s="408"/>
      <c r="E170" s="132" t="s">
        <v>22</v>
      </c>
      <c r="F170" s="339"/>
      <c r="G170" s="408" t="s">
        <v>23</v>
      </c>
      <c r="H170" s="408"/>
    </row>
    <row r="171" spans="1:8" ht="83.25" customHeight="1" x14ac:dyDescent="0.3">
      <c r="A171" s="112" t="s">
        <v>24</v>
      </c>
      <c r="B171" s="340" t="s">
        <v>116</v>
      </c>
      <c r="C171" s="340"/>
      <c r="E171" s="341"/>
      <c r="F171" s="106"/>
      <c r="G171" s="341"/>
      <c r="H171" s="341"/>
    </row>
    <row r="172" spans="1:8" ht="84" customHeight="1" x14ac:dyDescent="0.3">
      <c r="A172" s="112" t="s">
        <v>25</v>
      </c>
      <c r="B172" s="342"/>
      <c r="C172" s="342"/>
      <c r="E172" s="343"/>
      <c r="F172" s="106"/>
      <c r="G172" s="344"/>
      <c r="H172" s="344"/>
    </row>
    <row r="173" spans="1:8" ht="18.75" x14ac:dyDescent="0.3">
      <c r="A173" s="140"/>
      <c r="B173" s="140"/>
      <c r="C173" s="140"/>
      <c r="D173" s="140"/>
      <c r="E173" s="140"/>
      <c r="F173" s="162"/>
      <c r="G173" s="140"/>
      <c r="H173" s="140"/>
    </row>
    <row r="174" spans="1:8" ht="18.75" x14ac:dyDescent="0.3">
      <c r="A174" s="140"/>
      <c r="B174" s="140"/>
      <c r="C174" s="140"/>
      <c r="D174" s="140"/>
      <c r="E174" s="140"/>
      <c r="F174" s="162"/>
      <c r="G174" s="140"/>
      <c r="H174" s="140"/>
    </row>
    <row r="175" spans="1:8" ht="18.75" x14ac:dyDescent="0.3">
      <c r="A175" s="140"/>
      <c r="B175" s="140"/>
      <c r="C175" s="140"/>
      <c r="D175" s="140"/>
      <c r="E175" s="140"/>
      <c r="F175" s="162"/>
      <c r="G175" s="140"/>
      <c r="H175" s="140"/>
    </row>
    <row r="176" spans="1:8" ht="18.75" x14ac:dyDescent="0.3">
      <c r="A176" s="140"/>
      <c r="B176" s="140"/>
      <c r="C176" s="140"/>
      <c r="D176" s="140"/>
      <c r="E176" s="140"/>
      <c r="F176" s="162"/>
      <c r="G176" s="140"/>
      <c r="H176" s="140"/>
    </row>
    <row r="177" spans="1:8" ht="18.75" x14ac:dyDescent="0.3">
      <c r="A177" s="140"/>
      <c r="B177" s="140"/>
      <c r="C177" s="140"/>
      <c r="D177" s="140"/>
      <c r="E177" s="140"/>
      <c r="F177" s="162"/>
      <c r="G177" s="140"/>
      <c r="H177" s="140"/>
    </row>
    <row r="178" spans="1:8" ht="18.75" x14ac:dyDescent="0.3">
      <c r="A178" s="140"/>
      <c r="B178" s="140"/>
      <c r="C178" s="140"/>
      <c r="D178" s="140"/>
      <c r="E178" s="140"/>
      <c r="F178" s="162"/>
      <c r="G178" s="140"/>
      <c r="H178" s="140"/>
    </row>
    <row r="179" spans="1:8" ht="18.75" x14ac:dyDescent="0.3">
      <c r="A179" s="140"/>
      <c r="B179" s="140"/>
      <c r="C179" s="140"/>
      <c r="D179" s="140"/>
      <c r="E179" s="140"/>
      <c r="F179" s="162"/>
      <c r="G179" s="140"/>
      <c r="H179" s="140"/>
    </row>
    <row r="180" spans="1:8" ht="18.75" x14ac:dyDescent="0.3">
      <c r="A180" s="140"/>
      <c r="B180" s="140"/>
      <c r="C180" s="140"/>
      <c r="D180" s="140"/>
      <c r="E180" s="140"/>
      <c r="F180" s="162"/>
      <c r="G180" s="140"/>
      <c r="H180" s="140"/>
    </row>
    <row r="181" spans="1:8" ht="18.75" x14ac:dyDescent="0.3">
      <c r="A181" s="140"/>
      <c r="B181" s="140"/>
      <c r="C181" s="140"/>
      <c r="D181" s="140"/>
      <c r="E181" s="140"/>
      <c r="F181" s="162"/>
      <c r="G181" s="140"/>
      <c r="H181" s="140"/>
    </row>
    <row r="250" spans="1:1" x14ac:dyDescent="0.3">
      <c r="A250" s="10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39">
    <mergeCell ref="B26:C26"/>
    <mergeCell ref="A1:H7"/>
    <mergeCell ref="A8:H14"/>
    <mergeCell ref="A16:H16"/>
    <mergeCell ref="A17:H17"/>
    <mergeCell ref="B18:C18"/>
    <mergeCell ref="B27:C27"/>
    <mergeCell ref="C29:G29"/>
    <mergeCell ref="C31:H31"/>
    <mergeCell ref="C32:H32"/>
    <mergeCell ref="D36:E36"/>
    <mergeCell ref="F36:G36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workbookViewId="0">
      <selection activeCell="F58" sqref="F58"/>
    </sheetView>
  </sheetViews>
  <sheetFormatPr defaultRowHeight="13.5" x14ac:dyDescent="0.25"/>
  <cols>
    <col min="1" max="1" width="27.5703125" style="346" customWidth="1"/>
    <col min="2" max="2" width="20.42578125" style="346" customWidth="1"/>
    <col min="3" max="3" width="31.85546875" style="346" customWidth="1"/>
    <col min="4" max="4" width="25.85546875" style="346" customWidth="1"/>
    <col min="5" max="5" width="25.7109375" style="346" customWidth="1"/>
    <col min="6" max="6" width="23.140625" style="346" customWidth="1"/>
    <col min="7" max="7" width="28.42578125" style="346" customWidth="1"/>
    <col min="8" max="8" width="21.5703125" style="346" customWidth="1"/>
    <col min="9" max="9" width="9.140625" style="346" customWidth="1"/>
    <col min="10" max="16384" width="9.140625" style="382"/>
  </cols>
  <sheetData>
    <row r="14" spans="1:6" ht="15" customHeight="1" x14ac:dyDescent="0.3">
      <c r="A14" s="345"/>
      <c r="C14" s="347"/>
      <c r="F14" s="347"/>
    </row>
    <row r="15" spans="1:6" ht="18.75" customHeight="1" x14ac:dyDescent="0.3">
      <c r="A15" s="432" t="s">
        <v>0</v>
      </c>
      <c r="B15" s="432"/>
      <c r="C15" s="432"/>
      <c r="D15" s="432"/>
      <c r="E15" s="432"/>
    </row>
    <row r="16" spans="1:6" ht="16.5" customHeight="1" x14ac:dyDescent="0.3">
      <c r="A16" s="348" t="s">
        <v>1</v>
      </c>
      <c r="B16" s="349" t="s">
        <v>114</v>
      </c>
    </row>
    <row r="17" spans="1:5" ht="16.5" customHeight="1" x14ac:dyDescent="0.3">
      <c r="A17" s="350" t="s">
        <v>2</v>
      </c>
      <c r="B17" s="350" t="s">
        <v>135</v>
      </c>
      <c r="D17" s="351"/>
      <c r="E17" s="352"/>
    </row>
    <row r="18" spans="1:5" ht="16.5" customHeight="1" x14ac:dyDescent="0.3">
      <c r="A18" s="353" t="s">
        <v>3</v>
      </c>
      <c r="B18" s="353" t="s">
        <v>110</v>
      </c>
      <c r="C18" s="352"/>
      <c r="D18" s="352"/>
      <c r="E18" s="352"/>
    </row>
    <row r="19" spans="1:5" ht="16.5" customHeight="1" x14ac:dyDescent="0.3">
      <c r="A19" s="353" t="s">
        <v>5</v>
      </c>
      <c r="B19" s="354">
        <v>99.3</v>
      </c>
      <c r="C19" s="352"/>
      <c r="D19" s="352"/>
      <c r="E19" s="352"/>
    </row>
    <row r="20" spans="1:5" ht="16.5" customHeight="1" x14ac:dyDescent="0.3">
      <c r="A20" s="350" t="s">
        <v>7</v>
      </c>
      <c r="B20" s="355">
        <v>12.96</v>
      </c>
      <c r="C20" s="352"/>
      <c r="D20" s="352"/>
      <c r="E20" s="352"/>
    </row>
    <row r="21" spans="1:5" ht="16.5" customHeight="1" x14ac:dyDescent="0.3">
      <c r="A21" s="350" t="s">
        <v>9</v>
      </c>
      <c r="B21" s="351">
        <f>B20/100*5/25</f>
        <v>2.5920000000000006E-2</v>
      </c>
      <c r="C21" s="352"/>
      <c r="D21" s="352"/>
      <c r="E21" s="352"/>
    </row>
    <row r="22" spans="1:5" ht="15.75" customHeight="1" x14ac:dyDescent="0.25">
      <c r="A22" s="352"/>
      <c r="C22" s="352"/>
      <c r="D22" s="352"/>
      <c r="E22" s="352"/>
    </row>
    <row r="23" spans="1:5" ht="16.5" customHeight="1" x14ac:dyDescent="0.3">
      <c r="A23" s="356" t="s">
        <v>12</v>
      </c>
      <c r="B23" s="357" t="s">
        <v>13</v>
      </c>
      <c r="C23" s="356" t="s">
        <v>14</v>
      </c>
      <c r="D23" s="356" t="s">
        <v>15</v>
      </c>
      <c r="E23" s="356" t="s">
        <v>16</v>
      </c>
    </row>
    <row r="24" spans="1:5" ht="16.5" customHeight="1" x14ac:dyDescent="0.3">
      <c r="A24" s="358">
        <v>1</v>
      </c>
      <c r="B24" s="359">
        <v>9815008</v>
      </c>
      <c r="C24" s="359">
        <v>6980</v>
      </c>
      <c r="D24" s="360">
        <v>1.06</v>
      </c>
      <c r="E24" s="361">
        <v>6.9</v>
      </c>
    </row>
    <row r="25" spans="1:5" ht="16.5" customHeight="1" x14ac:dyDescent="0.3">
      <c r="A25" s="358">
        <v>2</v>
      </c>
      <c r="B25" s="359">
        <v>9846019</v>
      </c>
      <c r="C25" s="359">
        <v>7029</v>
      </c>
      <c r="D25" s="360">
        <v>1.04</v>
      </c>
      <c r="E25" s="360">
        <v>6.87</v>
      </c>
    </row>
    <row r="26" spans="1:5" ht="16.5" customHeight="1" x14ac:dyDescent="0.3">
      <c r="A26" s="358">
        <v>3</v>
      </c>
      <c r="B26" s="359">
        <v>9886396</v>
      </c>
      <c r="C26" s="359">
        <v>6987</v>
      </c>
      <c r="D26" s="360">
        <v>1.06</v>
      </c>
      <c r="E26" s="360">
        <v>6.84</v>
      </c>
    </row>
    <row r="27" spans="1:5" ht="16.5" customHeight="1" x14ac:dyDescent="0.3">
      <c r="A27" s="358">
        <v>4</v>
      </c>
      <c r="B27" s="359">
        <v>9884401</v>
      </c>
      <c r="C27" s="359">
        <v>7032</v>
      </c>
      <c r="D27" s="360">
        <v>1.05</v>
      </c>
      <c r="E27" s="360">
        <v>6.85</v>
      </c>
    </row>
    <row r="28" spans="1:5" ht="16.5" customHeight="1" x14ac:dyDescent="0.3">
      <c r="A28" s="358">
        <v>5</v>
      </c>
      <c r="B28" s="359">
        <v>9904758</v>
      </c>
      <c r="C28" s="359">
        <v>7012</v>
      </c>
      <c r="D28" s="360">
        <v>1.05</v>
      </c>
      <c r="E28" s="360">
        <v>6.85</v>
      </c>
    </row>
    <row r="29" spans="1:5" ht="16.5" customHeight="1" x14ac:dyDescent="0.3">
      <c r="A29" s="358">
        <v>6</v>
      </c>
      <c r="B29" s="362">
        <v>9902483</v>
      </c>
      <c r="C29" s="362">
        <v>7022</v>
      </c>
      <c r="D29" s="363">
        <v>1.06</v>
      </c>
      <c r="E29" s="363">
        <v>6.85</v>
      </c>
    </row>
    <row r="30" spans="1:5" ht="16.5" customHeight="1" x14ac:dyDescent="0.3">
      <c r="A30" s="364" t="s">
        <v>17</v>
      </c>
      <c r="B30" s="365">
        <f>AVERAGE(B24:B29)</f>
        <v>9873177.5</v>
      </c>
      <c r="C30" s="366">
        <f>AVERAGE(C24:C29)</f>
        <v>7010.333333333333</v>
      </c>
      <c r="D30" s="367">
        <f>AVERAGE(D24:D29)</f>
        <v>1.0533333333333335</v>
      </c>
      <c r="E30" s="367">
        <f>AVERAGE(E24:E29)</f>
        <v>6.86</v>
      </c>
    </row>
    <row r="31" spans="1:5" ht="16.5" customHeight="1" x14ac:dyDescent="0.3">
      <c r="A31" s="368" t="s">
        <v>18</v>
      </c>
      <c r="B31" s="369">
        <f>(STDEV(B24:B29)/B30)</f>
        <v>3.5889924361686637E-3</v>
      </c>
      <c r="C31" s="370"/>
      <c r="D31" s="370"/>
      <c r="E31" s="371"/>
    </row>
    <row r="32" spans="1:5" s="346" customFormat="1" ht="16.5" customHeight="1" x14ac:dyDescent="0.3">
      <c r="A32" s="372" t="s">
        <v>19</v>
      </c>
      <c r="B32" s="373">
        <f>COUNT(B24:B29)</f>
        <v>6</v>
      </c>
      <c r="C32" s="374"/>
      <c r="D32" s="375"/>
      <c r="E32" s="376"/>
    </row>
    <row r="33" spans="1:6" s="346" customFormat="1" ht="15.75" customHeight="1" x14ac:dyDescent="0.25">
      <c r="A33" s="352"/>
      <c r="B33" s="352"/>
      <c r="C33" s="352"/>
      <c r="D33" s="352"/>
      <c r="E33" s="352"/>
    </row>
    <row r="34" spans="1:6" s="346" customFormat="1" ht="16.5" customHeight="1" x14ac:dyDescent="0.3">
      <c r="A34" s="353" t="s">
        <v>20</v>
      </c>
      <c r="B34" s="377" t="s">
        <v>121</v>
      </c>
      <c r="C34" s="378"/>
      <c r="D34" s="378"/>
      <c r="E34" s="378"/>
    </row>
    <row r="35" spans="1:6" ht="16.5" customHeight="1" x14ac:dyDescent="0.3">
      <c r="A35" s="353"/>
      <c r="B35" s="377" t="s">
        <v>118</v>
      </c>
      <c r="C35" s="378"/>
      <c r="D35" s="378"/>
      <c r="E35" s="378"/>
    </row>
    <row r="36" spans="1:6" ht="16.5" customHeight="1" x14ac:dyDescent="0.3">
      <c r="A36" s="353"/>
      <c r="B36" s="377" t="s">
        <v>119</v>
      </c>
      <c r="C36" s="378"/>
      <c r="D36" s="378"/>
      <c r="E36" s="378"/>
    </row>
    <row r="37" spans="1:6" ht="16.5" customHeight="1" x14ac:dyDescent="0.3">
      <c r="A37" s="353"/>
      <c r="B37" s="377" t="s">
        <v>120</v>
      </c>
      <c r="C37" s="378"/>
      <c r="D37" s="378"/>
      <c r="E37" s="378"/>
    </row>
    <row r="38" spans="1:6" ht="15.75" customHeight="1" x14ac:dyDescent="0.25">
      <c r="A38" s="352"/>
      <c r="B38" s="352"/>
      <c r="C38" s="352"/>
      <c r="D38" s="352"/>
      <c r="E38" s="352"/>
    </row>
    <row r="39" spans="1:6" ht="16.5" customHeight="1" x14ac:dyDescent="0.3">
      <c r="A39" s="348" t="s">
        <v>1</v>
      </c>
      <c r="B39" s="349" t="s">
        <v>115</v>
      </c>
    </row>
    <row r="40" spans="1:6" ht="16.5" customHeight="1" x14ac:dyDescent="0.3">
      <c r="A40" s="353" t="s">
        <v>3</v>
      </c>
      <c r="B40" s="350" t="s">
        <v>112</v>
      </c>
      <c r="C40" s="352"/>
      <c r="D40" s="352"/>
      <c r="E40" s="352"/>
    </row>
    <row r="41" spans="1:6" ht="16.5" customHeight="1" x14ac:dyDescent="0.3">
      <c r="A41" s="353" t="s">
        <v>5</v>
      </c>
      <c r="B41" s="354">
        <v>98.9</v>
      </c>
      <c r="C41" s="352"/>
      <c r="D41" s="352"/>
      <c r="E41" s="352"/>
    </row>
    <row r="42" spans="1:6" ht="16.5" customHeight="1" x14ac:dyDescent="0.3">
      <c r="A42" s="350" t="s">
        <v>7</v>
      </c>
      <c r="B42" s="354">
        <v>21.28</v>
      </c>
      <c r="C42" s="352"/>
      <c r="D42" s="352"/>
      <c r="E42" s="352"/>
    </row>
    <row r="43" spans="1:6" ht="16.5" customHeight="1" x14ac:dyDescent="0.3">
      <c r="A43" s="350" t="s">
        <v>9</v>
      </c>
      <c r="B43" s="355">
        <f>B42/50*5/25</f>
        <v>8.5120000000000001E-2</v>
      </c>
      <c r="C43" s="352"/>
      <c r="D43" s="352"/>
      <c r="E43" s="352"/>
    </row>
    <row r="44" spans="1:6" ht="15.75" customHeight="1" x14ac:dyDescent="0.25">
      <c r="A44" s="352"/>
      <c r="B44" s="352"/>
      <c r="C44" s="352"/>
      <c r="D44" s="352"/>
      <c r="E44" s="352"/>
    </row>
    <row r="45" spans="1:6" ht="16.5" customHeight="1" x14ac:dyDescent="0.3">
      <c r="A45" s="356" t="s">
        <v>12</v>
      </c>
      <c r="B45" s="357" t="s">
        <v>13</v>
      </c>
      <c r="C45" s="356" t="s">
        <v>14</v>
      </c>
      <c r="D45" s="356" t="s">
        <v>15</v>
      </c>
      <c r="E45" s="356" t="s">
        <v>16</v>
      </c>
      <c r="F45" s="434" t="s">
        <v>137</v>
      </c>
    </row>
    <row r="46" spans="1:6" ht="16.5" customHeight="1" x14ac:dyDescent="0.3">
      <c r="A46" s="358">
        <v>1</v>
      </c>
      <c r="B46" s="359">
        <v>43457067</v>
      </c>
      <c r="C46" s="359">
        <v>7707</v>
      </c>
      <c r="D46" s="360">
        <v>1.05</v>
      </c>
      <c r="E46" s="361">
        <v>8.11</v>
      </c>
      <c r="F46" s="435">
        <v>3.48</v>
      </c>
    </row>
    <row r="47" spans="1:6" ht="16.5" customHeight="1" x14ac:dyDescent="0.3">
      <c r="A47" s="358">
        <v>2</v>
      </c>
      <c r="B47" s="359">
        <v>43688648</v>
      </c>
      <c r="C47" s="359">
        <v>7755</v>
      </c>
      <c r="D47" s="360">
        <v>1.06</v>
      </c>
      <c r="E47" s="360">
        <v>8.07</v>
      </c>
      <c r="F47" s="436">
        <v>3.47</v>
      </c>
    </row>
    <row r="48" spans="1:6" ht="16.5" customHeight="1" x14ac:dyDescent="0.3">
      <c r="A48" s="358">
        <v>3</v>
      </c>
      <c r="B48" s="359">
        <v>43721685</v>
      </c>
      <c r="C48" s="359">
        <v>7782</v>
      </c>
      <c r="D48" s="360">
        <v>1.05</v>
      </c>
      <c r="E48" s="360">
        <v>8.0500000000000007</v>
      </c>
      <c r="F48" s="436">
        <v>3.49</v>
      </c>
    </row>
    <row r="49" spans="1:7" ht="16.5" customHeight="1" x14ac:dyDescent="0.3">
      <c r="A49" s="358">
        <v>4</v>
      </c>
      <c r="B49" s="359">
        <v>43738693</v>
      </c>
      <c r="C49" s="359">
        <v>7799</v>
      </c>
      <c r="D49" s="360">
        <v>1.04</v>
      </c>
      <c r="E49" s="360">
        <v>8.06</v>
      </c>
      <c r="F49" s="436">
        <v>3.49</v>
      </c>
    </row>
    <row r="50" spans="1:7" ht="16.5" customHeight="1" x14ac:dyDescent="0.3">
      <c r="A50" s="358">
        <v>5</v>
      </c>
      <c r="B50" s="359">
        <v>43838494</v>
      </c>
      <c r="C50" s="359">
        <v>7794</v>
      </c>
      <c r="D50" s="360">
        <v>1.06</v>
      </c>
      <c r="E50" s="360">
        <v>8.06</v>
      </c>
      <c r="F50" s="436">
        <v>3.49</v>
      </c>
    </row>
    <row r="51" spans="1:7" ht="16.5" customHeight="1" x14ac:dyDescent="0.3">
      <c r="A51" s="358">
        <v>6</v>
      </c>
      <c r="B51" s="362">
        <v>43752523</v>
      </c>
      <c r="C51" s="362">
        <v>7821</v>
      </c>
      <c r="D51" s="363">
        <v>1.07</v>
      </c>
      <c r="E51" s="363">
        <v>8.06</v>
      </c>
      <c r="F51" s="437">
        <v>3.5</v>
      </c>
    </row>
    <row r="52" spans="1:7" ht="16.5" customHeight="1" x14ac:dyDescent="0.3">
      <c r="A52" s="364" t="s">
        <v>17</v>
      </c>
      <c r="B52" s="365">
        <f>AVERAGE(B46:B51)</f>
        <v>43699518.333333336</v>
      </c>
      <c r="C52" s="366">
        <f>AVERAGE(C46:C51)</f>
        <v>7776.333333333333</v>
      </c>
      <c r="D52" s="367">
        <f>AVERAGE(D46:D51)</f>
        <v>1.0549999999999999</v>
      </c>
      <c r="E52" s="367">
        <f>AVERAGE(E46:E51)</f>
        <v>8.0683333333333334</v>
      </c>
      <c r="F52" s="438">
        <f>AVERAGE(F46:F51)</f>
        <v>3.4866666666666668</v>
      </c>
    </row>
    <row r="53" spans="1:7" ht="16.5" customHeight="1" x14ac:dyDescent="0.3">
      <c r="A53" s="368" t="s">
        <v>18</v>
      </c>
      <c r="B53" s="369">
        <f>(STDEV(B46:B51)/B52)</f>
        <v>2.9492366947105305E-3</v>
      </c>
      <c r="C53" s="370"/>
      <c r="D53" s="370"/>
      <c r="E53" s="371"/>
      <c r="F53" s="439"/>
    </row>
    <row r="54" spans="1:7" s="346" customFormat="1" ht="16.5" customHeight="1" x14ac:dyDescent="0.3">
      <c r="A54" s="372" t="s">
        <v>19</v>
      </c>
      <c r="B54" s="373">
        <f>COUNT(B46:B51)</f>
        <v>6</v>
      </c>
      <c r="C54" s="374"/>
      <c r="D54" s="375"/>
      <c r="E54" s="376"/>
      <c r="F54" s="440"/>
    </row>
    <row r="55" spans="1:7" s="346" customFormat="1" ht="15.75" customHeight="1" x14ac:dyDescent="0.25">
      <c r="A55" s="352"/>
      <c r="B55" s="352"/>
      <c r="C55" s="352"/>
      <c r="D55" s="352"/>
      <c r="E55" s="352"/>
    </row>
    <row r="56" spans="1:7" s="346" customFormat="1" ht="16.5" customHeight="1" x14ac:dyDescent="0.3">
      <c r="A56" s="353" t="s">
        <v>20</v>
      </c>
      <c r="B56" s="377" t="s">
        <v>121</v>
      </c>
      <c r="C56" s="378"/>
      <c r="D56" s="378"/>
      <c r="E56" s="378"/>
    </row>
    <row r="57" spans="1:7" ht="16.5" customHeight="1" x14ac:dyDescent="0.3">
      <c r="A57" s="353"/>
      <c r="B57" s="377" t="s">
        <v>118</v>
      </c>
      <c r="C57" s="378"/>
      <c r="D57" s="378"/>
      <c r="E57" s="378"/>
    </row>
    <row r="58" spans="1:7" ht="16.5" customHeight="1" x14ac:dyDescent="0.3">
      <c r="A58" s="353"/>
      <c r="B58" s="377" t="s">
        <v>136</v>
      </c>
      <c r="C58" s="378"/>
      <c r="D58" s="378"/>
      <c r="E58" s="378"/>
    </row>
    <row r="59" spans="1:7" ht="16.5" customHeight="1" x14ac:dyDescent="0.3">
      <c r="A59" s="353"/>
      <c r="B59" s="377" t="s">
        <v>120</v>
      </c>
      <c r="C59" s="378"/>
      <c r="D59" s="378"/>
      <c r="E59" s="378"/>
    </row>
    <row r="60" spans="1:7" ht="14.25" customHeight="1" thickBot="1" x14ac:dyDescent="0.3">
      <c r="A60" s="379"/>
      <c r="B60" s="380"/>
      <c r="D60" s="381"/>
      <c r="F60" s="382"/>
      <c r="G60" s="382"/>
    </row>
    <row r="61" spans="1:7" ht="15" customHeight="1" x14ac:dyDescent="0.3">
      <c r="B61" s="433" t="s">
        <v>21</v>
      </c>
      <c r="C61" s="433"/>
      <c r="E61" s="383" t="s">
        <v>22</v>
      </c>
      <c r="F61" s="384"/>
      <c r="G61" s="383" t="s">
        <v>23</v>
      </c>
    </row>
    <row r="62" spans="1:7" ht="15" customHeight="1" x14ac:dyDescent="0.3">
      <c r="A62" s="385" t="s">
        <v>24</v>
      </c>
      <c r="B62" s="386"/>
      <c r="C62" s="386"/>
      <c r="E62" s="386"/>
      <c r="G62" s="386"/>
    </row>
    <row r="63" spans="1:7" ht="15" customHeight="1" x14ac:dyDescent="0.3">
      <c r="A63" s="385" t="s">
        <v>25</v>
      </c>
      <c r="B63" s="387"/>
      <c r="C63" s="387"/>
      <c r="E63" s="387"/>
      <c r="G63" s="38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1:C61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</vt:lpstr>
      <vt:lpstr>Lopinavir</vt:lpstr>
      <vt:lpstr>Ritonavir</vt:lpstr>
      <vt:lpstr>SST (2)</vt:lpstr>
      <vt:lpstr>Lopinavir!Print_Area</vt:lpstr>
      <vt:lpstr>Ritonavir!Print_Area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2016-05-24T07:17:50Z</cp:lastPrinted>
  <dcterms:created xsi:type="dcterms:W3CDTF">2005-07-05T10:19:27Z</dcterms:created>
  <dcterms:modified xsi:type="dcterms:W3CDTF">2016-06-06T09:17:57Z</dcterms:modified>
</cp:coreProperties>
</file>