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6"/>
  </bookViews>
  <sheets>
    <sheet name="SST LAMIVUDINE" sheetId="1" r:id="rId1"/>
    <sheet name="SST TENOFOVIR" sheetId="6" r:id="rId2"/>
    <sheet name="SST EFAVIRENZ" sheetId="7" r:id="rId3"/>
    <sheet name="Uniformity" sheetId="2" r:id="rId4"/>
    <sheet name="Lamivudine" sheetId="3" r:id="rId5"/>
    <sheet name="Tenofovir Disoproxil Fumarate" sheetId="4" r:id="rId6"/>
    <sheet name="Efavirenz" sheetId="5" r:id="rId7"/>
  </sheets>
  <definedNames>
    <definedName name="_xlnm.Print_Area" localSheetId="6">Efavirenz!$A$1:$I$124</definedName>
    <definedName name="_xlnm.Print_Area" localSheetId="4">Lamivudine!$A$1:$I$124</definedName>
    <definedName name="_xlnm.Print_Area" localSheetId="2">'SST EFAVIRENZ'!$A$15:$G$61</definedName>
    <definedName name="_xlnm.Print_Area" localSheetId="0">'SST LAMIVUDINE'!$A$15:$G$61</definedName>
    <definedName name="_xlnm.Print_Area" localSheetId="1">'SST TENOFOVIR'!$A$15:$G$61</definedName>
    <definedName name="_xlnm.Print_Area" localSheetId="5">'Tenofovir Disoproxil Fumarate'!$A$1:$I$124</definedName>
    <definedName name="_xlnm.Print_Area" localSheetId="3">Uniformity!$A$12:$F$54</definedName>
  </definedNames>
  <calcPr calcId="145621"/>
</workbook>
</file>

<file path=xl/calcChain.xml><?xml version="1.0" encoding="utf-8"?>
<calcChain xmlns="http://schemas.openxmlformats.org/spreadsheetml/2006/main"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30" i="1"/>
  <c r="C120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B30" i="5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3" s="1"/>
  <c r="C45" i="2"/>
  <c r="D34" i="2"/>
  <c r="D26" i="2"/>
  <c r="C19" i="2"/>
  <c r="B53" i="1"/>
  <c r="E51" i="1"/>
  <c r="D51" i="1"/>
  <c r="C51" i="1"/>
  <c r="B51" i="1"/>
  <c r="B52" i="1" s="1"/>
  <c r="B32" i="1"/>
  <c r="E30" i="1"/>
  <c r="D30" i="1"/>
  <c r="B30" i="1"/>
  <c r="B31" i="1" s="1"/>
  <c r="D97" i="3" l="1"/>
  <c r="I92" i="3"/>
  <c r="I92" i="5"/>
  <c r="D101" i="4"/>
  <c r="D102" i="4" s="1"/>
  <c r="D97" i="4"/>
  <c r="D98" i="4" s="1"/>
  <c r="I39" i="4"/>
  <c r="I39" i="5"/>
  <c r="F98" i="4"/>
  <c r="F99" i="4" s="1"/>
  <c r="I92" i="4"/>
  <c r="D45" i="3"/>
  <c r="E38" i="3" s="1"/>
  <c r="I39" i="3"/>
  <c r="D101" i="5"/>
  <c r="G93" i="5" s="1"/>
  <c r="D45" i="4"/>
  <c r="E40" i="4" s="1"/>
  <c r="F99" i="3"/>
  <c r="D101" i="3"/>
  <c r="G93" i="3" s="1"/>
  <c r="B69" i="3"/>
  <c r="D46" i="3"/>
  <c r="E41" i="3"/>
  <c r="D98" i="3"/>
  <c r="D99" i="3" s="1"/>
  <c r="D49" i="4"/>
  <c r="E39" i="4"/>
  <c r="E94" i="4"/>
  <c r="G94" i="4"/>
  <c r="D27" i="2"/>
  <c r="D35" i="2"/>
  <c r="E39" i="3"/>
  <c r="D30" i="2"/>
  <c r="D39" i="2"/>
  <c r="C50" i="2"/>
  <c r="D31" i="2"/>
  <c r="D40" i="2"/>
  <c r="D50" i="2"/>
  <c r="B49" i="2"/>
  <c r="D42" i="2"/>
  <c r="D38" i="2"/>
  <c r="B57" i="4"/>
  <c r="B69" i="4" s="1"/>
  <c r="D32" i="2"/>
  <c r="B57" i="5"/>
  <c r="B69" i="5" s="1"/>
  <c r="D49" i="2"/>
  <c r="D43" i="2"/>
  <c r="D37" i="2"/>
  <c r="D33" i="2"/>
  <c r="D29" i="2"/>
  <c r="D25" i="2"/>
  <c r="C49" i="2"/>
  <c r="D41" i="2"/>
  <c r="D36" i="2"/>
  <c r="D28" i="2"/>
  <c r="D24" i="2"/>
  <c r="D46" i="4"/>
  <c r="D49" i="3"/>
  <c r="E40" i="3"/>
  <c r="F44" i="3"/>
  <c r="F45" i="3" s="1"/>
  <c r="G38" i="3" s="1"/>
  <c r="F44" i="4"/>
  <c r="F45" i="4" s="1"/>
  <c r="F46" i="4" s="1"/>
  <c r="F98" i="5"/>
  <c r="F99" i="5" s="1"/>
  <c r="D44" i="5"/>
  <c r="D45" i="5" s="1"/>
  <c r="D46" i="5" s="1"/>
  <c r="F44" i="5"/>
  <c r="F45" i="5" s="1"/>
  <c r="F46" i="5" s="1"/>
  <c r="D49" i="5"/>
  <c r="D102" i="5"/>
  <c r="G94" i="5"/>
  <c r="D97" i="5"/>
  <c r="D98" i="5" s="1"/>
  <c r="D99" i="5" s="1"/>
  <c r="G93" i="4" l="1"/>
  <c r="G92" i="4"/>
  <c r="D99" i="4"/>
  <c r="E93" i="4"/>
  <c r="E91" i="4"/>
  <c r="E95" i="4" s="1"/>
  <c r="E92" i="4"/>
  <c r="G91" i="4"/>
  <c r="G91" i="5"/>
  <c r="E41" i="5"/>
  <c r="E39" i="5"/>
  <c r="E91" i="5"/>
  <c r="E38" i="5"/>
  <c r="G41" i="5"/>
  <c r="G92" i="5"/>
  <c r="E92" i="5"/>
  <c r="E38" i="4"/>
  <c r="E41" i="4"/>
  <c r="G38" i="4"/>
  <c r="G39" i="4"/>
  <c r="G91" i="3"/>
  <c r="G94" i="3"/>
  <c r="E94" i="3"/>
  <c r="E91" i="3"/>
  <c r="D102" i="3"/>
  <c r="E93" i="3"/>
  <c r="G92" i="3"/>
  <c r="E92" i="3"/>
  <c r="G38" i="5"/>
  <c r="F46" i="3"/>
  <c r="G41" i="3"/>
  <c r="E40" i="5"/>
  <c r="E42" i="3"/>
  <c r="G39" i="5"/>
  <c r="G39" i="3"/>
  <c r="E94" i="5"/>
  <c r="E93" i="5"/>
  <c r="G40" i="5"/>
  <c r="G40" i="3"/>
  <c r="G40" i="4"/>
  <c r="G41" i="4"/>
  <c r="D103" i="4" l="1"/>
  <c r="E108" i="4" s="1"/>
  <c r="D105" i="4"/>
  <c r="G95" i="4"/>
  <c r="G95" i="5"/>
  <c r="E95" i="5"/>
  <c r="D105" i="5"/>
  <c r="D103" i="5"/>
  <c r="E110" i="5" s="1"/>
  <c r="F110" i="5" s="1"/>
  <c r="D52" i="5"/>
  <c r="E42" i="5"/>
  <c r="D50" i="5"/>
  <c r="G66" i="5" s="1"/>
  <c r="H66" i="5" s="1"/>
  <c r="G42" i="5"/>
  <c r="E42" i="4"/>
  <c r="D52" i="4"/>
  <c r="G42" i="4"/>
  <c r="D50" i="4"/>
  <c r="G68" i="4" s="1"/>
  <c r="H68" i="4" s="1"/>
  <c r="G95" i="3"/>
  <c r="D103" i="3"/>
  <c r="E110" i="3" s="1"/>
  <c r="F110" i="3" s="1"/>
  <c r="E95" i="3"/>
  <c r="D52" i="3"/>
  <c r="D105" i="3"/>
  <c r="D50" i="3"/>
  <c r="G66" i="3" s="1"/>
  <c r="H66" i="3" s="1"/>
  <c r="G42" i="3"/>
  <c r="D104" i="4"/>
  <c r="E111" i="5" l="1"/>
  <c r="F111" i="5" s="1"/>
  <c r="E110" i="4"/>
  <c r="F110" i="4" s="1"/>
  <c r="E113" i="4"/>
  <c r="F113" i="4" s="1"/>
  <c r="E112" i="4"/>
  <c r="F112" i="4" s="1"/>
  <c r="E109" i="4"/>
  <c r="F109" i="4" s="1"/>
  <c r="E111" i="4"/>
  <c r="F111" i="4" s="1"/>
  <c r="G66" i="4"/>
  <c r="H66" i="4" s="1"/>
  <c r="G71" i="5"/>
  <c r="H71" i="5" s="1"/>
  <c r="E112" i="5"/>
  <c r="F112" i="5" s="1"/>
  <c r="D104" i="5"/>
  <c r="E108" i="5"/>
  <c r="E113" i="5"/>
  <c r="F113" i="5" s="1"/>
  <c r="E109" i="5"/>
  <c r="F109" i="5" s="1"/>
  <c r="G65" i="5"/>
  <c r="H65" i="5" s="1"/>
  <c r="G67" i="5"/>
  <c r="H67" i="5" s="1"/>
  <c r="G62" i="5"/>
  <c r="H62" i="5" s="1"/>
  <c r="D51" i="5"/>
  <c r="G64" i="5"/>
  <c r="H64" i="5" s="1"/>
  <c r="G61" i="5"/>
  <c r="H61" i="5" s="1"/>
  <c r="G70" i="5"/>
  <c r="H70" i="5" s="1"/>
  <c r="G63" i="5"/>
  <c r="H63" i="5" s="1"/>
  <c r="G60" i="5"/>
  <c r="H60" i="5" s="1"/>
  <c r="G69" i="5"/>
  <c r="H69" i="5" s="1"/>
  <c r="G68" i="5"/>
  <c r="H68" i="5" s="1"/>
  <c r="G63" i="4"/>
  <c r="H63" i="4" s="1"/>
  <c r="G60" i="4"/>
  <c r="H60" i="4" s="1"/>
  <c r="G71" i="4"/>
  <c r="H71" i="4" s="1"/>
  <c r="G69" i="4"/>
  <c r="H69" i="4" s="1"/>
  <c r="D51" i="4"/>
  <c r="G70" i="4"/>
  <c r="H70" i="4" s="1"/>
  <c r="G62" i="4"/>
  <c r="H62" i="4" s="1"/>
  <c r="G67" i="4"/>
  <c r="H67" i="4" s="1"/>
  <c r="G61" i="4"/>
  <c r="H61" i="4" s="1"/>
  <c r="G65" i="4"/>
  <c r="H65" i="4" s="1"/>
  <c r="G64" i="4"/>
  <c r="H64" i="4" s="1"/>
  <c r="E111" i="3"/>
  <c r="F111" i="3" s="1"/>
  <c r="D104" i="3"/>
  <c r="E112" i="3"/>
  <c r="F112" i="3" s="1"/>
  <c r="E109" i="3"/>
  <c r="F109" i="3" s="1"/>
  <c r="E108" i="3"/>
  <c r="F108" i="3" s="1"/>
  <c r="E113" i="3"/>
  <c r="F113" i="3" s="1"/>
  <c r="G71" i="3"/>
  <c r="H71" i="3" s="1"/>
  <c r="G68" i="3"/>
  <c r="H68" i="3" s="1"/>
  <c r="G63" i="3"/>
  <c r="H63" i="3" s="1"/>
  <c r="D51" i="3"/>
  <c r="G70" i="3"/>
  <c r="H70" i="3" s="1"/>
  <c r="G65" i="3"/>
  <c r="H65" i="3" s="1"/>
  <c r="G60" i="3"/>
  <c r="H60" i="3" s="1"/>
  <c r="G62" i="3"/>
  <c r="H62" i="3" s="1"/>
  <c r="G67" i="3"/>
  <c r="H67" i="3" s="1"/>
  <c r="G61" i="3"/>
  <c r="H61" i="3" s="1"/>
  <c r="G64" i="3"/>
  <c r="H64" i="3" s="1"/>
  <c r="G69" i="3"/>
  <c r="H69" i="3" s="1"/>
  <c r="F108" i="4"/>
  <c r="E115" i="4" l="1"/>
  <c r="E116" i="4" s="1"/>
  <c r="E117" i="4"/>
  <c r="E117" i="5"/>
  <c r="E115" i="5"/>
  <c r="E116" i="5" s="1"/>
  <c r="F108" i="5"/>
  <c r="F117" i="5" s="1"/>
  <c r="G72" i="5"/>
  <c r="G73" i="5" s="1"/>
  <c r="G74" i="5"/>
  <c r="G72" i="4"/>
  <c r="G73" i="4" s="1"/>
  <c r="G74" i="4"/>
  <c r="E115" i="3"/>
  <c r="E116" i="3" s="1"/>
  <c r="E117" i="3"/>
  <c r="G72" i="3"/>
  <c r="G73" i="3" s="1"/>
  <c r="G74" i="3"/>
  <c r="F117" i="4"/>
  <c r="F115" i="4"/>
  <c r="H72" i="5"/>
  <c r="H74" i="5"/>
  <c r="F117" i="3"/>
  <c r="F115" i="3"/>
  <c r="H72" i="4"/>
  <c r="H74" i="4"/>
  <c r="H72" i="3"/>
  <c r="H74" i="3"/>
  <c r="F115" i="5" l="1"/>
  <c r="F116" i="5" s="1"/>
  <c r="G76" i="3"/>
  <c r="H73" i="3"/>
  <c r="G76" i="5"/>
  <c r="H73" i="5"/>
  <c r="G120" i="3"/>
  <c r="F116" i="3"/>
  <c r="G120" i="4"/>
  <c r="F116" i="4"/>
  <c r="G76" i="4"/>
  <c r="H73" i="4"/>
  <c r="G120" i="5" l="1"/>
</calcChain>
</file>

<file path=xl/sharedStrings.xml><?xml version="1.0" encoding="utf-8"?>
<sst xmlns="http://schemas.openxmlformats.org/spreadsheetml/2006/main" count="647" uniqueCount="139">
  <si>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</si>
  <si>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</si>
  <si>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</si>
  <si>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</si>
  <si>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</si>
  <si>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</si>
  <si>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</si>
  <si>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NDQB201603806</t>
  </si>
  <si>
    <t>Weight (mg):</t>
  </si>
  <si>
    <t>Tenofovir Disoproxil Fumarate 300mg, Lamivudine 300mg &amp; Efavirenz 600mg tablets</t>
  </si>
  <si>
    <t>Standard Conc (mg/mL):</t>
  </si>
  <si>
    <t>2016-03-15 12:52:30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</si>
  <si>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</si>
  <si>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</si>
  <si>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</si>
  <si>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</si>
  <si>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</si>
  <si>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</si>
  <si>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</si>
  <si>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</si>
  <si>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</si>
  <si>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</si>
  <si>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</si>
  <si>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</si>
  <si>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</si>
  <si>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</si>
  <si>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</si>
  <si>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</si>
  <si>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</si>
  <si>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</si>
  <si>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</si>
  <si>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</si>
  <si>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</si>
  <si>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</si>
  <si>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</si>
  <si>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</si>
  <si>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</si>
  <si>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</si>
  <si>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</si>
  <si>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</si>
  <si>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</si>
  <si>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</si>
  <si>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</si>
  <si>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</si>
  <si>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</si>
  <si>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</si>
  <si>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</si>
  <si>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</si>
  <si>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</si>
  <si>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</si>
  <si>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</si>
  <si>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</si>
  <si>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</si>
  <si>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</si>
  <si>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</si>
  <si>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</si>
  <si>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</si>
  <si>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</si>
  <si>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</si>
  <si>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</si>
  <si>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</si>
  <si>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</si>
  <si>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</si>
  <si>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</si>
  <si>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</si>
  <si>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</si>
  <si>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</si>
  <si>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</si>
  <si>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</si>
  <si>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</si>
  <si>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</si>
  <si>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</si>
  <si>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</si>
  <si>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</si>
  <si>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</si>
  <si>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</si>
  <si>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</si>
  <si>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</si>
  <si>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</si>
  <si>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</si>
  <si>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</si>
  <si>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</si>
  <si>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</si>
  <si>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</si>
  <si>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</si>
  <si>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</si>
  <si>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</si>
  <si>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</si>
  <si>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</si>
  <si>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</si>
  <si>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</si>
  <si>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</si>
  <si>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</si>
  <si>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</si>
  <si>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</si>
  <si>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</si>
  <si>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</si>
  <si>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</si>
  <si>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</si>
  <si>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</si>
  <si>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</si>
  <si>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</si>
  <si>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</si>
  <si>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</si>
  <si>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</si>
  <si>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</si>
  <si>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</si>
  <si>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</si>
  <si>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</si>
  <si>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</si>
  <si>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</si>
  <si>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</si>
  <si>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</si>
  <si>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</si>
  <si>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</si>
  <si>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</si>
  <si>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</si>
  <si>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</si>
  <si>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</si>
  <si>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</si>
  <si>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</si>
  <si>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</si>
  <si>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</si>
  <si>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</si>
  <si>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Each film-coated tablet contains Efavirenz 600mg, Lamivudine USP 300mg, Tenofovir Disoproxil Fumarate 300mg euivalent to tenofovir disoproxil 245mg</t>
  </si>
  <si>
    <t>Efavirenz 600mg, Lamivudine 300mg and Tenofovir Disoproxil Fumarate 300mg Tablets</t>
  </si>
  <si>
    <t>Lamivudine</t>
  </si>
  <si>
    <t>L3-9</t>
  </si>
  <si>
    <t>Tenofovir Disoproxil Fumarate</t>
  </si>
  <si>
    <t>T11-6</t>
  </si>
  <si>
    <t>EFAVIRENZ</t>
  </si>
  <si>
    <t>E15-3</t>
  </si>
  <si>
    <t>0.3mg/ml</t>
  </si>
  <si>
    <t xml:space="preserve"> 0.06mg/ml</t>
  </si>
  <si>
    <t>Tenofofovir D F</t>
  </si>
  <si>
    <t>TENOFOVIR DISOPROXIL FUMARATE</t>
  </si>
  <si>
    <t xml:space="preserve"> LAMIVUDINE</t>
  </si>
  <si>
    <t xml:space="preserve">EFAVIRENZ  </t>
  </si>
  <si>
    <t>0.06mg/ml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</si>
</sst>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70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29" xfId="2" applyFont="1" applyFill="1" applyBorder="1" applyAlignment="1" applyProtection="1">
      <alignment horizontal="center"/>
      <protection locked="0"/>
    </xf>
    <xf numFmtId="0" fontId="13" fillId="3" borderId="23" xfId="2" applyFont="1" applyFill="1" applyBorder="1" applyAlignment="1" applyProtection="1">
      <alignment horizontal="center"/>
      <protection locked="0"/>
    </xf>
    <xf numFmtId="0" fontId="13" fillId="3" borderId="29" xfId="3" applyFont="1" applyFill="1" applyBorder="1" applyAlignment="1" applyProtection="1">
      <alignment horizontal="center"/>
      <protection locked="0"/>
    </xf>
    <xf numFmtId="0" fontId="13" fillId="3" borderId="23" xfId="3" applyFont="1" applyFill="1" applyBorder="1" applyAlignment="1" applyProtection="1">
      <alignment horizontal="center"/>
      <protection locked="0"/>
    </xf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4" fillId="3" borderId="0" xfId="0" applyFont="1" applyFill="1" applyAlignment="1" applyProtection="1">
      <alignment horizontal="left" wrapText="1"/>
      <protection locked="0"/>
    </xf>
  </cellXfs>
  <cellStyles count="4">
    <cellStyle name="Normal" xfId="0" builtinId="0"/>
    <cellStyle name="Normal 2" xfId="1"/>
    <cellStyle name="Normal 3" xfId="3"/>
    <cellStyle name="Normal 5" xfId="2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136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>
        <v>14.41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133</v>
      </c>
      <c r="C21" s="10"/>
      <c r="D21" s="10"/>
      <c r="E21" s="10"/>
    </row>
    <row r="22" spans="1:6" ht="15.75" customHeight="1" x14ac:dyDescent="0.25">
      <c r="A22" s="10"/>
      <c r="B22" s="657">
        <v>42502.719236111108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16603367</v>
      </c>
      <c r="C24" s="18">
        <v>7472.1</v>
      </c>
      <c r="D24" s="19">
        <v>1.1000000000000001</v>
      </c>
      <c r="E24" s="20">
        <v>5.5</v>
      </c>
    </row>
    <row r="25" spans="1:6" ht="16.5" customHeight="1" x14ac:dyDescent="0.3">
      <c r="A25" s="17">
        <v>2</v>
      </c>
      <c r="B25" s="18">
        <v>16511627</v>
      </c>
      <c r="C25" s="18">
        <v>7639.5</v>
      </c>
      <c r="D25" s="19">
        <v>1.1000000000000001</v>
      </c>
      <c r="E25" s="19">
        <v>5.4</v>
      </c>
    </row>
    <row r="26" spans="1:6" ht="16.5" customHeight="1" x14ac:dyDescent="0.3">
      <c r="A26" s="17">
        <v>3</v>
      </c>
      <c r="B26" s="18">
        <v>16579929</v>
      </c>
      <c r="C26" s="18">
        <v>7762.7</v>
      </c>
      <c r="D26" s="19">
        <v>1.1000000000000001</v>
      </c>
      <c r="E26" s="19">
        <v>5.4</v>
      </c>
    </row>
    <row r="27" spans="1:6" ht="16.5" customHeight="1" x14ac:dyDescent="0.3">
      <c r="A27" s="17">
        <v>4</v>
      </c>
      <c r="B27" s="18">
        <v>16406951</v>
      </c>
      <c r="C27" s="18">
        <v>7934.7</v>
      </c>
      <c r="D27" s="19">
        <v>1.1200000000000001</v>
      </c>
      <c r="E27" s="19">
        <v>5.5</v>
      </c>
    </row>
    <row r="28" spans="1:6" ht="16.5" customHeight="1" x14ac:dyDescent="0.3">
      <c r="A28" s="17">
        <v>5</v>
      </c>
      <c r="B28" s="18">
        <v>16434340</v>
      </c>
      <c r="C28" s="18">
        <v>8022.1</v>
      </c>
      <c r="D28" s="19">
        <v>1.1000000000000001</v>
      </c>
      <c r="E28" s="19">
        <v>5.5</v>
      </c>
    </row>
    <row r="29" spans="1:6" ht="16.5" customHeight="1" x14ac:dyDescent="0.3">
      <c r="A29" s="17">
        <v>6</v>
      </c>
      <c r="B29" s="21">
        <v>16489293</v>
      </c>
      <c r="C29" s="21">
        <v>7999.2</v>
      </c>
      <c r="D29" s="22">
        <v>1.1000000000000001</v>
      </c>
      <c r="E29" s="22">
        <v>5.5</v>
      </c>
    </row>
    <row r="30" spans="1:6" ht="16.5" customHeight="1" x14ac:dyDescent="0.3">
      <c r="A30" s="23" t="s">
        <v>17</v>
      </c>
      <c r="B30" s="24">
        <f>AVERAGE(B24:B29)</f>
        <v>16504251.166666666</v>
      </c>
      <c r="C30" s="25">
        <f>AVERAGE(C24:C29)</f>
        <v>7805.0499999999993</v>
      </c>
      <c r="D30" s="26">
        <f>AVERAGE(D24:D29)</f>
        <v>1.1033333333333333</v>
      </c>
      <c r="E30" s="26">
        <f>AVERAGE(E24:E29)</f>
        <v>5.4666666666666659</v>
      </c>
    </row>
    <row r="31" spans="1:6" ht="16.5" customHeight="1" x14ac:dyDescent="0.3">
      <c r="A31" s="27" t="s">
        <v>18</v>
      </c>
      <c r="B31" s="28">
        <f>(STDEV(B24:B29)/B30)</f>
        <v>4.7076967276676561E-3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">
        <v>126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101.74</v>
      </c>
      <c r="C40" s="10"/>
      <c r="D40" s="10"/>
      <c r="E40" s="10"/>
    </row>
    <row r="41" spans="1:6" ht="16.5" customHeight="1" x14ac:dyDescent="0.3">
      <c r="A41" s="7" t="s">
        <v>8</v>
      </c>
      <c r="B41" s="12">
        <v>14.41</v>
      </c>
      <c r="C41" s="10"/>
      <c r="D41" s="10"/>
      <c r="E41" s="10"/>
    </row>
    <row r="42" spans="1:6" ht="16.5" customHeight="1" x14ac:dyDescent="0.3">
      <c r="A42" s="7" t="s">
        <v>10</v>
      </c>
      <c r="B42" s="13" t="s">
        <v>132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646">
        <v>79913579</v>
      </c>
      <c r="C45" s="646">
        <v>14025.3</v>
      </c>
      <c r="D45" s="648">
        <v>1.1000000000000001</v>
      </c>
      <c r="E45" s="650">
        <v>5.9</v>
      </c>
    </row>
    <row r="46" spans="1:6" ht="16.5" customHeight="1" x14ac:dyDescent="0.3">
      <c r="A46" s="17">
        <v>2</v>
      </c>
      <c r="B46" s="646">
        <v>79706144</v>
      </c>
      <c r="C46" s="646">
        <v>13984.3</v>
      </c>
      <c r="D46" s="648">
        <v>1.1000000000000001</v>
      </c>
      <c r="E46" s="648">
        <v>5.9</v>
      </c>
    </row>
    <row r="47" spans="1:6" ht="16.5" customHeight="1" x14ac:dyDescent="0.3">
      <c r="A47" s="17">
        <v>3</v>
      </c>
      <c r="B47" s="646">
        <v>79752313</v>
      </c>
      <c r="C47" s="646">
        <v>14119.6</v>
      </c>
      <c r="D47" s="648">
        <v>1.1000000000000001</v>
      </c>
      <c r="E47" s="648">
        <v>5.9</v>
      </c>
    </row>
    <row r="48" spans="1:6" ht="16.5" customHeight="1" x14ac:dyDescent="0.3">
      <c r="A48" s="17">
        <v>4</v>
      </c>
      <c r="B48" s="646">
        <v>80544326</v>
      </c>
      <c r="C48" s="646">
        <v>14185</v>
      </c>
      <c r="D48" s="648">
        <v>1.1000000000000001</v>
      </c>
      <c r="E48" s="648">
        <v>5.9</v>
      </c>
    </row>
    <row r="49" spans="1:7" ht="16.5" customHeight="1" x14ac:dyDescent="0.3">
      <c r="A49" s="17">
        <v>5</v>
      </c>
      <c r="B49" s="646">
        <v>79872559</v>
      </c>
      <c r="C49" s="646">
        <v>14023.3</v>
      </c>
      <c r="D49" s="648">
        <v>1.1000000000000001</v>
      </c>
      <c r="E49" s="648">
        <v>5.9</v>
      </c>
    </row>
    <row r="50" spans="1:7" ht="16.5" customHeight="1" x14ac:dyDescent="0.3">
      <c r="A50" s="17">
        <v>6</v>
      </c>
      <c r="B50" s="647">
        <v>80938458</v>
      </c>
      <c r="C50" s="647">
        <v>14054.4</v>
      </c>
      <c r="D50" s="649">
        <v>1.1000000000000001</v>
      </c>
      <c r="E50" s="649">
        <v>5.9</v>
      </c>
    </row>
    <row r="51" spans="1:7" ht="16.5" customHeight="1" x14ac:dyDescent="0.3">
      <c r="A51" s="23" t="s">
        <v>17</v>
      </c>
      <c r="B51" s="24">
        <f>AVERAGE(B45:B50)</f>
        <v>80121229.833333328</v>
      </c>
      <c r="C51" s="25">
        <f>AVERAGE(C45:C50)</f>
        <v>14065.316666666666</v>
      </c>
      <c r="D51" s="26">
        <f>AVERAGE(D45:D50)</f>
        <v>1.0999999999999999</v>
      </c>
      <c r="E51" s="26">
        <f>AVERAGE(E45:E50)</f>
        <v>5.8999999999999995</v>
      </c>
    </row>
    <row r="52" spans="1:7" ht="16.5" customHeight="1" x14ac:dyDescent="0.3">
      <c r="A52" s="27" t="s">
        <v>18</v>
      </c>
      <c r="B52" s="28">
        <f>(STDEV(B45:B50)/B51)</f>
        <v>6.2660130331766506E-3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59" t="s">
        <v>25</v>
      </c>
      <c r="C59" s="659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0" workbookViewId="0">
      <selection activeCell="A15" sqref="A15:G61"/>
    </sheetView>
  </sheetViews>
  <sheetFormatPr defaultRowHeight="13.5" x14ac:dyDescent="0.25"/>
  <cols>
    <col min="1" max="1" width="27.5703125" style="591" customWidth="1"/>
    <col min="2" max="2" width="20.42578125" style="591" customWidth="1"/>
    <col min="3" max="3" width="31.85546875" style="591" customWidth="1"/>
    <col min="4" max="4" width="25.85546875" style="591" customWidth="1"/>
    <col min="5" max="5" width="25.7109375" style="591" customWidth="1"/>
    <col min="6" max="6" width="23.140625" style="591" customWidth="1"/>
    <col min="7" max="7" width="28.42578125" style="591" customWidth="1"/>
    <col min="8" max="8" width="21.5703125" style="591" customWidth="1"/>
    <col min="9" max="9" width="9.140625" style="59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/>
      <c r="D17" s="9"/>
      <c r="E17" s="72"/>
    </row>
    <row r="18" spans="1:5" ht="16.5" customHeight="1" x14ac:dyDescent="0.3">
      <c r="A18" s="75" t="s">
        <v>4</v>
      </c>
      <c r="B18" s="8" t="s">
        <v>135</v>
      </c>
      <c r="C18" s="72"/>
      <c r="D18" s="72"/>
      <c r="E18" s="72"/>
    </row>
    <row r="19" spans="1:5" ht="16.5" customHeight="1" x14ac:dyDescent="0.3">
      <c r="A19" s="75" t="s">
        <v>6</v>
      </c>
      <c r="B19" s="12" t="s">
        <v>7</v>
      </c>
      <c r="C19" s="72"/>
      <c r="D19" s="72"/>
      <c r="E19" s="72"/>
    </row>
    <row r="20" spans="1:5" ht="16.5" customHeight="1" x14ac:dyDescent="0.3">
      <c r="A20" s="8" t="s">
        <v>8</v>
      </c>
      <c r="B20" s="12">
        <v>14.87</v>
      </c>
      <c r="C20" s="72"/>
      <c r="D20" s="72"/>
      <c r="E20" s="72"/>
    </row>
    <row r="21" spans="1:5" ht="16.5" customHeight="1" x14ac:dyDescent="0.3">
      <c r="A21" s="8" t="s">
        <v>10</v>
      </c>
      <c r="B21" s="13" t="s">
        <v>138</v>
      </c>
      <c r="C21" s="72"/>
      <c r="D21" s="72"/>
      <c r="E21" s="72"/>
    </row>
    <row r="22" spans="1:5" ht="15.75" customHeight="1" x14ac:dyDescent="0.25">
      <c r="A22" s="72"/>
      <c r="B22" s="657">
        <v>42502.719236111108</v>
      </c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12442152</v>
      </c>
      <c r="C24" s="18">
        <v>90736.6</v>
      </c>
      <c r="D24" s="19">
        <v>1.1000000000000001</v>
      </c>
      <c r="E24" s="20">
        <v>15.2</v>
      </c>
    </row>
    <row r="25" spans="1:5" ht="16.5" customHeight="1" x14ac:dyDescent="0.3">
      <c r="A25" s="17">
        <v>2</v>
      </c>
      <c r="B25" s="18">
        <v>12379815</v>
      </c>
      <c r="C25" s="18">
        <v>93373.4</v>
      </c>
      <c r="D25" s="19">
        <v>1.1000000000000001</v>
      </c>
      <c r="E25" s="19">
        <v>15.2</v>
      </c>
    </row>
    <row r="26" spans="1:5" ht="16.5" customHeight="1" x14ac:dyDescent="0.3">
      <c r="A26" s="17">
        <v>3</v>
      </c>
      <c r="B26" s="18">
        <v>12451258</v>
      </c>
      <c r="C26" s="18">
        <v>97018.8</v>
      </c>
      <c r="D26" s="19">
        <v>1.1000000000000001</v>
      </c>
      <c r="E26" s="19">
        <v>15.2</v>
      </c>
    </row>
    <row r="27" spans="1:5" ht="16.5" customHeight="1" x14ac:dyDescent="0.3">
      <c r="A27" s="17">
        <v>4</v>
      </c>
      <c r="B27" s="18">
        <v>12295118</v>
      </c>
      <c r="C27" s="18">
        <v>100841.1</v>
      </c>
      <c r="D27" s="19">
        <v>1.1200000000000001</v>
      </c>
      <c r="E27" s="19">
        <v>15.2</v>
      </c>
    </row>
    <row r="28" spans="1:5" ht="16.5" customHeight="1" x14ac:dyDescent="0.3">
      <c r="A28" s="17">
        <v>5</v>
      </c>
      <c r="B28" s="18">
        <v>12315855</v>
      </c>
      <c r="C28" s="18">
        <v>101787.4</v>
      </c>
      <c r="D28" s="19">
        <v>1.1000000000000001</v>
      </c>
      <c r="E28" s="19">
        <v>15.2</v>
      </c>
    </row>
    <row r="29" spans="1:5" ht="16.5" customHeight="1" x14ac:dyDescent="0.3">
      <c r="A29" s="17">
        <v>6</v>
      </c>
      <c r="B29" s="21">
        <v>12345851</v>
      </c>
      <c r="C29" s="21">
        <v>100245</v>
      </c>
      <c r="D29" s="22">
        <v>1.1000000000000001</v>
      </c>
      <c r="E29" s="22">
        <v>15.2</v>
      </c>
    </row>
    <row r="30" spans="1:5" ht="16.5" customHeight="1" x14ac:dyDescent="0.3">
      <c r="A30" s="23" t="s">
        <v>17</v>
      </c>
      <c r="B30" s="24">
        <f>AVERAGE(B24:B29)</f>
        <v>12371674.833333334</v>
      </c>
      <c r="C30" s="25">
        <f>AVERAGE(C24:C29)</f>
        <v>97333.716666666674</v>
      </c>
      <c r="D30" s="26">
        <f>AVERAGE(D24:D29)</f>
        <v>1.1033333333333333</v>
      </c>
      <c r="E30" s="26">
        <f>AVERAGE(E24:E29)</f>
        <v>15.200000000000001</v>
      </c>
    </row>
    <row r="31" spans="1:5" ht="16.5" customHeight="1" x14ac:dyDescent="0.3">
      <c r="A31" s="27" t="s">
        <v>18</v>
      </c>
      <c r="B31" s="28">
        <f>(STDEV(B24:B29)/B30)</f>
        <v>5.2396725078055675E-3</v>
      </c>
      <c r="C31" s="29"/>
      <c r="D31" s="29"/>
      <c r="E31" s="30"/>
    </row>
    <row r="32" spans="1:5" s="591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591" customFormat="1" ht="15.75" customHeight="1" x14ac:dyDescent="0.25">
      <c r="A33" s="72"/>
      <c r="B33" s="72"/>
      <c r="C33" s="72"/>
      <c r="D33" s="72"/>
      <c r="E33" s="72"/>
    </row>
    <row r="34" spans="1:5" s="591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8" t="s">
        <v>134</v>
      </c>
      <c r="C39" s="72"/>
      <c r="D39" s="72"/>
      <c r="E39" s="72"/>
    </row>
    <row r="40" spans="1:5" ht="16.5" customHeight="1" x14ac:dyDescent="0.3">
      <c r="A40" s="75" t="s">
        <v>6</v>
      </c>
      <c r="B40" s="12">
        <v>98.8</v>
      </c>
      <c r="C40" s="72"/>
      <c r="D40" s="72"/>
      <c r="E40" s="72"/>
    </row>
    <row r="41" spans="1:5" ht="16.5" customHeight="1" x14ac:dyDescent="0.3">
      <c r="A41" s="8" t="s">
        <v>8</v>
      </c>
      <c r="B41" s="12">
        <v>14.87</v>
      </c>
      <c r="C41" s="72"/>
      <c r="D41" s="72"/>
      <c r="E41" s="72"/>
    </row>
    <row r="42" spans="1:5" ht="16.5" customHeight="1" x14ac:dyDescent="0.3">
      <c r="A42" s="8" t="s">
        <v>10</v>
      </c>
      <c r="B42" s="13" t="s">
        <v>132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646">
        <v>60229549</v>
      </c>
      <c r="C45" s="646">
        <v>151627.20000000001</v>
      </c>
      <c r="D45" s="648">
        <v>1.1000000000000001</v>
      </c>
      <c r="E45" s="650">
        <v>15.4</v>
      </c>
    </row>
    <row r="46" spans="1:5" ht="16.5" customHeight="1" x14ac:dyDescent="0.3">
      <c r="A46" s="17">
        <v>2</v>
      </c>
      <c r="B46" s="646">
        <v>59735916</v>
      </c>
      <c r="C46" s="646">
        <v>152564.6</v>
      </c>
      <c r="D46" s="648">
        <v>1.1000000000000001</v>
      </c>
      <c r="E46" s="648">
        <v>15.4</v>
      </c>
    </row>
    <row r="47" spans="1:5" ht="16.5" customHeight="1" x14ac:dyDescent="0.3">
      <c r="A47" s="17">
        <v>3</v>
      </c>
      <c r="B47" s="646">
        <v>59683412</v>
      </c>
      <c r="C47" s="646">
        <v>151971.29999999999</v>
      </c>
      <c r="D47" s="648">
        <v>1.2</v>
      </c>
      <c r="E47" s="648">
        <v>15.4</v>
      </c>
    </row>
    <row r="48" spans="1:5" ht="16.5" customHeight="1" x14ac:dyDescent="0.3">
      <c r="A48" s="17">
        <v>4</v>
      </c>
      <c r="B48" s="646">
        <v>60364519</v>
      </c>
      <c r="C48" s="646">
        <v>152966.79999999999</v>
      </c>
      <c r="D48" s="648">
        <v>1.1000000000000001</v>
      </c>
      <c r="E48" s="648">
        <v>15.4</v>
      </c>
    </row>
    <row r="49" spans="1:7" ht="16.5" customHeight="1" x14ac:dyDescent="0.3">
      <c r="A49" s="17">
        <v>5</v>
      </c>
      <c r="B49" s="646">
        <v>59843734</v>
      </c>
      <c r="C49" s="646">
        <v>152882.29999999999</v>
      </c>
      <c r="D49" s="648">
        <v>1.1000000000000001</v>
      </c>
      <c r="E49" s="648">
        <v>15.4</v>
      </c>
    </row>
    <row r="50" spans="1:7" ht="16.5" customHeight="1" x14ac:dyDescent="0.3">
      <c r="A50" s="17">
        <v>6</v>
      </c>
      <c r="B50" s="647">
        <v>60643377</v>
      </c>
      <c r="C50" s="647">
        <v>152018.4</v>
      </c>
      <c r="D50" s="649">
        <v>1.2</v>
      </c>
      <c r="E50" s="649">
        <v>15.4</v>
      </c>
    </row>
    <row r="51" spans="1:7" ht="16.5" customHeight="1" x14ac:dyDescent="0.3">
      <c r="A51" s="23" t="s">
        <v>17</v>
      </c>
      <c r="B51" s="24">
        <f>AVERAGE(B45:B50)</f>
        <v>60083417.833333336</v>
      </c>
      <c r="C51" s="25">
        <f>AVERAGE(C45:C50)</f>
        <v>152338.43333333332</v>
      </c>
      <c r="D51" s="26">
        <f>AVERAGE(D45:D50)</f>
        <v>1.1333333333333333</v>
      </c>
      <c r="E51" s="26">
        <f>AVERAGE(E45:E50)</f>
        <v>15.4</v>
      </c>
    </row>
    <row r="52" spans="1:7" ht="16.5" customHeight="1" x14ac:dyDescent="0.3">
      <c r="A52" s="27" t="s">
        <v>18</v>
      </c>
      <c r="B52" s="28">
        <f>(STDEV(B45:B50)/B51)</f>
        <v>6.4551871839107367E-3</v>
      </c>
      <c r="C52" s="29"/>
      <c r="D52" s="29"/>
      <c r="E52" s="30"/>
    </row>
    <row r="53" spans="1:7" s="591" customFormat="1" ht="16.5" customHeight="1" x14ac:dyDescent="0.3">
      <c r="A53" s="31" t="s">
        <v>19</v>
      </c>
      <c r="B53" s="32">
        <f>COUNT(B45:B50)</f>
        <v>6</v>
      </c>
      <c r="C53" s="33"/>
      <c r="D53" s="73"/>
      <c r="E53" s="35"/>
    </row>
    <row r="54" spans="1:7" s="591" customFormat="1" ht="15.75" customHeight="1" x14ac:dyDescent="0.25">
      <c r="A54" s="72"/>
      <c r="B54" s="72"/>
      <c r="C54" s="72"/>
      <c r="D54" s="72"/>
      <c r="E54" s="72"/>
    </row>
    <row r="55" spans="1:7" s="591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514"/>
      <c r="D58" s="43"/>
      <c r="F58" s="44"/>
      <c r="G58" s="44"/>
    </row>
    <row r="59" spans="1:7" ht="15" customHeight="1" x14ac:dyDescent="0.3">
      <c r="B59" s="659" t="s">
        <v>25</v>
      </c>
      <c r="C59" s="659"/>
      <c r="E59" s="645" t="s">
        <v>26</v>
      </c>
      <c r="F59" s="46"/>
      <c r="G59" s="645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591" customWidth="1"/>
    <col min="2" max="2" width="20.42578125" style="591" customWidth="1"/>
    <col min="3" max="3" width="31.85546875" style="591" customWidth="1"/>
    <col min="4" max="4" width="25.85546875" style="591" customWidth="1"/>
    <col min="5" max="5" width="25.7109375" style="591" customWidth="1"/>
    <col min="6" max="6" width="23.140625" style="591" customWidth="1"/>
    <col min="7" max="7" width="28.42578125" style="591" customWidth="1"/>
    <col min="8" max="8" width="21.5703125" style="591" customWidth="1"/>
    <col min="9" max="9" width="9.140625" style="59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/>
      <c r="D17" s="9"/>
      <c r="E17" s="72"/>
    </row>
    <row r="18" spans="1:5" ht="16.5" customHeight="1" x14ac:dyDescent="0.3">
      <c r="A18" s="75" t="s">
        <v>4</v>
      </c>
      <c r="B18" s="8" t="s">
        <v>137</v>
      </c>
      <c r="C18" s="72"/>
      <c r="D18" s="72"/>
      <c r="E18" s="72"/>
    </row>
    <row r="19" spans="1:5" ht="16.5" customHeight="1" x14ac:dyDescent="0.3">
      <c r="A19" s="75" t="s">
        <v>6</v>
      </c>
      <c r="B19" s="12" t="s">
        <v>7</v>
      </c>
      <c r="C19" s="72"/>
      <c r="D19" s="72"/>
      <c r="E19" s="72"/>
    </row>
    <row r="20" spans="1:5" ht="16.5" customHeight="1" x14ac:dyDescent="0.3">
      <c r="A20" s="8" t="s">
        <v>8</v>
      </c>
      <c r="B20" s="12">
        <v>29.47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0.12</v>
      </c>
      <c r="C21" s="72"/>
      <c r="D21" s="72"/>
      <c r="E21" s="72"/>
    </row>
    <row r="22" spans="1:5" ht="15.75" customHeight="1" x14ac:dyDescent="0.25">
      <c r="A22" s="72"/>
      <c r="B22" s="657">
        <v>42502.719236111108</v>
      </c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45193175</v>
      </c>
      <c r="C24" s="18">
        <v>85752.1</v>
      </c>
      <c r="D24" s="19">
        <v>1.1000000000000001</v>
      </c>
      <c r="E24" s="20">
        <v>21.9</v>
      </c>
    </row>
    <row r="25" spans="1:5" ht="16.5" customHeight="1" x14ac:dyDescent="0.3">
      <c r="A25" s="17">
        <v>2</v>
      </c>
      <c r="B25" s="18">
        <v>44983986</v>
      </c>
      <c r="C25" s="18">
        <v>87590.5</v>
      </c>
      <c r="D25" s="19">
        <v>1.1000000000000001</v>
      </c>
      <c r="E25" s="19">
        <v>21.9</v>
      </c>
    </row>
    <row r="26" spans="1:5" ht="16.5" customHeight="1" x14ac:dyDescent="0.3">
      <c r="A26" s="17">
        <v>3</v>
      </c>
      <c r="B26" s="18">
        <v>45268817</v>
      </c>
      <c r="C26" s="18">
        <v>91624.6</v>
      </c>
      <c r="D26" s="19">
        <v>1.1000000000000001</v>
      </c>
      <c r="E26" s="19">
        <v>21.9</v>
      </c>
    </row>
    <row r="27" spans="1:5" ht="16.5" customHeight="1" x14ac:dyDescent="0.3">
      <c r="A27" s="17">
        <v>4</v>
      </c>
      <c r="B27" s="18">
        <v>44802737</v>
      </c>
      <c r="C27" s="18">
        <v>93608.6</v>
      </c>
      <c r="D27" s="19">
        <v>1.1200000000000001</v>
      </c>
      <c r="E27" s="19">
        <v>22</v>
      </c>
    </row>
    <row r="28" spans="1:5" ht="16.5" customHeight="1" x14ac:dyDescent="0.3">
      <c r="A28" s="17">
        <v>5</v>
      </c>
      <c r="B28" s="18">
        <v>44804982</v>
      </c>
      <c r="C28" s="18">
        <v>95694.2</v>
      </c>
      <c r="D28" s="19">
        <v>1.1000000000000001</v>
      </c>
      <c r="E28" s="19">
        <v>21.9</v>
      </c>
    </row>
    <row r="29" spans="1:5" ht="16.5" customHeight="1" x14ac:dyDescent="0.3">
      <c r="A29" s="17">
        <v>6</v>
      </c>
      <c r="B29" s="21">
        <v>44923996</v>
      </c>
      <c r="C29" s="21">
        <v>94088.8</v>
      </c>
      <c r="D29" s="22">
        <v>1.1000000000000001</v>
      </c>
      <c r="E29" s="22">
        <v>21.9</v>
      </c>
    </row>
    <row r="30" spans="1:5" ht="16.5" customHeight="1" x14ac:dyDescent="0.3">
      <c r="A30" s="23" t="s">
        <v>17</v>
      </c>
      <c r="B30" s="24">
        <f>AVERAGE(B24:B29)</f>
        <v>44996282.166666664</v>
      </c>
      <c r="C30" s="25">
        <f>AVERAGE(C24:C29)</f>
        <v>91393.133333333346</v>
      </c>
      <c r="D30" s="26">
        <f>AVERAGE(D24:D29)</f>
        <v>1.1033333333333333</v>
      </c>
      <c r="E30" s="26">
        <f>AVERAGE(E24:E29)</f>
        <v>21.916666666666668</v>
      </c>
    </row>
    <row r="31" spans="1:5" ht="16.5" customHeight="1" x14ac:dyDescent="0.3">
      <c r="A31" s="27" t="s">
        <v>18</v>
      </c>
      <c r="B31" s="28">
        <f>(STDEV(B24:B29)/B30)</f>
        <v>4.3603805687927209E-3</v>
      </c>
      <c r="C31" s="29"/>
      <c r="D31" s="29"/>
      <c r="E31" s="30"/>
    </row>
    <row r="32" spans="1:5" s="591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591" customFormat="1" ht="15.75" customHeight="1" x14ac:dyDescent="0.25">
      <c r="A33" s="72"/>
      <c r="B33" s="72"/>
      <c r="C33" s="72"/>
      <c r="D33" s="72"/>
      <c r="E33" s="72"/>
    </row>
    <row r="34" spans="1:5" s="591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8" t="s">
        <v>130</v>
      </c>
      <c r="C39" s="72"/>
      <c r="D39" s="72"/>
      <c r="E39" s="72"/>
    </row>
    <row r="40" spans="1:5" ht="16.5" customHeight="1" x14ac:dyDescent="0.3">
      <c r="A40" s="75" t="s">
        <v>6</v>
      </c>
      <c r="B40" s="12">
        <v>98.8</v>
      </c>
      <c r="C40" s="72"/>
      <c r="D40" s="72"/>
      <c r="E40" s="72"/>
    </row>
    <row r="41" spans="1:5" ht="16.5" customHeight="1" x14ac:dyDescent="0.3">
      <c r="A41" s="8" t="s">
        <v>8</v>
      </c>
      <c r="B41" s="12">
        <v>29.47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0.12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646">
        <v>192843237</v>
      </c>
      <c r="C45" s="646">
        <v>138077.5</v>
      </c>
      <c r="D45" s="648">
        <v>1.1000000000000001</v>
      </c>
      <c r="E45" s="650">
        <v>21.5</v>
      </c>
    </row>
    <row r="46" spans="1:5" ht="16.5" customHeight="1" x14ac:dyDescent="0.3">
      <c r="A46" s="17">
        <v>2</v>
      </c>
      <c r="B46" s="646">
        <v>193155761</v>
      </c>
      <c r="C46" s="646">
        <v>137894.29999999999</v>
      </c>
      <c r="D46" s="648">
        <v>1.1000000000000001</v>
      </c>
      <c r="E46" s="648">
        <v>21.5</v>
      </c>
    </row>
    <row r="47" spans="1:5" ht="16.5" customHeight="1" x14ac:dyDescent="0.3">
      <c r="A47" s="17">
        <v>3</v>
      </c>
      <c r="B47" s="646">
        <v>192979529</v>
      </c>
      <c r="C47" s="646">
        <v>138949.79999999999</v>
      </c>
      <c r="D47" s="648">
        <v>1.1000000000000001</v>
      </c>
      <c r="E47" s="648">
        <v>21.5</v>
      </c>
    </row>
    <row r="48" spans="1:5" ht="16.5" customHeight="1" x14ac:dyDescent="0.3">
      <c r="A48" s="17">
        <v>4</v>
      </c>
      <c r="B48" s="646">
        <v>195040305</v>
      </c>
      <c r="C48" s="646">
        <v>138603.4</v>
      </c>
      <c r="D48" s="648">
        <v>1.1000000000000001</v>
      </c>
      <c r="E48" s="648">
        <v>21.5</v>
      </c>
    </row>
    <row r="49" spans="1:7" ht="16.5" customHeight="1" x14ac:dyDescent="0.3">
      <c r="A49" s="17">
        <v>5</v>
      </c>
      <c r="B49" s="646">
        <v>193410962</v>
      </c>
      <c r="C49" s="646">
        <v>139101.70000000001</v>
      </c>
      <c r="D49" s="648">
        <v>1.1000000000000001</v>
      </c>
      <c r="E49" s="648">
        <v>21.5</v>
      </c>
    </row>
    <row r="50" spans="1:7" ht="16.5" customHeight="1" x14ac:dyDescent="0.3">
      <c r="A50" s="17">
        <v>6</v>
      </c>
      <c r="B50" s="647">
        <v>195734157</v>
      </c>
      <c r="C50" s="647">
        <v>138793.79999999999</v>
      </c>
      <c r="D50" s="649">
        <v>1.2</v>
      </c>
      <c r="E50" s="649">
        <v>21.5</v>
      </c>
    </row>
    <row r="51" spans="1:7" ht="16.5" customHeight="1" x14ac:dyDescent="0.3">
      <c r="A51" s="23" t="s">
        <v>17</v>
      </c>
      <c r="B51" s="24">
        <f>AVERAGE(B45:B50)</f>
        <v>193860658.5</v>
      </c>
      <c r="C51" s="25">
        <f>AVERAGE(C45:C50)</f>
        <v>138570.08333333334</v>
      </c>
      <c r="D51" s="26">
        <f>AVERAGE(D45:D50)</f>
        <v>1.1166666666666667</v>
      </c>
      <c r="E51" s="26">
        <f>AVERAGE(E45:E50)</f>
        <v>21.5</v>
      </c>
    </row>
    <row r="52" spans="1:7" ht="16.5" customHeight="1" x14ac:dyDescent="0.3">
      <c r="A52" s="27" t="s">
        <v>18</v>
      </c>
      <c r="B52" s="28">
        <f>(STDEV(B45:B50)/B51)</f>
        <v>6.2805697578308724E-3</v>
      </c>
      <c r="C52" s="29"/>
      <c r="D52" s="29"/>
      <c r="E52" s="30"/>
    </row>
    <row r="53" spans="1:7" s="591" customFormat="1" ht="16.5" customHeight="1" x14ac:dyDescent="0.3">
      <c r="A53" s="31" t="s">
        <v>19</v>
      </c>
      <c r="B53" s="32">
        <f>COUNT(B45:B50)</f>
        <v>6</v>
      </c>
      <c r="C53" s="33"/>
      <c r="D53" s="73"/>
      <c r="E53" s="35"/>
    </row>
    <row r="54" spans="1:7" s="591" customFormat="1" ht="15.75" customHeight="1" x14ac:dyDescent="0.25">
      <c r="A54" s="72"/>
      <c r="B54" s="72"/>
      <c r="C54" s="72"/>
      <c r="D54" s="72"/>
      <c r="E54" s="72"/>
    </row>
    <row r="55" spans="1:7" s="591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514"/>
      <c r="D58" s="43"/>
      <c r="F58" s="44"/>
      <c r="G58" s="44"/>
    </row>
    <row r="59" spans="1:7" ht="15" customHeight="1" x14ac:dyDescent="0.3">
      <c r="B59" s="659" t="s">
        <v>25</v>
      </c>
      <c r="C59" s="659"/>
      <c r="E59" s="645" t="s">
        <v>26</v>
      </c>
      <c r="F59" s="46"/>
      <c r="G59" s="645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C19" sqref="C1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3" t="s">
        <v>30</v>
      </c>
      <c r="B11" s="664"/>
      <c r="C11" s="664"/>
      <c r="D11" s="664"/>
      <c r="E11" s="664"/>
      <c r="F11" s="665"/>
      <c r="G11" s="91"/>
    </row>
    <row r="12" spans="1:7" ht="16.5" customHeight="1" x14ac:dyDescent="0.3">
      <c r="A12" s="662" t="s">
        <v>31</v>
      </c>
      <c r="B12" s="662"/>
      <c r="C12" s="662"/>
      <c r="D12" s="662"/>
      <c r="E12" s="662"/>
      <c r="F12" s="662"/>
      <c r="G12" s="90"/>
    </row>
    <row r="14" spans="1:7" ht="16.5" customHeight="1" x14ac:dyDescent="0.3">
      <c r="A14" s="667" t="s">
        <v>32</v>
      </c>
      <c r="B14" s="667"/>
      <c r="C14" s="60" t="s">
        <v>5</v>
      </c>
    </row>
    <row r="15" spans="1:7" ht="16.5" customHeight="1" x14ac:dyDescent="0.3">
      <c r="A15" s="667" t="s">
        <v>33</v>
      </c>
      <c r="B15" s="667"/>
      <c r="C15" s="60" t="s">
        <v>7</v>
      </c>
    </row>
    <row r="16" spans="1:7" ht="16.5" customHeight="1" x14ac:dyDescent="0.3">
      <c r="A16" s="667" t="s">
        <v>34</v>
      </c>
      <c r="B16" s="667"/>
      <c r="C16" s="60" t="s">
        <v>9</v>
      </c>
    </row>
    <row r="17" spans="1:5" ht="16.5" customHeight="1" x14ac:dyDescent="0.3">
      <c r="A17" s="667" t="s">
        <v>35</v>
      </c>
      <c r="B17" s="667"/>
      <c r="C17" s="60"/>
    </row>
    <row r="18" spans="1:5" ht="16.5" customHeight="1" x14ac:dyDescent="0.3">
      <c r="A18" s="667" t="s">
        <v>36</v>
      </c>
      <c r="B18" s="667"/>
      <c r="C18" s="97" t="s">
        <v>11</v>
      </c>
    </row>
    <row r="19" spans="1:5" ht="16.5" customHeight="1" x14ac:dyDescent="0.3">
      <c r="A19" s="667" t="s">
        <v>37</v>
      </c>
      <c r="B19" s="667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62" t="s">
        <v>1</v>
      </c>
      <c r="B21" s="662"/>
      <c r="C21" s="59" t="s">
        <v>38</v>
      </c>
      <c r="D21" s="66"/>
    </row>
    <row r="22" spans="1:5" ht="15.75" customHeight="1" x14ac:dyDescent="0.3">
      <c r="A22" s="666"/>
      <c r="B22" s="666"/>
      <c r="C22" s="57"/>
      <c r="D22" s="666"/>
      <c r="E22" s="666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1905.99</v>
      </c>
      <c r="D24" s="87">
        <f t="shared" ref="D24:D43" si="0">(C24-$C$46)/$C$46</f>
        <v>-8.4032600245443625E-4</v>
      </c>
      <c r="E24" s="53"/>
    </row>
    <row r="25" spans="1:5" ht="15.75" customHeight="1" x14ac:dyDescent="0.3">
      <c r="C25" s="95">
        <v>1855.25</v>
      </c>
      <c r="D25" s="88">
        <f t="shared" si="0"/>
        <v>-2.7439291295365455E-2</v>
      </c>
      <c r="E25" s="53"/>
    </row>
    <row r="26" spans="1:5" ht="15.75" customHeight="1" x14ac:dyDescent="0.3">
      <c r="C26" s="95">
        <v>1909.66</v>
      </c>
      <c r="D26" s="88">
        <f t="shared" si="0"/>
        <v>1.0835644710375889E-3</v>
      </c>
      <c r="E26" s="53"/>
    </row>
    <row r="27" spans="1:5" ht="15.75" customHeight="1" x14ac:dyDescent="0.3">
      <c r="C27" s="95">
        <v>1935.11</v>
      </c>
      <c r="D27" s="88">
        <f t="shared" si="0"/>
        <v>1.44249847844901E-2</v>
      </c>
      <c r="E27" s="53"/>
    </row>
    <row r="28" spans="1:5" ht="15.75" customHeight="1" x14ac:dyDescent="0.3">
      <c r="C28" s="95">
        <v>1950.17</v>
      </c>
      <c r="D28" s="88">
        <f t="shared" si="0"/>
        <v>2.2319750596694367E-2</v>
      </c>
      <c r="E28" s="53"/>
    </row>
    <row r="29" spans="1:5" ht="15.75" customHeight="1" x14ac:dyDescent="0.3">
      <c r="C29" s="95">
        <v>1905.25</v>
      </c>
      <c r="D29" s="88">
        <f t="shared" si="0"/>
        <v>-1.228249422177621E-3</v>
      </c>
      <c r="E29" s="53"/>
    </row>
    <row r="30" spans="1:5" ht="15.75" customHeight="1" x14ac:dyDescent="0.3">
      <c r="C30" s="95">
        <v>1869.76</v>
      </c>
      <c r="D30" s="88">
        <f t="shared" si="0"/>
        <v>-1.9832846943766351E-2</v>
      </c>
      <c r="E30" s="53"/>
    </row>
    <row r="31" spans="1:5" ht="15.75" customHeight="1" x14ac:dyDescent="0.3">
      <c r="C31" s="95">
        <v>1888.36</v>
      </c>
      <c r="D31" s="88">
        <f t="shared" si="0"/>
        <v>-1.0082339366940524E-2</v>
      </c>
      <c r="E31" s="53"/>
    </row>
    <row r="32" spans="1:5" ht="15.75" customHeight="1" x14ac:dyDescent="0.3">
      <c r="C32" s="95">
        <v>1928.17</v>
      </c>
      <c r="D32" s="88">
        <f t="shared" si="0"/>
        <v>1.078689217249172E-2</v>
      </c>
      <c r="E32" s="53"/>
    </row>
    <row r="33" spans="1:7" ht="15.75" customHeight="1" x14ac:dyDescent="0.3">
      <c r="C33" s="95">
        <v>1917.09</v>
      </c>
      <c r="D33" s="88">
        <f t="shared" si="0"/>
        <v>4.9785252933932152E-3</v>
      </c>
      <c r="E33" s="53"/>
    </row>
    <row r="34" spans="1:7" ht="15.75" customHeight="1" x14ac:dyDescent="0.3">
      <c r="C34" s="95">
        <v>1916.84</v>
      </c>
      <c r="D34" s="88">
        <f t="shared" si="0"/>
        <v>4.847470084027276E-3</v>
      </c>
      <c r="E34" s="53"/>
    </row>
    <row r="35" spans="1:7" ht="15.75" customHeight="1" x14ac:dyDescent="0.3">
      <c r="C35" s="95">
        <v>1907.48</v>
      </c>
      <c r="D35" s="88">
        <f t="shared" si="0"/>
        <v>-5.9236954633434063E-5</v>
      </c>
      <c r="E35" s="53"/>
    </row>
    <row r="36" spans="1:7" ht="15.75" customHeight="1" x14ac:dyDescent="0.3">
      <c r="C36" s="95">
        <v>1896.01</v>
      </c>
      <c r="D36" s="88">
        <f t="shared" si="0"/>
        <v>-6.0720499603427371E-3</v>
      </c>
      <c r="E36" s="53"/>
    </row>
    <row r="37" spans="1:7" ht="15.75" customHeight="1" x14ac:dyDescent="0.3">
      <c r="C37" s="95">
        <v>1939.77</v>
      </c>
      <c r="D37" s="88">
        <f t="shared" si="0"/>
        <v>1.6867853887071248E-2</v>
      </c>
      <c r="E37" s="53"/>
    </row>
    <row r="38" spans="1:7" ht="15.75" customHeight="1" x14ac:dyDescent="0.3">
      <c r="C38" s="95">
        <v>1890.16</v>
      </c>
      <c r="D38" s="88">
        <f t="shared" si="0"/>
        <v>-9.1387418595056669E-3</v>
      </c>
      <c r="E38" s="53"/>
    </row>
    <row r="39" spans="1:7" ht="15.75" customHeight="1" x14ac:dyDescent="0.3">
      <c r="C39" s="95">
        <v>1922.38</v>
      </c>
      <c r="D39" s="88">
        <f t="shared" si="0"/>
        <v>7.7516535235765882E-3</v>
      </c>
      <c r="E39" s="53"/>
    </row>
    <row r="40" spans="1:7" ht="15.75" customHeight="1" x14ac:dyDescent="0.3">
      <c r="C40" s="95">
        <v>1910.57</v>
      </c>
      <c r="D40" s="88">
        <f t="shared" si="0"/>
        <v>1.560605433129531E-3</v>
      </c>
      <c r="E40" s="53"/>
    </row>
    <row r="41" spans="1:7" ht="15.75" customHeight="1" x14ac:dyDescent="0.3">
      <c r="C41" s="95">
        <v>1897.48</v>
      </c>
      <c r="D41" s="88">
        <f t="shared" si="0"/>
        <v>-5.3014453292710003E-3</v>
      </c>
      <c r="E41" s="53"/>
    </row>
    <row r="42" spans="1:7" ht="15.75" customHeight="1" x14ac:dyDescent="0.3">
      <c r="C42" s="95">
        <v>1901.49</v>
      </c>
      <c r="D42" s="88">
        <f t="shared" si="0"/>
        <v>-3.1993197710413414E-3</v>
      </c>
      <c r="E42" s="53"/>
    </row>
    <row r="43" spans="1:7" ht="16.5" customHeight="1" x14ac:dyDescent="0.3">
      <c r="C43" s="96">
        <v>1904.87</v>
      </c>
      <c r="D43" s="89">
        <f t="shared" si="0"/>
        <v>-1.4274533404139058E-3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38151.86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1907.5930000000001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660">
        <f>C46</f>
        <v>1907.5930000000001</v>
      </c>
      <c r="C49" s="93">
        <f>-IF(C46&lt;=80,10%,IF(C46&lt;250,7.5%,5%))</f>
        <v>-0.05</v>
      </c>
      <c r="D49" s="81">
        <f>IF(C46&lt;=80,C46*0.9,IF(C46&lt;250,C46*0.925,C46*0.95))</f>
        <v>1812.21335</v>
      </c>
    </row>
    <row r="50" spans="1:6" ht="17.25" customHeight="1" x14ac:dyDescent="0.3">
      <c r="B50" s="661"/>
      <c r="C50" s="94">
        <f>IF(C46&lt;=80, 10%, IF(C46&lt;250, 7.5%, 5%))</f>
        <v>0.05</v>
      </c>
      <c r="D50" s="81">
        <f>IF(C46&lt;=80, C46*1.1, IF(C46&lt;250, C46*1.075, C46*1.05))</f>
        <v>2002.9726500000002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6" t="s">
        <v>44</v>
      </c>
      <c r="B1" s="696"/>
      <c r="C1" s="696"/>
      <c r="D1" s="696"/>
      <c r="E1" s="696"/>
      <c r="F1" s="696"/>
      <c r="G1" s="696"/>
      <c r="H1" s="696"/>
      <c r="I1" s="696"/>
    </row>
    <row r="2" spans="1:9" ht="18.75" customHeight="1" x14ac:dyDescent="0.25">
      <c r="A2" s="696"/>
      <c r="B2" s="696"/>
      <c r="C2" s="696"/>
      <c r="D2" s="696"/>
      <c r="E2" s="696"/>
      <c r="F2" s="696"/>
      <c r="G2" s="696"/>
      <c r="H2" s="696"/>
      <c r="I2" s="696"/>
    </row>
    <row r="3" spans="1:9" ht="18.75" customHeight="1" x14ac:dyDescent="0.25">
      <c r="A3" s="696"/>
      <c r="B3" s="696"/>
      <c r="C3" s="696"/>
      <c r="D3" s="696"/>
      <c r="E3" s="696"/>
      <c r="F3" s="696"/>
      <c r="G3" s="696"/>
      <c r="H3" s="696"/>
      <c r="I3" s="696"/>
    </row>
    <row r="4" spans="1:9" ht="18.75" customHeight="1" x14ac:dyDescent="0.25">
      <c r="A4" s="696"/>
      <c r="B4" s="696"/>
      <c r="C4" s="696"/>
      <c r="D4" s="696"/>
      <c r="E4" s="696"/>
      <c r="F4" s="696"/>
      <c r="G4" s="696"/>
      <c r="H4" s="696"/>
      <c r="I4" s="696"/>
    </row>
    <row r="5" spans="1:9" ht="18.75" customHeight="1" x14ac:dyDescent="0.25">
      <c r="A5" s="696"/>
      <c r="B5" s="696"/>
      <c r="C5" s="696"/>
      <c r="D5" s="696"/>
      <c r="E5" s="696"/>
      <c r="F5" s="696"/>
      <c r="G5" s="696"/>
      <c r="H5" s="696"/>
      <c r="I5" s="696"/>
    </row>
    <row r="6" spans="1:9" ht="18.75" customHeight="1" x14ac:dyDescent="0.25">
      <c r="A6" s="696"/>
      <c r="B6" s="696"/>
      <c r="C6" s="696"/>
      <c r="D6" s="696"/>
      <c r="E6" s="696"/>
      <c r="F6" s="696"/>
      <c r="G6" s="696"/>
      <c r="H6" s="696"/>
      <c r="I6" s="696"/>
    </row>
    <row r="7" spans="1:9" ht="18.75" customHeight="1" x14ac:dyDescent="0.25">
      <c r="A7" s="696"/>
      <c r="B7" s="696"/>
      <c r="C7" s="696"/>
      <c r="D7" s="696"/>
      <c r="E7" s="696"/>
      <c r="F7" s="696"/>
      <c r="G7" s="696"/>
      <c r="H7" s="696"/>
      <c r="I7" s="696"/>
    </row>
    <row r="8" spans="1:9" x14ac:dyDescent="0.25">
      <c r="A8" s="697" t="s">
        <v>45</v>
      </c>
      <c r="B8" s="697"/>
      <c r="C8" s="697"/>
      <c r="D8" s="697"/>
      <c r="E8" s="697"/>
      <c r="F8" s="697"/>
      <c r="G8" s="697"/>
      <c r="H8" s="697"/>
      <c r="I8" s="697"/>
    </row>
    <row r="9" spans="1:9" x14ac:dyDescent="0.25">
      <c r="A9" s="697"/>
      <c r="B9" s="697"/>
      <c r="C9" s="697"/>
      <c r="D9" s="697"/>
      <c r="E9" s="697"/>
      <c r="F9" s="697"/>
      <c r="G9" s="697"/>
      <c r="H9" s="697"/>
      <c r="I9" s="697"/>
    </row>
    <row r="10" spans="1:9" x14ac:dyDescent="0.25">
      <c r="A10" s="697"/>
      <c r="B10" s="697"/>
      <c r="C10" s="697"/>
      <c r="D10" s="697"/>
      <c r="E10" s="697"/>
      <c r="F10" s="697"/>
      <c r="G10" s="697"/>
      <c r="H10" s="697"/>
      <c r="I10" s="697"/>
    </row>
    <row r="11" spans="1:9" x14ac:dyDescent="0.25">
      <c r="A11" s="697"/>
      <c r="B11" s="697"/>
      <c r="C11" s="697"/>
      <c r="D11" s="697"/>
      <c r="E11" s="697"/>
      <c r="F11" s="697"/>
      <c r="G11" s="697"/>
      <c r="H11" s="697"/>
      <c r="I11" s="697"/>
    </row>
    <row r="12" spans="1:9" x14ac:dyDescent="0.25">
      <c r="A12" s="697"/>
      <c r="B12" s="697"/>
      <c r="C12" s="697"/>
      <c r="D12" s="697"/>
      <c r="E12" s="697"/>
      <c r="F12" s="697"/>
      <c r="G12" s="697"/>
      <c r="H12" s="697"/>
      <c r="I12" s="697"/>
    </row>
    <row r="13" spans="1:9" x14ac:dyDescent="0.25">
      <c r="A13" s="697"/>
      <c r="B13" s="697"/>
      <c r="C13" s="697"/>
      <c r="D13" s="697"/>
      <c r="E13" s="697"/>
      <c r="F13" s="697"/>
      <c r="G13" s="697"/>
      <c r="H13" s="697"/>
      <c r="I13" s="697"/>
    </row>
    <row r="14" spans="1:9" x14ac:dyDescent="0.25">
      <c r="A14" s="697"/>
      <c r="B14" s="697"/>
      <c r="C14" s="697"/>
      <c r="D14" s="697"/>
      <c r="E14" s="697"/>
      <c r="F14" s="697"/>
      <c r="G14" s="697"/>
      <c r="H14" s="697"/>
      <c r="I14" s="697"/>
    </row>
    <row r="15" spans="1:9" ht="19.5" customHeight="1" x14ac:dyDescent="0.3">
      <c r="A15" s="98"/>
    </row>
    <row r="16" spans="1:9" ht="19.5" customHeight="1" x14ac:dyDescent="0.3">
      <c r="A16" s="669" t="s">
        <v>30</v>
      </c>
      <c r="B16" s="670"/>
      <c r="C16" s="670"/>
      <c r="D16" s="670"/>
      <c r="E16" s="670"/>
      <c r="F16" s="670"/>
      <c r="G16" s="670"/>
      <c r="H16" s="671"/>
    </row>
    <row r="17" spans="1:14" ht="20.25" customHeight="1" x14ac:dyDescent="0.25">
      <c r="A17" s="672" t="s">
        <v>46</v>
      </c>
      <c r="B17" s="672"/>
      <c r="C17" s="672"/>
      <c r="D17" s="672"/>
      <c r="E17" s="672"/>
      <c r="F17" s="672"/>
      <c r="G17" s="672"/>
      <c r="H17" s="672"/>
    </row>
    <row r="18" spans="1:14" ht="26.25" customHeight="1" x14ac:dyDescent="0.4">
      <c r="A18" s="100" t="s">
        <v>32</v>
      </c>
      <c r="B18" s="668" t="s">
        <v>5</v>
      </c>
      <c r="C18" s="668"/>
      <c r="D18" s="267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673" t="s">
        <v>125</v>
      </c>
      <c r="C20" s="673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673" t="s">
        <v>124</v>
      </c>
      <c r="C21" s="673"/>
      <c r="D21" s="673"/>
      <c r="E21" s="673"/>
      <c r="F21" s="673"/>
      <c r="G21" s="673"/>
      <c r="H21" s="673"/>
      <c r="I21" s="104"/>
    </row>
    <row r="22" spans="1:14" ht="26.25" customHeight="1" x14ac:dyDescent="0.4">
      <c r="A22" s="100" t="s">
        <v>36</v>
      </c>
      <c r="B22" s="105">
        <v>42500.536458333336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469">
        <v>42510.536458333336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668" t="s">
        <v>126</v>
      </c>
      <c r="C26" s="668"/>
    </row>
    <row r="27" spans="1:14" ht="26.25" customHeight="1" x14ac:dyDescent="0.4">
      <c r="A27" s="109" t="s">
        <v>47</v>
      </c>
      <c r="B27" s="674" t="s">
        <v>127</v>
      </c>
      <c r="C27" s="674"/>
    </row>
    <row r="28" spans="1:14" ht="27" customHeight="1" x14ac:dyDescent="0.4">
      <c r="A28" s="109" t="s">
        <v>6</v>
      </c>
      <c r="B28" s="110">
        <v>101.74</v>
      </c>
    </row>
    <row r="29" spans="1:14" s="14" customFormat="1" ht="27" customHeight="1" x14ac:dyDescent="0.4">
      <c r="A29" s="109" t="s">
        <v>48</v>
      </c>
      <c r="B29" s="111">
        <v>0</v>
      </c>
      <c r="C29" s="675" t="s">
        <v>49</v>
      </c>
      <c r="D29" s="676"/>
      <c r="E29" s="676"/>
      <c r="F29" s="676"/>
      <c r="G29" s="677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101.74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678" t="s">
        <v>52</v>
      </c>
      <c r="D31" s="679"/>
      <c r="E31" s="679"/>
      <c r="F31" s="679"/>
      <c r="G31" s="679"/>
      <c r="H31" s="680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678" t="s">
        <v>54</v>
      </c>
      <c r="D32" s="679"/>
      <c r="E32" s="679"/>
      <c r="F32" s="679"/>
      <c r="G32" s="679"/>
      <c r="H32" s="68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25</v>
      </c>
      <c r="C36" s="99"/>
      <c r="D36" s="681" t="s">
        <v>58</v>
      </c>
      <c r="E36" s="682"/>
      <c r="F36" s="681" t="s">
        <v>59</v>
      </c>
      <c r="G36" s="68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5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50</v>
      </c>
      <c r="C38" s="131">
        <v>1</v>
      </c>
      <c r="D38" s="132">
        <v>16519004</v>
      </c>
      <c r="E38" s="133">
        <f>IF(ISBLANK(D38),"-",$D$48/$D$45*D38)</f>
        <v>16901272.473806564</v>
      </c>
      <c r="F38" s="132">
        <v>17931480</v>
      </c>
      <c r="G38" s="134">
        <f>IF(ISBLANK(F38),"-",$D$48/$F$45*F38)</f>
        <v>16849721.161540627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16505062</v>
      </c>
      <c r="E39" s="138">
        <f>IF(ISBLANK(D39),"-",$D$48/$D$45*D39)</f>
        <v>16887007.840125877</v>
      </c>
      <c r="F39" s="137">
        <v>18014935</v>
      </c>
      <c r="G39" s="139">
        <f>IF(ISBLANK(F39),"-",$D$48/$F$45*F39)</f>
        <v>16928141.541762248</v>
      </c>
      <c r="I39" s="685">
        <f>ABS((F43/D43*D42)-F42)/D42</f>
        <v>2.498624223150885E-4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16502745</v>
      </c>
      <c r="E40" s="138">
        <f>IF(ISBLANK(D40),"-",$D$48/$D$45*D40)</f>
        <v>16884637.222119983</v>
      </c>
      <c r="F40" s="137">
        <v>17992099</v>
      </c>
      <c r="G40" s="139">
        <f>IF(ISBLANK(F40),"-",$D$48/$F$45*F40)</f>
        <v>16906683.177341413</v>
      </c>
      <c r="I40" s="685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16508937</v>
      </c>
      <c r="E42" s="148">
        <f>AVERAGE(E38:E41)</f>
        <v>16890972.512017474</v>
      </c>
      <c r="F42" s="147">
        <f>AVERAGE(F38:F41)</f>
        <v>17979504.666666668</v>
      </c>
      <c r="G42" s="149">
        <f>AVERAGE(G38:G41)</f>
        <v>16894848.626881432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14.41</v>
      </c>
      <c r="E43" s="140"/>
      <c r="F43" s="152">
        <v>15.69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14.41</v>
      </c>
      <c r="E44" s="155"/>
      <c r="F44" s="154">
        <f>F43*$B$34</f>
        <v>15.69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250</v>
      </c>
      <c r="C45" s="153" t="s">
        <v>76</v>
      </c>
      <c r="D45" s="157">
        <f>D44*$B$30/100</f>
        <v>14.660734</v>
      </c>
      <c r="E45" s="158"/>
      <c r="F45" s="157">
        <f>F44*$B$30/100</f>
        <v>15.963005999999998</v>
      </c>
      <c r="H45" s="150"/>
    </row>
    <row r="46" spans="1:14" ht="19.5" customHeight="1" x14ac:dyDescent="0.3">
      <c r="A46" s="686" t="s">
        <v>77</v>
      </c>
      <c r="B46" s="687"/>
      <c r="C46" s="153" t="s">
        <v>78</v>
      </c>
      <c r="D46" s="159">
        <f>D45/$B$45</f>
        <v>5.8642936E-2</v>
      </c>
      <c r="E46" s="160"/>
      <c r="F46" s="161">
        <f>F45/$B$45</f>
        <v>6.3852023999999993E-2</v>
      </c>
      <c r="H46" s="150"/>
    </row>
    <row r="47" spans="1:14" ht="27" customHeight="1" x14ac:dyDescent="0.4">
      <c r="A47" s="688"/>
      <c r="B47" s="689"/>
      <c r="C47" s="162" t="s">
        <v>79</v>
      </c>
      <c r="D47" s="163">
        <v>0.06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15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16892910.569449451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1.5593384759676379E-3</v>
      </c>
      <c r="F51" s="170"/>
      <c r="H51" s="150"/>
    </row>
    <row r="52" spans="1:12" ht="19.5" customHeight="1" x14ac:dyDescent="0.3">
      <c r="C52" s="172" t="s">
        <v>19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177" t="s">
        <v>86</v>
      </c>
      <c r="B56" s="178">
        <v>300</v>
      </c>
      <c r="C56" s="99" t="str">
        <f>B20</f>
        <v>Efavirenz 600mg, Lamivudine 300mg and Tenofovir Disoproxil Fumarate 300mg Tablets</v>
      </c>
      <c r="H56" s="179"/>
    </row>
    <row r="57" spans="1:12" ht="18.75" x14ac:dyDescent="0.3">
      <c r="A57" s="176" t="s">
        <v>87</v>
      </c>
      <c r="B57" s="268">
        <f>Uniformity!C46</f>
        <v>1907.5930000000001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200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4</v>
      </c>
      <c r="C60" s="690" t="s">
        <v>93</v>
      </c>
      <c r="D60" s="693">
        <v>1916.55</v>
      </c>
      <c r="E60" s="182">
        <v>1</v>
      </c>
      <c r="F60" s="183"/>
      <c r="G60" s="269" t="str">
        <f>IF(ISBLANK(F60),"-",(F60/$D$50*$D$47*$B$68)*($B$57/$D$60))</f>
        <v>-</v>
      </c>
      <c r="H60" s="184" t="str">
        <f t="shared" ref="H60:H71" si="0">IF(ISBLANK(F60),"-",G60/$B$56)</f>
        <v>-</v>
      </c>
      <c r="L60" s="112"/>
    </row>
    <row r="61" spans="1:12" s="14" customFormat="1" ht="26.25" customHeight="1" x14ac:dyDescent="0.4">
      <c r="A61" s="124" t="s">
        <v>94</v>
      </c>
      <c r="B61" s="125">
        <v>100</v>
      </c>
      <c r="C61" s="691"/>
      <c r="D61" s="694"/>
      <c r="E61" s="185">
        <v>2</v>
      </c>
      <c r="F61" s="137"/>
      <c r="G61" s="270" t="str">
        <f>IF(ISBLANK(F61),"-",(F61/$D$50*$D$47*$B$68)*($B$57/$D$60))</f>
        <v>-</v>
      </c>
      <c r="H61" s="186" t="str">
        <f t="shared" si="0"/>
        <v>-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691"/>
      <c r="D62" s="694"/>
      <c r="E62" s="185">
        <v>3</v>
      </c>
      <c r="F62" s="187"/>
      <c r="G62" s="270" t="str">
        <f>IF(ISBLANK(F62),"-",(F62/$D$50*$D$47*$B$68)*($B$57/$D$60))</f>
        <v>-</v>
      </c>
      <c r="H62" s="186" t="str">
        <f t="shared" si="0"/>
        <v>-</v>
      </c>
      <c r="L62" s="112"/>
    </row>
    <row r="63" spans="1:12" ht="27" customHeight="1" x14ac:dyDescent="0.4">
      <c r="A63" s="124" t="s">
        <v>96</v>
      </c>
      <c r="B63" s="125">
        <v>1</v>
      </c>
      <c r="C63" s="692"/>
      <c r="D63" s="695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690" t="s">
        <v>98</v>
      </c>
      <c r="D64" s="693">
        <v>1917.48</v>
      </c>
      <c r="E64" s="182">
        <v>1</v>
      </c>
      <c r="F64" s="183">
        <v>17548377</v>
      </c>
      <c r="G64" s="271">
        <f>IF(ISBLANK(F64),"-",(F64/$D$50*$D$47*$B$68)*($B$57/$D$64))</f>
        <v>310.03348712207281</v>
      </c>
      <c r="H64" s="190">
        <f t="shared" si="0"/>
        <v>1.033444957073576</v>
      </c>
    </row>
    <row r="65" spans="1:8" ht="26.25" customHeight="1" x14ac:dyDescent="0.4">
      <c r="A65" s="124" t="s">
        <v>99</v>
      </c>
      <c r="B65" s="125">
        <v>1</v>
      </c>
      <c r="C65" s="691"/>
      <c r="D65" s="694"/>
      <c r="E65" s="185">
        <v>2</v>
      </c>
      <c r="F65" s="137">
        <v>17568888</v>
      </c>
      <c r="G65" s="272">
        <f>IF(ISBLANK(F65),"-",(F65/$D$50*$D$47*$B$68)*($B$57/$D$64))</f>
        <v>310.39586233514012</v>
      </c>
      <c r="H65" s="191">
        <f t="shared" si="0"/>
        <v>1.0346528744504671</v>
      </c>
    </row>
    <row r="66" spans="1:8" ht="26.25" customHeight="1" x14ac:dyDescent="0.4">
      <c r="A66" s="124" t="s">
        <v>100</v>
      </c>
      <c r="B66" s="125">
        <v>1</v>
      </c>
      <c r="C66" s="691"/>
      <c r="D66" s="694"/>
      <c r="E66" s="185">
        <v>3</v>
      </c>
      <c r="F66" s="137">
        <v>17522586</v>
      </c>
      <c r="G66" s="272">
        <f>IF(ISBLANK(F66),"-",(F66/$D$50*$D$47*$B$68)*($B$57/$D$64))</f>
        <v>309.57782825023725</v>
      </c>
      <c r="H66" s="191">
        <f t="shared" si="0"/>
        <v>1.0319260941674575</v>
      </c>
    </row>
    <row r="67" spans="1:8" ht="27" customHeight="1" x14ac:dyDescent="0.4">
      <c r="A67" s="124" t="s">
        <v>101</v>
      </c>
      <c r="B67" s="125">
        <v>1</v>
      </c>
      <c r="C67" s="692"/>
      <c r="D67" s="695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>
        <f>(B67/B66)*(B65/B64)*(B63/B62)*(B61/B60)*B59</f>
        <v>5000</v>
      </c>
      <c r="C68" s="690" t="s">
        <v>103</v>
      </c>
      <c r="D68" s="693">
        <v>1914.73</v>
      </c>
      <c r="E68" s="182">
        <v>1</v>
      </c>
      <c r="F68" s="183">
        <v>16981331</v>
      </c>
      <c r="G68" s="271">
        <f>IF(ISBLANK(F68),"-",(F68/$D$50*$D$47*$B$68)*($B$57/$D$68))</f>
        <v>300.44617361834537</v>
      </c>
      <c r="H68" s="186">
        <f t="shared" si="0"/>
        <v>1.0014872453944845</v>
      </c>
    </row>
    <row r="69" spans="1:8" ht="27" customHeight="1" x14ac:dyDescent="0.4">
      <c r="A69" s="172" t="s">
        <v>104</v>
      </c>
      <c r="B69" s="194">
        <f>(D47*B68)/B56*B57</f>
        <v>1907.5930000000001</v>
      </c>
      <c r="C69" s="691"/>
      <c r="D69" s="694"/>
      <c r="E69" s="185">
        <v>2</v>
      </c>
      <c r="F69" s="137">
        <v>17089798</v>
      </c>
      <c r="G69" s="272">
        <f>IF(ISBLANK(F69),"-",(F69/$D$50*$D$47*$B$68)*($B$57/$D$68))</f>
        <v>302.36525140523156</v>
      </c>
      <c r="H69" s="186">
        <f t="shared" si="0"/>
        <v>1.0078841713507718</v>
      </c>
    </row>
    <row r="70" spans="1:8" ht="26.25" customHeight="1" x14ac:dyDescent="0.4">
      <c r="A70" s="703" t="s">
        <v>77</v>
      </c>
      <c r="B70" s="704"/>
      <c r="C70" s="691"/>
      <c r="D70" s="694"/>
      <c r="E70" s="185">
        <v>3</v>
      </c>
      <c r="F70" s="137">
        <v>16985012</v>
      </c>
      <c r="G70" s="272">
        <f>IF(ISBLANK(F70),"-",(F70/$D$50*$D$47*$B$68)*($B$57/$D$68))</f>
        <v>300.51130057247457</v>
      </c>
      <c r="H70" s="186">
        <f t="shared" si="0"/>
        <v>1.001704335241582</v>
      </c>
    </row>
    <row r="71" spans="1:8" ht="27" customHeight="1" x14ac:dyDescent="0.4">
      <c r="A71" s="705"/>
      <c r="B71" s="706"/>
      <c r="C71" s="702"/>
      <c r="D71" s="695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70</v>
      </c>
      <c r="G72" s="278">
        <f>AVERAGE(G60:G71)</f>
        <v>305.55498388391692</v>
      </c>
      <c r="H72" s="199">
        <f>AVERAGE(H60:H71)</f>
        <v>1.0185166129463898</v>
      </c>
    </row>
    <row r="73" spans="1:8" ht="26.25" customHeight="1" x14ac:dyDescent="0.4">
      <c r="C73" s="196"/>
      <c r="D73" s="196"/>
      <c r="E73" s="196"/>
      <c r="F73" s="200" t="s">
        <v>83</v>
      </c>
      <c r="G73" s="274">
        <f>STDEV(G60:G71)/G72</f>
        <v>1.6125475087559137E-2</v>
      </c>
      <c r="H73" s="274">
        <f>STDEV(H60:H71)/H72</f>
        <v>1.612547508755912E-2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19</v>
      </c>
      <c r="G74" s="203">
        <f>COUNT(G60:G71)</f>
        <v>6</v>
      </c>
      <c r="H74" s="203">
        <f>COUNT(H60:H71)</f>
        <v>6</v>
      </c>
    </row>
    <row r="76" spans="1:8" ht="26.25" customHeight="1" x14ac:dyDescent="0.4">
      <c r="A76" s="108" t="s">
        <v>105</v>
      </c>
      <c r="B76" s="204" t="s">
        <v>106</v>
      </c>
      <c r="C76" s="698" t="str">
        <f>B20</f>
        <v>Efavirenz 600mg, Lamivudine 300mg and Tenofovir Disoproxil Fumarate 300mg Tablets</v>
      </c>
      <c r="D76" s="698"/>
      <c r="E76" s="205" t="s">
        <v>107</v>
      </c>
      <c r="F76" s="205"/>
      <c r="G76" s="206">
        <f>H72</f>
        <v>1.0185166129463898</v>
      </c>
      <c r="H76" s="207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684" t="str">
        <f>B26</f>
        <v>Lamivudine</v>
      </c>
      <c r="C79" s="684"/>
    </row>
    <row r="80" spans="1:8" ht="26.25" customHeight="1" x14ac:dyDescent="0.4">
      <c r="A80" s="109" t="s">
        <v>47</v>
      </c>
      <c r="B80" s="684" t="str">
        <f>B27</f>
        <v>L3-9</v>
      </c>
      <c r="C80" s="684"/>
    </row>
    <row r="81" spans="1:12" ht="27" customHeight="1" x14ac:dyDescent="0.4">
      <c r="A81" s="109" t="s">
        <v>6</v>
      </c>
      <c r="B81" s="208">
        <f>B28</f>
        <v>101.74</v>
      </c>
    </row>
    <row r="82" spans="1:12" s="14" customFormat="1" ht="27" customHeight="1" x14ac:dyDescent="0.4">
      <c r="A82" s="109" t="s">
        <v>48</v>
      </c>
      <c r="B82" s="111">
        <v>0</v>
      </c>
      <c r="C82" s="675" t="s">
        <v>49</v>
      </c>
      <c r="D82" s="676"/>
      <c r="E82" s="676"/>
      <c r="F82" s="676"/>
      <c r="G82" s="677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101.74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678" t="s">
        <v>110</v>
      </c>
      <c r="D84" s="679"/>
      <c r="E84" s="679"/>
      <c r="F84" s="679"/>
      <c r="G84" s="679"/>
      <c r="H84" s="680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678" t="s">
        <v>111</v>
      </c>
      <c r="D85" s="679"/>
      <c r="E85" s="679"/>
      <c r="F85" s="679"/>
      <c r="G85" s="679"/>
      <c r="H85" s="68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25</v>
      </c>
      <c r="D89" s="209" t="s">
        <v>58</v>
      </c>
      <c r="E89" s="210"/>
      <c r="F89" s="681" t="s">
        <v>59</v>
      </c>
      <c r="G89" s="683"/>
    </row>
    <row r="90" spans="1:12" ht="27" customHeight="1" x14ac:dyDescent="0.4">
      <c r="A90" s="124" t="s">
        <v>60</v>
      </c>
      <c r="B90" s="125">
        <v>10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20</v>
      </c>
      <c r="C91" s="213">
        <v>1</v>
      </c>
      <c r="D91" s="651">
        <v>79154720</v>
      </c>
      <c r="E91" s="133">
        <f>IF(ISBLANK(D91),"-",$D$101/$D$98*D91)</f>
        <v>80986449.928086832</v>
      </c>
      <c r="F91" s="651">
        <v>88201409</v>
      </c>
      <c r="G91" s="134">
        <f>IF(ISBLANK(F91),"-",$D$101/$F$98*F91)</f>
        <v>82880450.900037259</v>
      </c>
      <c r="I91" s="135"/>
    </row>
    <row r="92" spans="1:12" ht="26.25" customHeight="1" x14ac:dyDescent="0.4">
      <c r="A92" s="124" t="s">
        <v>66</v>
      </c>
      <c r="B92" s="125">
        <v>1</v>
      </c>
      <c r="C92" s="197">
        <v>2</v>
      </c>
      <c r="D92" s="652">
        <v>79101944</v>
      </c>
      <c r="E92" s="138">
        <f>IF(ISBLANK(D92),"-",$D$101/$D$98*D92)</f>
        <v>80932452.631634951</v>
      </c>
      <c r="F92" s="652">
        <v>87202538</v>
      </c>
      <c r="G92" s="139">
        <f>IF(ISBLANK(F92),"-",$D$101/$F$98*F92)</f>
        <v>81941839.149844348</v>
      </c>
      <c r="I92" s="685">
        <f>ABS((F96/D96*D95)-F95)/D95</f>
        <v>1.4044207656651589E-2</v>
      </c>
    </row>
    <row r="93" spans="1:12" ht="26.25" customHeight="1" x14ac:dyDescent="0.4">
      <c r="A93" s="124" t="s">
        <v>67</v>
      </c>
      <c r="B93" s="125">
        <v>1</v>
      </c>
      <c r="C93" s="197">
        <v>3</v>
      </c>
      <c r="D93" s="652">
        <v>80401091</v>
      </c>
      <c r="E93" s="138">
        <f>IF(ISBLANK(D93),"-",$D$101/$D$98*D93)</f>
        <v>82261663.365558654</v>
      </c>
      <c r="F93" s="652">
        <v>87804868</v>
      </c>
      <c r="G93" s="139">
        <f>IF(ISBLANK(F93),"-",$D$101/$F$98*F93)</f>
        <v>82507832.171459451</v>
      </c>
      <c r="I93" s="685"/>
    </row>
    <row r="94" spans="1:12" ht="27" customHeight="1" x14ac:dyDescent="0.4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6" t="s">
        <v>70</v>
      </c>
      <c r="D95" s="217">
        <f>AVERAGE(D91:D94)</f>
        <v>79552585</v>
      </c>
      <c r="E95" s="148">
        <f>AVERAGE(E91:E94)</f>
        <v>81393521.975093469</v>
      </c>
      <c r="F95" s="218">
        <f>AVERAGE(F91:F94)</f>
        <v>87736271.666666672</v>
      </c>
      <c r="G95" s="219">
        <f>AVERAGE(G91:G94)</f>
        <v>82443374.073780358</v>
      </c>
    </row>
    <row r="96" spans="1:12" ht="26.25" customHeight="1" x14ac:dyDescent="0.4">
      <c r="A96" s="124" t="s">
        <v>71</v>
      </c>
      <c r="B96" s="110">
        <v>1</v>
      </c>
      <c r="C96" s="220" t="s">
        <v>112</v>
      </c>
      <c r="D96" s="221">
        <v>14.41</v>
      </c>
      <c r="E96" s="140"/>
      <c r="F96" s="152">
        <v>15.69</v>
      </c>
    </row>
    <row r="97" spans="1:10" ht="26.25" customHeight="1" x14ac:dyDescent="0.4">
      <c r="A97" s="124" t="s">
        <v>73</v>
      </c>
      <c r="B97" s="110">
        <v>1</v>
      </c>
      <c r="C97" s="222" t="s">
        <v>113</v>
      </c>
      <c r="D97" s="223">
        <f>D96*$B$87</f>
        <v>14.41</v>
      </c>
      <c r="E97" s="155"/>
      <c r="F97" s="154">
        <f>F96*$B$87</f>
        <v>15.69</v>
      </c>
    </row>
    <row r="98" spans="1:10" ht="19.5" customHeight="1" x14ac:dyDescent="0.3">
      <c r="A98" s="124" t="s">
        <v>75</v>
      </c>
      <c r="B98" s="224">
        <f>(B97/B96)*(B95/B94)*(B93/B92)*(B91/B90)*B89</f>
        <v>50</v>
      </c>
      <c r="C98" s="222" t="s">
        <v>114</v>
      </c>
      <c r="D98" s="225">
        <f>D97*$B$83/100</f>
        <v>14.660734</v>
      </c>
      <c r="E98" s="158"/>
      <c r="F98" s="157">
        <f>F97*$B$83/100</f>
        <v>15.963005999999998</v>
      </c>
    </row>
    <row r="99" spans="1:10" ht="19.5" customHeight="1" x14ac:dyDescent="0.3">
      <c r="A99" s="686" t="s">
        <v>77</v>
      </c>
      <c r="B99" s="700"/>
      <c r="C99" s="222" t="s">
        <v>115</v>
      </c>
      <c r="D99" s="226">
        <f>D98/$B$98</f>
        <v>0.29321468000000001</v>
      </c>
      <c r="E99" s="158"/>
      <c r="F99" s="161">
        <f>F98/$B$98</f>
        <v>0.31926011999999998</v>
      </c>
      <c r="G99" s="227"/>
      <c r="H99" s="150"/>
    </row>
    <row r="100" spans="1:10" ht="19.5" customHeight="1" x14ac:dyDescent="0.3">
      <c r="A100" s="688"/>
      <c r="B100" s="701"/>
      <c r="C100" s="222" t="s">
        <v>79</v>
      </c>
      <c r="D100" s="228">
        <f>$B$56/$B$116</f>
        <v>0.3</v>
      </c>
      <c r="F100" s="166"/>
      <c r="G100" s="229"/>
      <c r="H100" s="150"/>
    </row>
    <row r="101" spans="1:10" ht="18.75" x14ac:dyDescent="0.3">
      <c r="C101" s="222" t="s">
        <v>80</v>
      </c>
      <c r="D101" s="223">
        <f>D100*$B$98</f>
        <v>15</v>
      </c>
      <c r="F101" s="166"/>
      <c r="G101" s="227"/>
      <c r="H101" s="150"/>
    </row>
    <row r="102" spans="1:10" ht="19.5" customHeight="1" x14ac:dyDescent="0.3">
      <c r="C102" s="230" t="s">
        <v>81</v>
      </c>
      <c r="D102" s="231">
        <f>D101/B34</f>
        <v>15</v>
      </c>
      <c r="F102" s="170"/>
      <c r="G102" s="227"/>
      <c r="H102" s="150"/>
      <c r="J102" s="232"/>
    </row>
    <row r="103" spans="1:10" ht="18.75" x14ac:dyDescent="0.3">
      <c r="C103" s="233" t="s">
        <v>116</v>
      </c>
      <c r="D103" s="234">
        <f>AVERAGE(E91:E94,G91:G94)</f>
        <v>81918448.024436906</v>
      </c>
      <c r="F103" s="170"/>
      <c r="G103" s="235"/>
      <c r="H103" s="150"/>
      <c r="J103" s="236"/>
    </row>
    <row r="104" spans="1:10" ht="18.75" x14ac:dyDescent="0.3">
      <c r="C104" s="200" t="s">
        <v>83</v>
      </c>
      <c r="D104" s="237">
        <f>STDEV(E91:E94,G91:G94)/D103</f>
        <v>9.8144788597353989E-3</v>
      </c>
      <c r="F104" s="170"/>
      <c r="G104" s="227"/>
      <c r="H104" s="150"/>
      <c r="J104" s="236"/>
    </row>
    <row r="105" spans="1:10" ht="19.5" customHeight="1" x14ac:dyDescent="0.3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1000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 x14ac:dyDescent="0.4">
      <c r="A108" s="124" t="s">
        <v>121</v>
      </c>
      <c r="B108" s="125">
        <v>1</v>
      </c>
      <c r="C108" s="243">
        <v>1</v>
      </c>
      <c r="D108" s="244">
        <v>83666520</v>
      </c>
      <c r="E108" s="275">
        <f t="shared" ref="E108:E113" si="1">IF(ISBLANK(D108),"-",D108/$D$103*$D$100*$B$116)</f>
        <v>306.40175205116788</v>
      </c>
      <c r="F108" s="245">
        <f t="shared" ref="F108:F113" si="2">IF(ISBLANK(D108), "-", E108/$B$56)</f>
        <v>1.021339173503893</v>
      </c>
    </row>
    <row r="109" spans="1:10" ht="26.25" customHeight="1" x14ac:dyDescent="0.4">
      <c r="A109" s="124" t="s">
        <v>94</v>
      </c>
      <c r="B109" s="125">
        <v>1</v>
      </c>
      <c r="C109" s="243">
        <v>2</v>
      </c>
      <c r="D109" s="244">
        <v>85254774</v>
      </c>
      <c r="E109" s="276">
        <f t="shared" si="1"/>
        <v>312.21822210755693</v>
      </c>
      <c r="F109" s="246">
        <f t="shared" si="2"/>
        <v>1.0407274070251897</v>
      </c>
    </row>
    <row r="110" spans="1:10" ht="26.25" customHeight="1" x14ac:dyDescent="0.4">
      <c r="A110" s="124" t="s">
        <v>95</v>
      </c>
      <c r="B110" s="125">
        <v>1</v>
      </c>
      <c r="C110" s="243">
        <v>3</v>
      </c>
      <c r="D110" s="244">
        <v>90096490</v>
      </c>
      <c r="E110" s="276">
        <f t="shared" si="1"/>
        <v>329.94945158063854</v>
      </c>
      <c r="F110" s="246">
        <f t="shared" si="2"/>
        <v>1.099831505268795</v>
      </c>
    </row>
    <row r="111" spans="1:10" ht="26.25" customHeight="1" x14ac:dyDescent="0.4">
      <c r="A111" s="124" t="s">
        <v>96</v>
      </c>
      <c r="B111" s="125">
        <v>1</v>
      </c>
      <c r="C111" s="243">
        <v>4</v>
      </c>
      <c r="D111" s="244">
        <v>84550527</v>
      </c>
      <c r="E111" s="276">
        <f t="shared" si="1"/>
        <v>309.63914370586434</v>
      </c>
      <c r="F111" s="246">
        <f t="shared" si="2"/>
        <v>1.0321304790195478</v>
      </c>
    </row>
    <row r="112" spans="1:10" ht="26.25" customHeight="1" x14ac:dyDescent="0.4">
      <c r="A112" s="124" t="s">
        <v>97</v>
      </c>
      <c r="B112" s="125">
        <v>1</v>
      </c>
      <c r="C112" s="243">
        <v>5</v>
      </c>
      <c r="D112" s="244">
        <v>90362898</v>
      </c>
      <c r="E112" s="276">
        <f t="shared" si="1"/>
        <v>330.92508529840813</v>
      </c>
      <c r="F112" s="246">
        <f t="shared" si="2"/>
        <v>1.1030836176613605</v>
      </c>
    </row>
    <row r="113" spans="1:10" ht="26.25" customHeight="1" x14ac:dyDescent="0.4">
      <c r="A113" s="124" t="s">
        <v>99</v>
      </c>
      <c r="B113" s="125">
        <v>1</v>
      </c>
      <c r="C113" s="247">
        <v>6</v>
      </c>
      <c r="D113" s="248">
        <v>83033869</v>
      </c>
      <c r="E113" s="277">
        <f t="shared" si="1"/>
        <v>304.08487099962036</v>
      </c>
      <c r="F113" s="249">
        <f t="shared" si="2"/>
        <v>1.0136162366654011</v>
      </c>
    </row>
    <row r="114" spans="1:10" ht="26.25" customHeight="1" x14ac:dyDescent="0.4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101</v>
      </c>
      <c r="B115" s="125">
        <v>1</v>
      </c>
      <c r="C115" s="243"/>
      <c r="D115" s="251" t="s">
        <v>70</v>
      </c>
      <c r="E115" s="279">
        <f>AVERAGE(E108:E113)</f>
        <v>315.53642095720937</v>
      </c>
      <c r="F115" s="252">
        <f>AVERAGE(F108:F113)</f>
        <v>1.0517880698573645</v>
      </c>
    </row>
    <row r="116" spans="1:10" ht="27" customHeight="1" x14ac:dyDescent="0.4">
      <c r="A116" s="124" t="s">
        <v>102</v>
      </c>
      <c r="B116" s="156">
        <f>(B115/B114)*(B113/B112)*(B111/B110)*(B109/B108)*B107</f>
        <v>1000</v>
      </c>
      <c r="C116" s="253"/>
      <c r="D116" s="216" t="s">
        <v>83</v>
      </c>
      <c r="E116" s="254">
        <f>STDEV(E108:E113)/E115</f>
        <v>3.7629968894545889E-2</v>
      </c>
      <c r="F116" s="254">
        <f>STDEV(F108:F113)/F115</f>
        <v>3.7629968894545889E-2</v>
      </c>
      <c r="I116" s="98"/>
    </row>
    <row r="117" spans="1:10" ht="27" customHeight="1" x14ac:dyDescent="0.4">
      <c r="A117" s="686" t="s">
        <v>77</v>
      </c>
      <c r="B117" s="687"/>
      <c r="C117" s="255"/>
      <c r="D117" s="256" t="s">
        <v>19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688"/>
      <c r="B118" s="689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105</v>
      </c>
      <c r="B120" s="204" t="s">
        <v>122</v>
      </c>
      <c r="C120" s="698" t="str">
        <f>B20</f>
        <v>Efavirenz 600mg, Lamivudine 300mg and Tenofovir Disoproxil Fumarate 300mg Tablets</v>
      </c>
      <c r="D120" s="698"/>
      <c r="E120" s="205" t="s">
        <v>123</v>
      </c>
      <c r="F120" s="205"/>
      <c r="G120" s="206">
        <f>F115</f>
        <v>1.0517880698573645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699" t="s">
        <v>25</v>
      </c>
      <c r="C122" s="699"/>
      <c r="E122" s="211" t="s">
        <v>26</v>
      </c>
      <c r="F122" s="260"/>
      <c r="G122" s="699" t="s">
        <v>27</v>
      </c>
      <c r="H122" s="699"/>
    </row>
    <row r="123" spans="1:10" ht="69.95" customHeight="1" x14ac:dyDescent="0.3">
      <c r="A123" s="261" t="s">
        <v>28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29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6" t="s">
        <v>44</v>
      </c>
      <c r="B1" s="696"/>
      <c r="C1" s="696"/>
      <c r="D1" s="696"/>
      <c r="E1" s="696"/>
      <c r="F1" s="696"/>
      <c r="G1" s="696"/>
      <c r="H1" s="696"/>
      <c r="I1" s="696"/>
    </row>
    <row r="2" spans="1:9" ht="18.75" customHeight="1" x14ac:dyDescent="0.25">
      <c r="A2" s="696"/>
      <c r="B2" s="696"/>
      <c r="C2" s="696"/>
      <c r="D2" s="696"/>
      <c r="E2" s="696"/>
      <c r="F2" s="696"/>
      <c r="G2" s="696"/>
      <c r="H2" s="696"/>
      <c r="I2" s="696"/>
    </row>
    <row r="3" spans="1:9" ht="18.75" customHeight="1" x14ac:dyDescent="0.25">
      <c r="A3" s="696"/>
      <c r="B3" s="696"/>
      <c r="C3" s="696"/>
      <c r="D3" s="696"/>
      <c r="E3" s="696"/>
      <c r="F3" s="696"/>
      <c r="G3" s="696"/>
      <c r="H3" s="696"/>
      <c r="I3" s="696"/>
    </row>
    <row r="4" spans="1:9" ht="18.75" customHeight="1" x14ac:dyDescent="0.25">
      <c r="A4" s="696"/>
      <c r="B4" s="696"/>
      <c r="C4" s="696"/>
      <c r="D4" s="696"/>
      <c r="E4" s="696"/>
      <c r="F4" s="696"/>
      <c r="G4" s="696"/>
      <c r="H4" s="696"/>
      <c r="I4" s="696"/>
    </row>
    <row r="5" spans="1:9" ht="18.75" customHeight="1" x14ac:dyDescent="0.25">
      <c r="A5" s="696"/>
      <c r="B5" s="696"/>
      <c r="C5" s="696"/>
      <c r="D5" s="696"/>
      <c r="E5" s="696"/>
      <c r="F5" s="696"/>
      <c r="G5" s="696"/>
      <c r="H5" s="696"/>
      <c r="I5" s="696"/>
    </row>
    <row r="6" spans="1:9" ht="18.75" customHeight="1" x14ac:dyDescent="0.25">
      <c r="A6" s="696"/>
      <c r="B6" s="696"/>
      <c r="C6" s="696"/>
      <c r="D6" s="696"/>
      <c r="E6" s="696"/>
      <c r="F6" s="696"/>
      <c r="G6" s="696"/>
      <c r="H6" s="696"/>
      <c r="I6" s="696"/>
    </row>
    <row r="7" spans="1:9" ht="18.75" customHeight="1" x14ac:dyDescent="0.25">
      <c r="A7" s="696"/>
      <c r="B7" s="696"/>
      <c r="C7" s="696"/>
      <c r="D7" s="696"/>
      <c r="E7" s="696"/>
      <c r="F7" s="696"/>
      <c r="G7" s="696"/>
      <c r="H7" s="696"/>
      <c r="I7" s="696"/>
    </row>
    <row r="8" spans="1:9" x14ac:dyDescent="0.25">
      <c r="A8" s="697" t="s">
        <v>45</v>
      </c>
      <c r="B8" s="697"/>
      <c r="C8" s="697"/>
      <c r="D8" s="697"/>
      <c r="E8" s="697"/>
      <c r="F8" s="697"/>
      <c r="G8" s="697"/>
      <c r="H8" s="697"/>
      <c r="I8" s="697"/>
    </row>
    <row r="9" spans="1:9" x14ac:dyDescent="0.25">
      <c r="A9" s="697"/>
      <c r="B9" s="697"/>
      <c r="C9" s="697"/>
      <c r="D9" s="697"/>
      <c r="E9" s="697"/>
      <c r="F9" s="697"/>
      <c r="G9" s="697"/>
      <c r="H9" s="697"/>
      <c r="I9" s="697"/>
    </row>
    <row r="10" spans="1:9" x14ac:dyDescent="0.25">
      <c r="A10" s="697"/>
      <c r="B10" s="697"/>
      <c r="C10" s="697"/>
      <c r="D10" s="697"/>
      <c r="E10" s="697"/>
      <c r="F10" s="697"/>
      <c r="G10" s="697"/>
      <c r="H10" s="697"/>
      <c r="I10" s="697"/>
    </row>
    <row r="11" spans="1:9" x14ac:dyDescent="0.25">
      <c r="A11" s="697"/>
      <c r="B11" s="697"/>
      <c r="C11" s="697"/>
      <c r="D11" s="697"/>
      <c r="E11" s="697"/>
      <c r="F11" s="697"/>
      <c r="G11" s="697"/>
      <c r="H11" s="697"/>
      <c r="I11" s="697"/>
    </row>
    <row r="12" spans="1:9" x14ac:dyDescent="0.25">
      <c r="A12" s="697"/>
      <c r="B12" s="697"/>
      <c r="C12" s="697"/>
      <c r="D12" s="697"/>
      <c r="E12" s="697"/>
      <c r="F12" s="697"/>
      <c r="G12" s="697"/>
      <c r="H12" s="697"/>
      <c r="I12" s="697"/>
    </row>
    <row r="13" spans="1:9" x14ac:dyDescent="0.25">
      <c r="A13" s="697"/>
      <c r="B13" s="697"/>
      <c r="C13" s="697"/>
      <c r="D13" s="697"/>
      <c r="E13" s="697"/>
      <c r="F13" s="697"/>
      <c r="G13" s="697"/>
      <c r="H13" s="697"/>
      <c r="I13" s="697"/>
    </row>
    <row r="14" spans="1:9" x14ac:dyDescent="0.25">
      <c r="A14" s="697"/>
      <c r="B14" s="697"/>
      <c r="C14" s="697"/>
      <c r="D14" s="697"/>
      <c r="E14" s="697"/>
      <c r="F14" s="697"/>
      <c r="G14" s="697"/>
      <c r="H14" s="697"/>
      <c r="I14" s="697"/>
    </row>
    <row r="15" spans="1:9" ht="19.5" customHeight="1" x14ac:dyDescent="0.3">
      <c r="A15" s="281"/>
    </row>
    <row r="16" spans="1:9" ht="19.5" customHeight="1" x14ac:dyDescent="0.3">
      <c r="A16" s="669" t="s">
        <v>30</v>
      </c>
      <c r="B16" s="670"/>
      <c r="C16" s="670"/>
      <c r="D16" s="670"/>
      <c r="E16" s="670"/>
      <c r="F16" s="670"/>
      <c r="G16" s="670"/>
      <c r="H16" s="671"/>
    </row>
    <row r="17" spans="1:14" ht="20.25" customHeight="1" x14ac:dyDescent="0.25">
      <c r="A17" s="672" t="s">
        <v>46</v>
      </c>
      <c r="B17" s="672"/>
      <c r="C17" s="672"/>
      <c r="D17" s="672"/>
      <c r="E17" s="672"/>
      <c r="F17" s="672"/>
      <c r="G17" s="672"/>
      <c r="H17" s="672"/>
    </row>
    <row r="18" spans="1:14" ht="26.25" customHeight="1" x14ac:dyDescent="0.4">
      <c r="A18" s="283" t="s">
        <v>32</v>
      </c>
      <c r="B18" s="668" t="s">
        <v>5</v>
      </c>
      <c r="C18" s="668"/>
      <c r="D18" s="448"/>
      <c r="E18" s="284"/>
      <c r="F18" s="285"/>
      <c r="G18" s="285"/>
      <c r="H18" s="285"/>
    </row>
    <row r="19" spans="1:14" ht="26.25" customHeight="1" x14ac:dyDescent="0.4">
      <c r="A19" s="283" t="s">
        <v>33</v>
      </c>
      <c r="B19" s="286" t="s">
        <v>7</v>
      </c>
      <c r="C19" s="461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34</v>
      </c>
      <c r="B20" s="673" t="s">
        <v>125</v>
      </c>
      <c r="C20" s="673"/>
      <c r="D20" s="285"/>
      <c r="E20" s="285"/>
      <c r="F20" s="285"/>
      <c r="G20" s="285"/>
      <c r="H20" s="285"/>
    </row>
    <row r="21" spans="1:14" ht="26.25" customHeight="1" x14ac:dyDescent="0.4">
      <c r="A21" s="283" t="s">
        <v>35</v>
      </c>
      <c r="B21" s="673" t="s">
        <v>124</v>
      </c>
      <c r="C21" s="673"/>
      <c r="D21" s="673"/>
      <c r="E21" s="673"/>
      <c r="F21" s="673"/>
      <c r="G21" s="673"/>
      <c r="H21" s="673"/>
      <c r="I21" s="287"/>
    </row>
    <row r="22" spans="1:14" ht="26.25" customHeight="1" x14ac:dyDescent="0.4">
      <c r="A22" s="283" t="s">
        <v>36</v>
      </c>
      <c r="B22" s="469">
        <v>42500.536458333336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37</v>
      </c>
      <c r="B23" s="469">
        <v>42510.536458333336</v>
      </c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8"/>
    </row>
    <row r="25" spans="1:14" ht="18.75" x14ac:dyDescent="0.3">
      <c r="A25" s="289" t="s">
        <v>1</v>
      </c>
      <c r="B25" s="288"/>
    </row>
    <row r="26" spans="1:14" ht="26.25" customHeight="1" x14ac:dyDescent="0.4">
      <c r="A26" s="290" t="s">
        <v>4</v>
      </c>
      <c r="B26" s="668" t="s">
        <v>128</v>
      </c>
      <c r="C26" s="668"/>
    </row>
    <row r="27" spans="1:14" ht="26.25" customHeight="1" x14ac:dyDescent="0.4">
      <c r="A27" s="291" t="s">
        <v>47</v>
      </c>
      <c r="B27" s="674" t="s">
        <v>129</v>
      </c>
      <c r="C27" s="674"/>
    </row>
    <row r="28" spans="1:14" ht="27" customHeight="1" x14ac:dyDescent="0.4">
      <c r="A28" s="291" t="s">
        <v>6</v>
      </c>
      <c r="B28" s="292">
        <v>98.8</v>
      </c>
    </row>
    <row r="29" spans="1:14" s="14" customFormat="1" ht="27" customHeight="1" x14ac:dyDescent="0.4">
      <c r="A29" s="291" t="s">
        <v>48</v>
      </c>
      <c r="B29" s="293">
        <v>0</v>
      </c>
      <c r="C29" s="675" t="s">
        <v>49</v>
      </c>
      <c r="D29" s="676"/>
      <c r="E29" s="676"/>
      <c r="F29" s="676"/>
      <c r="G29" s="677"/>
      <c r="I29" s="294"/>
      <c r="J29" s="294"/>
      <c r="K29" s="294"/>
      <c r="L29" s="294"/>
    </row>
    <row r="30" spans="1:14" s="14" customFormat="1" ht="19.5" customHeight="1" x14ac:dyDescent="0.3">
      <c r="A30" s="291" t="s">
        <v>50</v>
      </c>
      <c r="B30" s="295">
        <f>B28-B29</f>
        <v>98.8</v>
      </c>
      <c r="C30" s="296"/>
      <c r="D30" s="296"/>
      <c r="E30" s="296"/>
      <c r="F30" s="296"/>
      <c r="G30" s="297"/>
      <c r="I30" s="294"/>
      <c r="J30" s="294"/>
      <c r="K30" s="294"/>
      <c r="L30" s="294"/>
    </row>
    <row r="31" spans="1:14" s="14" customFormat="1" ht="27" customHeight="1" x14ac:dyDescent="0.4">
      <c r="A31" s="291" t="s">
        <v>51</v>
      </c>
      <c r="B31" s="298">
        <v>1</v>
      </c>
      <c r="C31" s="678" t="s">
        <v>52</v>
      </c>
      <c r="D31" s="679"/>
      <c r="E31" s="679"/>
      <c r="F31" s="679"/>
      <c r="G31" s="679"/>
      <c r="H31" s="680"/>
      <c r="I31" s="294"/>
      <c r="J31" s="294"/>
      <c r="K31" s="294"/>
      <c r="L31" s="294"/>
    </row>
    <row r="32" spans="1:14" s="14" customFormat="1" ht="27" customHeight="1" x14ac:dyDescent="0.4">
      <c r="A32" s="291" t="s">
        <v>53</v>
      </c>
      <c r="B32" s="298">
        <v>1</v>
      </c>
      <c r="C32" s="678" t="s">
        <v>54</v>
      </c>
      <c r="D32" s="679"/>
      <c r="E32" s="679"/>
      <c r="F32" s="679"/>
      <c r="G32" s="679"/>
      <c r="H32" s="680"/>
      <c r="I32" s="294"/>
      <c r="J32" s="294"/>
      <c r="K32" s="294"/>
      <c r="L32" s="299"/>
      <c r="M32" s="299"/>
      <c r="N32" s="300"/>
    </row>
    <row r="33" spans="1:14" s="14" customFormat="1" ht="17.25" customHeight="1" x14ac:dyDescent="0.3">
      <c r="A33" s="291"/>
      <c r="B33" s="301"/>
      <c r="C33" s="302"/>
      <c r="D33" s="302"/>
      <c r="E33" s="302"/>
      <c r="F33" s="302"/>
      <c r="G33" s="302"/>
      <c r="H33" s="302"/>
      <c r="I33" s="294"/>
      <c r="J33" s="294"/>
      <c r="K33" s="294"/>
      <c r="L33" s="299"/>
      <c r="M33" s="299"/>
      <c r="N33" s="300"/>
    </row>
    <row r="34" spans="1:14" s="14" customFormat="1" ht="18.75" x14ac:dyDescent="0.3">
      <c r="A34" s="291" t="s">
        <v>55</v>
      </c>
      <c r="B34" s="303">
        <f>B31/B32</f>
        <v>1</v>
      </c>
      <c r="C34" s="282" t="s">
        <v>56</v>
      </c>
      <c r="D34" s="282"/>
      <c r="E34" s="282"/>
      <c r="F34" s="282"/>
      <c r="G34" s="282"/>
      <c r="I34" s="294"/>
      <c r="J34" s="294"/>
      <c r="K34" s="294"/>
      <c r="L34" s="299"/>
      <c r="M34" s="299"/>
      <c r="N34" s="300"/>
    </row>
    <row r="35" spans="1:14" s="14" customFormat="1" ht="19.5" customHeight="1" x14ac:dyDescent="0.3">
      <c r="A35" s="291"/>
      <c r="B35" s="295"/>
      <c r="G35" s="282"/>
      <c r="I35" s="294"/>
      <c r="J35" s="294"/>
      <c r="K35" s="294"/>
      <c r="L35" s="299"/>
      <c r="M35" s="299"/>
      <c r="N35" s="300"/>
    </row>
    <row r="36" spans="1:14" s="14" customFormat="1" ht="27" customHeight="1" x14ac:dyDescent="0.4">
      <c r="A36" s="304" t="s">
        <v>57</v>
      </c>
      <c r="B36" s="305">
        <v>25</v>
      </c>
      <c r="C36" s="282"/>
      <c r="D36" s="681" t="s">
        <v>58</v>
      </c>
      <c r="E36" s="682"/>
      <c r="F36" s="681" t="s">
        <v>59</v>
      </c>
      <c r="G36" s="683"/>
      <c r="J36" s="294"/>
      <c r="K36" s="294"/>
      <c r="L36" s="299"/>
      <c r="M36" s="299"/>
      <c r="N36" s="300"/>
    </row>
    <row r="37" spans="1:14" s="14" customFormat="1" ht="27" customHeight="1" x14ac:dyDescent="0.4">
      <c r="A37" s="306" t="s">
        <v>60</v>
      </c>
      <c r="B37" s="307">
        <v>5</v>
      </c>
      <c r="C37" s="308" t="s">
        <v>61</v>
      </c>
      <c r="D37" s="309" t="s">
        <v>62</v>
      </c>
      <c r="E37" s="310" t="s">
        <v>63</v>
      </c>
      <c r="F37" s="309" t="s">
        <v>62</v>
      </c>
      <c r="G37" s="311" t="s">
        <v>63</v>
      </c>
      <c r="I37" s="312" t="s">
        <v>64</v>
      </c>
      <c r="J37" s="294"/>
      <c r="K37" s="294"/>
      <c r="L37" s="299"/>
      <c r="M37" s="299"/>
      <c r="N37" s="300"/>
    </row>
    <row r="38" spans="1:14" s="14" customFormat="1" ht="26.25" customHeight="1" x14ac:dyDescent="0.4">
      <c r="A38" s="306" t="s">
        <v>65</v>
      </c>
      <c r="B38" s="307">
        <v>50</v>
      </c>
      <c r="C38" s="313">
        <v>1</v>
      </c>
      <c r="D38" s="496">
        <v>12383607</v>
      </c>
      <c r="E38" s="314">
        <f>IF(ISBLANK(D38),"-",$D$48/$D$45*D38)</f>
        <v>12643592.988082957</v>
      </c>
      <c r="F38" s="496">
        <v>13719125</v>
      </c>
      <c r="G38" s="315">
        <f>IF(ISBLANK(F38),"-",$D$48/$F$45*F38)</f>
        <v>12509688.332056755</v>
      </c>
      <c r="I38" s="316"/>
      <c r="J38" s="294"/>
      <c r="K38" s="294"/>
      <c r="L38" s="299"/>
      <c r="M38" s="299"/>
      <c r="N38" s="300"/>
    </row>
    <row r="39" spans="1:14" s="14" customFormat="1" ht="26.25" customHeight="1" x14ac:dyDescent="0.4">
      <c r="A39" s="306" t="s">
        <v>66</v>
      </c>
      <c r="B39" s="307">
        <v>1</v>
      </c>
      <c r="C39" s="317">
        <v>2</v>
      </c>
      <c r="D39" s="501">
        <v>12381609</v>
      </c>
      <c r="E39" s="319">
        <f>IF(ISBLANK(D39),"-",$D$48/$D$45*D39)</f>
        <v>12641553.041338023</v>
      </c>
      <c r="F39" s="501">
        <v>13775200</v>
      </c>
      <c r="G39" s="320">
        <f>IF(ISBLANK(F39),"-",$D$48/$F$45*F39)</f>
        <v>12560819.929240983</v>
      </c>
      <c r="I39" s="685">
        <f>ABS((F43/D43*D42)-F42)/D42</f>
        <v>9.1711846635060008E-3</v>
      </c>
      <c r="J39" s="294"/>
      <c r="K39" s="294"/>
      <c r="L39" s="299"/>
      <c r="M39" s="299"/>
      <c r="N39" s="300"/>
    </row>
    <row r="40" spans="1:14" ht="26.25" customHeight="1" x14ac:dyDescent="0.4">
      <c r="A40" s="306" t="s">
        <v>67</v>
      </c>
      <c r="B40" s="307">
        <v>1</v>
      </c>
      <c r="C40" s="317">
        <v>3</v>
      </c>
      <c r="D40" s="501">
        <v>12391507</v>
      </c>
      <c r="E40" s="319">
        <f>IF(ISBLANK(D40),"-",$D$48/$D$45*D40)</f>
        <v>12651658.843580943</v>
      </c>
      <c r="F40" s="501">
        <v>13769439</v>
      </c>
      <c r="G40" s="320">
        <f>IF(ISBLANK(F40),"-",$D$48/$F$45*F40)</f>
        <v>12555566.801619435</v>
      </c>
      <c r="I40" s="685"/>
      <c r="L40" s="299"/>
      <c r="M40" s="299"/>
      <c r="N40" s="321"/>
    </row>
    <row r="41" spans="1:14" ht="27" customHeight="1" x14ac:dyDescent="0.4">
      <c r="A41" s="306" t="s">
        <v>68</v>
      </c>
      <c r="B41" s="307">
        <v>1</v>
      </c>
      <c r="C41" s="322">
        <v>4</v>
      </c>
      <c r="D41" s="323"/>
      <c r="E41" s="324" t="str">
        <f>IF(ISBLANK(D41),"-",$D$48/$D$45*D41)</f>
        <v>-</v>
      </c>
      <c r="F41" s="323"/>
      <c r="G41" s="325" t="str">
        <f>IF(ISBLANK(F41),"-",$D$48/$F$45*F41)</f>
        <v>-</v>
      </c>
      <c r="I41" s="326"/>
      <c r="L41" s="299"/>
      <c r="M41" s="299"/>
      <c r="N41" s="321"/>
    </row>
    <row r="42" spans="1:14" ht="27" customHeight="1" x14ac:dyDescent="0.4">
      <c r="A42" s="306" t="s">
        <v>69</v>
      </c>
      <c r="B42" s="307">
        <v>1</v>
      </c>
      <c r="C42" s="327" t="s">
        <v>70</v>
      </c>
      <c r="D42" s="328">
        <f>AVERAGE(D38:D41)</f>
        <v>12385574.333333334</v>
      </c>
      <c r="E42" s="329">
        <f>AVERAGE(E38:E41)</f>
        <v>12645601.624333972</v>
      </c>
      <c r="F42" s="328">
        <f>AVERAGE(F38:F41)</f>
        <v>13754588</v>
      </c>
      <c r="G42" s="330">
        <f>AVERAGE(G38:G41)</f>
        <v>12542025.020972392</v>
      </c>
      <c r="H42" s="331"/>
    </row>
    <row r="43" spans="1:14" ht="26.25" customHeight="1" x14ac:dyDescent="0.4">
      <c r="A43" s="306" t="s">
        <v>71</v>
      </c>
      <c r="B43" s="307">
        <v>1</v>
      </c>
      <c r="C43" s="332" t="s">
        <v>72</v>
      </c>
      <c r="D43" s="333">
        <v>14.87</v>
      </c>
      <c r="E43" s="321"/>
      <c r="F43" s="333">
        <v>16.649999999999999</v>
      </c>
      <c r="H43" s="331"/>
    </row>
    <row r="44" spans="1:14" ht="26.25" customHeight="1" x14ac:dyDescent="0.4">
      <c r="A44" s="306" t="s">
        <v>73</v>
      </c>
      <c r="B44" s="307">
        <v>1</v>
      </c>
      <c r="C44" s="334" t="s">
        <v>74</v>
      </c>
      <c r="D44" s="335">
        <f>D43*$B$34</f>
        <v>14.87</v>
      </c>
      <c r="E44" s="336"/>
      <c r="F44" s="335">
        <f>F43*$B$34</f>
        <v>16.649999999999999</v>
      </c>
      <c r="H44" s="331"/>
    </row>
    <row r="45" spans="1:14" ht="19.5" customHeight="1" x14ac:dyDescent="0.3">
      <c r="A45" s="306" t="s">
        <v>75</v>
      </c>
      <c r="B45" s="337">
        <f>(B44/B43)*(B42/B41)*(B40/B39)*(B38/B37)*B36</f>
        <v>250</v>
      </c>
      <c r="C45" s="334" t="s">
        <v>76</v>
      </c>
      <c r="D45" s="338">
        <f>D44*$B$30/100</f>
        <v>14.691559999999999</v>
      </c>
      <c r="E45" s="339"/>
      <c r="F45" s="338">
        <f>F44*$B$30/100</f>
        <v>16.450199999999999</v>
      </c>
      <c r="H45" s="331"/>
    </row>
    <row r="46" spans="1:14" ht="19.5" customHeight="1" x14ac:dyDescent="0.3">
      <c r="A46" s="686" t="s">
        <v>77</v>
      </c>
      <c r="B46" s="687"/>
      <c r="C46" s="334" t="s">
        <v>78</v>
      </c>
      <c r="D46" s="340">
        <f>D45/$B$45</f>
        <v>5.8766239999999997E-2</v>
      </c>
      <c r="E46" s="341"/>
      <c r="F46" s="342">
        <f>F45/$B$45</f>
        <v>6.5800799999999993E-2</v>
      </c>
      <c r="H46" s="331"/>
    </row>
    <row r="47" spans="1:14" ht="27" customHeight="1" x14ac:dyDescent="0.4">
      <c r="A47" s="688"/>
      <c r="B47" s="689"/>
      <c r="C47" s="343" t="s">
        <v>79</v>
      </c>
      <c r="D47" s="344">
        <v>0.06</v>
      </c>
      <c r="E47" s="345"/>
      <c r="F47" s="341"/>
      <c r="H47" s="331"/>
    </row>
    <row r="48" spans="1:14" ht="18.75" x14ac:dyDescent="0.3">
      <c r="C48" s="346" t="s">
        <v>80</v>
      </c>
      <c r="D48" s="338">
        <f>D47*$B$45</f>
        <v>15</v>
      </c>
      <c r="F48" s="347"/>
      <c r="H48" s="331"/>
    </row>
    <row r="49" spans="1:12" ht="19.5" customHeight="1" x14ac:dyDescent="0.3">
      <c r="C49" s="348" t="s">
        <v>81</v>
      </c>
      <c r="D49" s="349">
        <f>D48/B34</f>
        <v>15</v>
      </c>
      <c r="F49" s="347"/>
      <c r="H49" s="331"/>
    </row>
    <row r="50" spans="1:12" ht="18.75" x14ac:dyDescent="0.3">
      <c r="C50" s="304" t="s">
        <v>82</v>
      </c>
      <c r="D50" s="350">
        <f>AVERAGE(E38:E41,G38:G41)</f>
        <v>12593813.322653182</v>
      </c>
      <c r="F50" s="351"/>
      <c r="H50" s="331"/>
    </row>
    <row r="51" spans="1:12" ht="18.75" x14ac:dyDescent="0.3">
      <c r="C51" s="306" t="s">
        <v>83</v>
      </c>
      <c r="D51" s="352">
        <f>STDEV(E38:E41,G38:G41)/D50</f>
        <v>4.7285871472475278E-3</v>
      </c>
      <c r="F51" s="351"/>
      <c r="H51" s="331"/>
    </row>
    <row r="52" spans="1:12" ht="19.5" customHeight="1" x14ac:dyDescent="0.3">
      <c r="C52" s="353" t="s">
        <v>19</v>
      </c>
      <c r="D52" s="354">
        <f>COUNT(E38:E41,G38:G41)</f>
        <v>6</v>
      </c>
      <c r="F52" s="351"/>
    </row>
    <row r="54" spans="1:12" ht="18.75" x14ac:dyDescent="0.3">
      <c r="A54" s="355" t="s">
        <v>1</v>
      </c>
      <c r="B54" s="356" t="s">
        <v>84</v>
      </c>
    </row>
    <row r="55" spans="1:12" ht="18.75" x14ac:dyDescent="0.3">
      <c r="A55" s="282" t="s">
        <v>85</v>
      </c>
      <c r="B55" s="357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358" t="s">
        <v>86</v>
      </c>
      <c r="B56" s="359">
        <v>300</v>
      </c>
      <c r="C56" s="282" t="str">
        <f>B20</f>
        <v>Efavirenz 600mg, Lamivudine 300mg and Tenofovir Disoproxil Fumarate 300mg Tablets</v>
      </c>
      <c r="H56" s="360"/>
    </row>
    <row r="57" spans="1:12" ht="18.75" x14ac:dyDescent="0.3">
      <c r="A57" s="357" t="s">
        <v>87</v>
      </c>
      <c r="B57" s="449">
        <f>Uniformity!C46</f>
        <v>1907.5930000000001</v>
      </c>
      <c r="H57" s="360"/>
    </row>
    <row r="58" spans="1:12" ht="19.5" customHeight="1" x14ac:dyDescent="0.3">
      <c r="H58" s="360"/>
    </row>
    <row r="59" spans="1:12" s="14" customFormat="1" ht="27" customHeight="1" x14ac:dyDescent="0.4">
      <c r="A59" s="304" t="s">
        <v>88</v>
      </c>
      <c r="B59" s="305">
        <v>200</v>
      </c>
      <c r="C59" s="282"/>
      <c r="D59" s="361" t="s">
        <v>89</v>
      </c>
      <c r="E59" s="362" t="s">
        <v>61</v>
      </c>
      <c r="F59" s="362" t="s">
        <v>62</v>
      </c>
      <c r="G59" s="362" t="s">
        <v>90</v>
      </c>
      <c r="H59" s="308" t="s">
        <v>91</v>
      </c>
      <c r="L59" s="294"/>
    </row>
    <row r="60" spans="1:12" s="14" customFormat="1" ht="26.25" customHeight="1" x14ac:dyDescent="0.4">
      <c r="A60" s="306" t="s">
        <v>92</v>
      </c>
      <c r="B60" s="307">
        <v>4</v>
      </c>
      <c r="C60" s="690" t="s">
        <v>93</v>
      </c>
      <c r="D60" s="693">
        <v>1916.55</v>
      </c>
      <c r="E60" s="363">
        <v>1</v>
      </c>
      <c r="F60" s="364">
        <v>12744866</v>
      </c>
      <c r="G60" s="450">
        <f>IF(ISBLANK(F60),"-",(F60/$D$50*$D$47*$B$68)*($B$57/$D$60))</f>
        <v>302.17939205493519</v>
      </c>
      <c r="H60" s="365">
        <f t="shared" ref="H60:H71" si="0">IF(ISBLANK(F60),"-",G60/$B$56)</f>
        <v>1.0072646401831173</v>
      </c>
      <c r="L60" s="294"/>
    </row>
    <row r="61" spans="1:12" s="14" customFormat="1" ht="26.25" customHeight="1" x14ac:dyDescent="0.4">
      <c r="A61" s="306" t="s">
        <v>94</v>
      </c>
      <c r="B61" s="307">
        <v>100</v>
      </c>
      <c r="C61" s="691"/>
      <c r="D61" s="694"/>
      <c r="E61" s="366">
        <v>2</v>
      </c>
      <c r="F61" s="318">
        <v>12753795</v>
      </c>
      <c r="G61" s="451">
        <f>IF(ISBLANK(F61),"-",(F61/$D$50*$D$47*$B$68)*($B$57/$D$60))</f>
        <v>302.39109767754894</v>
      </c>
      <c r="H61" s="367">
        <f t="shared" si="0"/>
        <v>1.0079703255918298</v>
      </c>
      <c r="L61" s="294"/>
    </row>
    <row r="62" spans="1:12" s="14" customFormat="1" ht="26.25" customHeight="1" x14ac:dyDescent="0.4">
      <c r="A62" s="306" t="s">
        <v>95</v>
      </c>
      <c r="B62" s="307">
        <v>1</v>
      </c>
      <c r="C62" s="691"/>
      <c r="D62" s="694"/>
      <c r="E62" s="366">
        <v>3</v>
      </c>
      <c r="F62" s="368">
        <v>12804084</v>
      </c>
      <c r="G62" s="451">
        <f>IF(ISBLANK(F62),"-",(F62/$D$50*$D$47*$B$68)*($B$57/$D$60))</f>
        <v>303.58344441913499</v>
      </c>
      <c r="H62" s="367">
        <f t="shared" si="0"/>
        <v>1.0119448147304499</v>
      </c>
      <c r="L62" s="294"/>
    </row>
    <row r="63" spans="1:12" ht="27" customHeight="1" x14ac:dyDescent="0.4">
      <c r="A63" s="306" t="s">
        <v>96</v>
      </c>
      <c r="B63" s="307">
        <v>1</v>
      </c>
      <c r="C63" s="692"/>
      <c r="D63" s="695"/>
      <c r="E63" s="369">
        <v>4</v>
      </c>
      <c r="F63" s="370"/>
      <c r="G63" s="451" t="str">
        <f>IF(ISBLANK(F63),"-",(F63/$D$50*$D$47*$B$68)*($B$57/$D$60))</f>
        <v>-</v>
      </c>
      <c r="H63" s="367" t="str">
        <f t="shared" si="0"/>
        <v>-</v>
      </c>
    </row>
    <row r="64" spans="1:12" ht="26.25" customHeight="1" x14ac:dyDescent="0.4">
      <c r="A64" s="306" t="s">
        <v>97</v>
      </c>
      <c r="B64" s="307">
        <v>1</v>
      </c>
      <c r="C64" s="690" t="s">
        <v>98</v>
      </c>
      <c r="D64" s="693">
        <v>1917.48</v>
      </c>
      <c r="E64" s="363">
        <v>1</v>
      </c>
      <c r="F64" s="364">
        <v>12606875</v>
      </c>
      <c r="G64" s="452">
        <f>IF(ISBLANK(F64),"-",(F64/$D$50*$D$47*$B$68)*($B$57/$D$64))</f>
        <v>298.76266672891137</v>
      </c>
      <c r="H64" s="371">
        <f t="shared" si="0"/>
        <v>0.99587555576303788</v>
      </c>
    </row>
    <row r="65" spans="1:8" ht="26.25" customHeight="1" x14ac:dyDescent="0.4">
      <c r="A65" s="306" t="s">
        <v>99</v>
      </c>
      <c r="B65" s="307">
        <v>1</v>
      </c>
      <c r="C65" s="691"/>
      <c r="D65" s="694"/>
      <c r="E65" s="366">
        <v>2</v>
      </c>
      <c r="F65" s="318">
        <v>12621771</v>
      </c>
      <c r="G65" s="453">
        <f>IF(ISBLANK(F65),"-",(F65/$D$50*$D$47*$B$68)*($B$57/$D$64))</f>
        <v>299.11567797742407</v>
      </c>
      <c r="H65" s="372">
        <f t="shared" si="0"/>
        <v>0.99705225992474689</v>
      </c>
    </row>
    <row r="66" spans="1:8" ht="26.25" customHeight="1" x14ac:dyDescent="0.4">
      <c r="A66" s="306" t="s">
        <v>100</v>
      </c>
      <c r="B66" s="307">
        <v>1</v>
      </c>
      <c r="C66" s="691"/>
      <c r="D66" s="694"/>
      <c r="E66" s="366">
        <v>3</v>
      </c>
      <c r="F66" s="318">
        <v>12599676</v>
      </c>
      <c r="G66" s="453">
        <f>IF(ISBLANK(F66),"-",(F66/$D$50*$D$47*$B$68)*($B$57/$D$64))</f>
        <v>298.5920620042844</v>
      </c>
      <c r="H66" s="372">
        <f t="shared" si="0"/>
        <v>0.9953068733476147</v>
      </c>
    </row>
    <row r="67" spans="1:8" ht="27" customHeight="1" x14ac:dyDescent="0.4">
      <c r="A67" s="306" t="s">
        <v>101</v>
      </c>
      <c r="B67" s="307">
        <v>1</v>
      </c>
      <c r="C67" s="692"/>
      <c r="D67" s="695"/>
      <c r="E67" s="369">
        <v>4</v>
      </c>
      <c r="F67" s="370"/>
      <c r="G67" s="454" t="str">
        <f>IF(ISBLANK(F67),"-",(F67/$D$50*$D$47*$B$68)*($B$57/$D$64))</f>
        <v>-</v>
      </c>
      <c r="H67" s="373" t="str">
        <f t="shared" si="0"/>
        <v>-</v>
      </c>
    </row>
    <row r="68" spans="1:8" ht="26.25" customHeight="1" x14ac:dyDescent="0.4">
      <c r="A68" s="306" t="s">
        <v>102</v>
      </c>
      <c r="B68" s="374">
        <f>(B67/B66)*(B65/B64)*(B63/B62)*(B61/B60)*B59</f>
        <v>5000</v>
      </c>
      <c r="C68" s="690" t="s">
        <v>103</v>
      </c>
      <c r="D68" s="693">
        <v>1914.73</v>
      </c>
      <c r="E68" s="363">
        <v>1</v>
      </c>
      <c r="F68" s="364">
        <v>12177783</v>
      </c>
      <c r="G68" s="452">
        <f>IF(ISBLANK(F68),"-",(F68/$D$50*$D$47*$B$68)*($B$57/$D$68))</f>
        <v>289.00836455998927</v>
      </c>
      <c r="H68" s="367">
        <f t="shared" si="0"/>
        <v>0.9633612151999642</v>
      </c>
    </row>
    <row r="69" spans="1:8" ht="27" customHeight="1" x14ac:dyDescent="0.4">
      <c r="A69" s="353" t="s">
        <v>104</v>
      </c>
      <c r="B69" s="375">
        <f>(D47*B68)/B56*B57</f>
        <v>1907.5930000000001</v>
      </c>
      <c r="C69" s="691"/>
      <c r="D69" s="694"/>
      <c r="E69" s="366">
        <v>2</v>
      </c>
      <c r="F69" s="318">
        <v>12262809</v>
      </c>
      <c r="G69" s="453">
        <f>IF(ISBLANK(F69),"-",(F69/$D$50*$D$47*$B$68)*($B$57/$D$68))</f>
        <v>291.02623802719398</v>
      </c>
      <c r="H69" s="367">
        <f t="shared" si="0"/>
        <v>0.97008746009064661</v>
      </c>
    </row>
    <row r="70" spans="1:8" ht="26.25" customHeight="1" x14ac:dyDescent="0.4">
      <c r="A70" s="703" t="s">
        <v>77</v>
      </c>
      <c r="B70" s="704"/>
      <c r="C70" s="691"/>
      <c r="D70" s="694"/>
      <c r="E70" s="366">
        <v>3</v>
      </c>
      <c r="F70" s="318">
        <v>12202157</v>
      </c>
      <c r="G70" s="453">
        <f>IF(ISBLANK(F70),"-",(F70/$D$50*$D$47*$B$68)*($B$57/$D$68))</f>
        <v>289.58681877269652</v>
      </c>
      <c r="H70" s="367">
        <f t="shared" si="0"/>
        <v>0.96528939590898843</v>
      </c>
    </row>
    <row r="71" spans="1:8" ht="27" customHeight="1" x14ac:dyDescent="0.4">
      <c r="A71" s="705"/>
      <c r="B71" s="706"/>
      <c r="C71" s="702"/>
      <c r="D71" s="695"/>
      <c r="E71" s="369">
        <v>4</v>
      </c>
      <c r="F71" s="370"/>
      <c r="G71" s="454" t="str">
        <f>IF(ISBLANK(F71),"-",(F71/$D$50*$D$47*$B$68)*($B$57/$D$68))</f>
        <v>-</v>
      </c>
      <c r="H71" s="376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70</v>
      </c>
      <c r="G72" s="459">
        <f>AVERAGE(G60:G71)</f>
        <v>297.13841802467982</v>
      </c>
      <c r="H72" s="380">
        <f>AVERAGE(H60:H71)</f>
        <v>0.99046139341559958</v>
      </c>
    </row>
    <row r="73" spans="1:8" ht="26.25" customHeight="1" x14ac:dyDescent="0.4">
      <c r="C73" s="377"/>
      <c r="D73" s="377"/>
      <c r="E73" s="377"/>
      <c r="F73" s="381" t="s">
        <v>83</v>
      </c>
      <c r="G73" s="455">
        <f>STDEV(G60:G71)/G72</f>
        <v>1.9321392815650092E-2</v>
      </c>
      <c r="H73" s="455">
        <f>STDEV(H60:H71)/H72</f>
        <v>1.9321392815650089E-2</v>
      </c>
    </row>
    <row r="74" spans="1:8" ht="27" customHeight="1" x14ac:dyDescent="0.4">
      <c r="A74" s="377"/>
      <c r="B74" s="377"/>
      <c r="C74" s="378"/>
      <c r="D74" s="378"/>
      <c r="E74" s="382"/>
      <c r="F74" s="383" t="s">
        <v>19</v>
      </c>
      <c r="G74" s="384">
        <f>COUNT(G60:G71)</f>
        <v>9</v>
      </c>
      <c r="H74" s="384">
        <f>COUNT(H60:H71)</f>
        <v>9</v>
      </c>
    </row>
    <row r="76" spans="1:8" ht="26.25" customHeight="1" x14ac:dyDescent="0.4">
      <c r="A76" s="290" t="s">
        <v>105</v>
      </c>
      <c r="B76" s="385" t="s">
        <v>106</v>
      </c>
      <c r="C76" s="698" t="str">
        <f>B20</f>
        <v>Efavirenz 600mg, Lamivudine 300mg and Tenofovir Disoproxil Fumarate 300mg Tablets</v>
      </c>
      <c r="D76" s="698"/>
      <c r="E76" s="386" t="s">
        <v>107</v>
      </c>
      <c r="F76" s="386"/>
      <c r="G76" s="387">
        <f>H72</f>
        <v>0.99046139341559958</v>
      </c>
      <c r="H76" s="388"/>
    </row>
    <row r="77" spans="1:8" ht="18.75" x14ac:dyDescent="0.3">
      <c r="A77" s="289" t="s">
        <v>108</v>
      </c>
      <c r="B77" s="289" t="s">
        <v>109</v>
      </c>
    </row>
    <row r="78" spans="1:8" ht="18.75" x14ac:dyDescent="0.3">
      <c r="A78" s="289"/>
      <c r="B78" s="289"/>
    </row>
    <row r="79" spans="1:8" ht="26.25" customHeight="1" x14ac:dyDescent="0.4">
      <c r="A79" s="290" t="s">
        <v>4</v>
      </c>
      <c r="B79" s="684" t="str">
        <f>B26</f>
        <v>Tenofovir Disoproxil Fumarate</v>
      </c>
      <c r="C79" s="684"/>
    </row>
    <row r="80" spans="1:8" ht="26.25" customHeight="1" x14ac:dyDescent="0.4">
      <c r="A80" s="291" t="s">
        <v>47</v>
      </c>
      <c r="B80" s="684" t="str">
        <f>B27</f>
        <v>T11-6</v>
      </c>
      <c r="C80" s="684"/>
    </row>
    <row r="81" spans="1:12" ht="27" customHeight="1" x14ac:dyDescent="0.4">
      <c r="A81" s="291" t="s">
        <v>6</v>
      </c>
      <c r="B81" s="389">
        <f>B28</f>
        <v>98.8</v>
      </c>
    </row>
    <row r="82" spans="1:12" s="14" customFormat="1" ht="27" customHeight="1" x14ac:dyDescent="0.4">
      <c r="A82" s="291" t="s">
        <v>48</v>
      </c>
      <c r="B82" s="293">
        <v>0</v>
      </c>
      <c r="C82" s="675" t="s">
        <v>49</v>
      </c>
      <c r="D82" s="676"/>
      <c r="E82" s="676"/>
      <c r="F82" s="676"/>
      <c r="G82" s="677"/>
      <c r="I82" s="294"/>
      <c r="J82" s="294"/>
      <c r="K82" s="294"/>
      <c r="L82" s="294"/>
    </row>
    <row r="83" spans="1:12" s="14" customFormat="1" ht="19.5" customHeight="1" x14ac:dyDescent="0.3">
      <c r="A83" s="291" t="s">
        <v>50</v>
      </c>
      <c r="B83" s="295">
        <f>B81-B82</f>
        <v>98.8</v>
      </c>
      <c r="C83" s="296"/>
      <c r="D83" s="296"/>
      <c r="E83" s="296"/>
      <c r="F83" s="296"/>
      <c r="G83" s="297"/>
      <c r="I83" s="294"/>
      <c r="J83" s="294"/>
      <c r="K83" s="294"/>
      <c r="L83" s="294"/>
    </row>
    <row r="84" spans="1:12" s="14" customFormat="1" ht="27" customHeight="1" x14ac:dyDescent="0.4">
      <c r="A84" s="291" t="s">
        <v>51</v>
      </c>
      <c r="B84" s="298">
        <v>1</v>
      </c>
      <c r="C84" s="678" t="s">
        <v>110</v>
      </c>
      <c r="D84" s="679"/>
      <c r="E84" s="679"/>
      <c r="F84" s="679"/>
      <c r="G84" s="679"/>
      <c r="H84" s="680"/>
      <c r="I84" s="294"/>
      <c r="J84" s="294"/>
      <c r="K84" s="294"/>
      <c r="L84" s="294"/>
    </row>
    <row r="85" spans="1:12" s="14" customFormat="1" ht="27" customHeight="1" x14ac:dyDescent="0.4">
      <c r="A85" s="291" t="s">
        <v>53</v>
      </c>
      <c r="B85" s="298">
        <v>1</v>
      </c>
      <c r="C85" s="678" t="s">
        <v>111</v>
      </c>
      <c r="D85" s="679"/>
      <c r="E85" s="679"/>
      <c r="F85" s="679"/>
      <c r="G85" s="679"/>
      <c r="H85" s="680"/>
      <c r="I85" s="294"/>
      <c r="J85" s="294"/>
      <c r="K85" s="294"/>
      <c r="L85" s="294"/>
    </row>
    <row r="86" spans="1:12" s="14" customFormat="1" ht="18.75" x14ac:dyDescent="0.3">
      <c r="A86" s="291"/>
      <c r="B86" s="301"/>
      <c r="C86" s="302"/>
      <c r="D86" s="302"/>
      <c r="E86" s="302"/>
      <c r="F86" s="302"/>
      <c r="G86" s="302"/>
      <c r="H86" s="302"/>
      <c r="I86" s="294"/>
      <c r="J86" s="294"/>
      <c r="K86" s="294"/>
      <c r="L86" s="294"/>
    </row>
    <row r="87" spans="1:12" s="14" customFormat="1" ht="18.75" x14ac:dyDescent="0.3">
      <c r="A87" s="291" t="s">
        <v>55</v>
      </c>
      <c r="B87" s="303">
        <f>B84/B85</f>
        <v>1</v>
      </c>
      <c r="C87" s="282" t="s">
        <v>56</v>
      </c>
      <c r="D87" s="282"/>
      <c r="E87" s="282"/>
      <c r="F87" s="282"/>
      <c r="G87" s="282"/>
      <c r="I87" s="294"/>
      <c r="J87" s="294"/>
      <c r="K87" s="294"/>
      <c r="L87" s="294"/>
    </row>
    <row r="88" spans="1:12" ht="19.5" customHeight="1" x14ac:dyDescent="0.3">
      <c r="A88" s="289"/>
      <c r="B88" s="289"/>
    </row>
    <row r="89" spans="1:12" ht="27" customHeight="1" x14ac:dyDescent="0.4">
      <c r="A89" s="304" t="s">
        <v>57</v>
      </c>
      <c r="B89" s="305">
        <v>25</v>
      </c>
      <c r="D89" s="390" t="s">
        <v>58</v>
      </c>
      <c r="E89" s="391"/>
      <c r="F89" s="681" t="s">
        <v>59</v>
      </c>
      <c r="G89" s="683"/>
    </row>
    <row r="90" spans="1:12" ht="27" customHeight="1" x14ac:dyDescent="0.4">
      <c r="A90" s="306" t="s">
        <v>60</v>
      </c>
      <c r="B90" s="307">
        <v>10</v>
      </c>
      <c r="C90" s="392" t="s">
        <v>61</v>
      </c>
      <c r="D90" s="309" t="s">
        <v>62</v>
      </c>
      <c r="E90" s="310" t="s">
        <v>63</v>
      </c>
      <c r="F90" s="309" t="s">
        <v>62</v>
      </c>
      <c r="G90" s="393" t="s">
        <v>63</v>
      </c>
      <c r="I90" s="312" t="s">
        <v>64</v>
      </c>
    </row>
    <row r="91" spans="1:12" ht="26.25" customHeight="1" x14ac:dyDescent="0.4">
      <c r="A91" s="306" t="s">
        <v>65</v>
      </c>
      <c r="B91" s="307">
        <v>20</v>
      </c>
      <c r="C91" s="394">
        <v>1</v>
      </c>
      <c r="D91" s="653">
        <v>59715027</v>
      </c>
      <c r="E91" s="314">
        <f>IF(ISBLANK(D91),"-",$D$101/$D$98*D91)</f>
        <v>60968706.182325102</v>
      </c>
      <c r="F91" s="653">
        <v>67518214</v>
      </c>
      <c r="G91" s="315">
        <f>IF(ISBLANK(F91),"-",$D$101/$F$98*F91)</f>
        <v>61566011.963380389</v>
      </c>
      <c r="I91" s="316"/>
    </row>
    <row r="92" spans="1:12" ht="26.25" customHeight="1" x14ac:dyDescent="0.4">
      <c r="A92" s="306" t="s">
        <v>66</v>
      </c>
      <c r="B92" s="307">
        <v>1</v>
      </c>
      <c r="C92" s="378">
        <v>2</v>
      </c>
      <c r="D92" s="654">
        <v>59587886</v>
      </c>
      <c r="E92" s="319">
        <f>IF(ISBLANK(D92),"-",$D$101/$D$98*D92)</f>
        <v>60838895.937531494</v>
      </c>
      <c r="F92" s="654">
        <v>66967850</v>
      </c>
      <c r="G92" s="320">
        <f>IF(ISBLANK(F92),"-",$D$101/$F$98*F92)</f>
        <v>61064166.39311377</v>
      </c>
      <c r="I92" s="685">
        <f>ABS((F96/D96*D95)-F95)/D95</f>
        <v>3.8481712936150264E-3</v>
      </c>
    </row>
    <row r="93" spans="1:12" ht="26.25" customHeight="1" x14ac:dyDescent="0.4">
      <c r="A93" s="306" t="s">
        <v>67</v>
      </c>
      <c r="B93" s="307">
        <v>1</v>
      </c>
      <c r="C93" s="378">
        <v>3</v>
      </c>
      <c r="D93" s="654">
        <v>60461015</v>
      </c>
      <c r="E93" s="319">
        <f>IF(ISBLANK(D93),"-",$D$101/$D$98*D93)</f>
        <v>61730355.728050672</v>
      </c>
      <c r="F93" s="654">
        <v>67488106</v>
      </c>
      <c r="G93" s="320">
        <f>IF(ISBLANK(F93),"-",$D$101/$F$98*F93)</f>
        <v>61538558.193821356</v>
      </c>
      <c r="I93" s="685"/>
    </row>
    <row r="94" spans="1:12" ht="27" customHeight="1" x14ac:dyDescent="0.4">
      <c r="A94" s="306" t="s">
        <v>68</v>
      </c>
      <c r="B94" s="307">
        <v>1</v>
      </c>
      <c r="C94" s="395">
        <v>4</v>
      </c>
      <c r="D94" s="323"/>
      <c r="E94" s="324" t="str">
        <f>IF(ISBLANK(D94),"-",$D$101/$D$98*D94)</f>
        <v>-</v>
      </c>
      <c r="F94" s="396"/>
      <c r="G94" s="325" t="str">
        <f>IF(ISBLANK(F94),"-",$D$101/$F$98*F94)</f>
        <v>-</v>
      </c>
      <c r="I94" s="326"/>
    </row>
    <row r="95" spans="1:12" ht="27" customHeight="1" x14ac:dyDescent="0.4">
      <c r="A95" s="306" t="s">
        <v>69</v>
      </c>
      <c r="B95" s="307">
        <v>1</v>
      </c>
      <c r="C95" s="397" t="s">
        <v>70</v>
      </c>
      <c r="D95" s="398">
        <f>AVERAGE(D91:D94)</f>
        <v>59921309.333333336</v>
      </c>
      <c r="E95" s="329">
        <f>AVERAGE(E91:E94)</f>
        <v>61179319.282635756</v>
      </c>
      <c r="F95" s="399">
        <f>AVERAGE(F91:F94)</f>
        <v>67324723.333333328</v>
      </c>
      <c r="G95" s="400">
        <f>AVERAGE(G91:G94)</f>
        <v>61389578.850105166</v>
      </c>
    </row>
    <row r="96" spans="1:12" ht="26.25" customHeight="1" x14ac:dyDescent="0.4">
      <c r="A96" s="306" t="s">
        <v>71</v>
      </c>
      <c r="B96" s="292">
        <v>1</v>
      </c>
      <c r="C96" s="401" t="s">
        <v>112</v>
      </c>
      <c r="D96" s="402">
        <v>14.87</v>
      </c>
      <c r="E96" s="321"/>
      <c r="F96" s="333">
        <v>16.649999999999999</v>
      </c>
    </row>
    <row r="97" spans="1:10" ht="26.25" customHeight="1" x14ac:dyDescent="0.4">
      <c r="A97" s="306" t="s">
        <v>73</v>
      </c>
      <c r="B97" s="292">
        <v>1</v>
      </c>
      <c r="C97" s="403" t="s">
        <v>113</v>
      </c>
      <c r="D97" s="404">
        <f>D96*$B$87</f>
        <v>14.87</v>
      </c>
      <c r="E97" s="336"/>
      <c r="F97" s="335">
        <f>F96*$B$87</f>
        <v>16.649999999999999</v>
      </c>
    </row>
    <row r="98" spans="1:10" ht="19.5" customHeight="1" x14ac:dyDescent="0.3">
      <c r="A98" s="306" t="s">
        <v>75</v>
      </c>
      <c r="B98" s="405">
        <f>(B97/B96)*(B95/B94)*(B93/B92)*(B91/B90)*B89</f>
        <v>50</v>
      </c>
      <c r="C98" s="403" t="s">
        <v>114</v>
      </c>
      <c r="D98" s="406">
        <f>D97*$B$83/100</f>
        <v>14.691559999999999</v>
      </c>
      <c r="E98" s="339"/>
      <c r="F98" s="338">
        <f>F97*$B$83/100</f>
        <v>16.450199999999999</v>
      </c>
    </row>
    <row r="99" spans="1:10" ht="19.5" customHeight="1" x14ac:dyDescent="0.3">
      <c r="A99" s="686" t="s">
        <v>77</v>
      </c>
      <c r="B99" s="700"/>
      <c r="C99" s="403" t="s">
        <v>115</v>
      </c>
      <c r="D99" s="407">
        <f>D98/$B$98</f>
        <v>0.29383119999999996</v>
      </c>
      <c r="E99" s="339"/>
      <c r="F99" s="342">
        <f>F98/$B$98</f>
        <v>0.32900399999999996</v>
      </c>
      <c r="G99" s="408"/>
      <c r="H99" s="331"/>
    </row>
    <row r="100" spans="1:10" ht="19.5" customHeight="1" x14ac:dyDescent="0.3">
      <c r="A100" s="688"/>
      <c r="B100" s="701"/>
      <c r="C100" s="403" t="s">
        <v>79</v>
      </c>
      <c r="D100" s="409">
        <f>$B$56/$B$116</f>
        <v>0.3</v>
      </c>
      <c r="F100" s="347"/>
      <c r="G100" s="410"/>
      <c r="H100" s="331"/>
    </row>
    <row r="101" spans="1:10" ht="18.75" x14ac:dyDescent="0.3">
      <c r="C101" s="403" t="s">
        <v>80</v>
      </c>
      <c r="D101" s="404">
        <f>D100*$B$98</f>
        <v>15</v>
      </c>
      <c r="F101" s="347"/>
      <c r="G101" s="408"/>
      <c r="H101" s="331"/>
    </row>
    <row r="102" spans="1:10" ht="19.5" customHeight="1" x14ac:dyDescent="0.3">
      <c r="C102" s="411" t="s">
        <v>81</v>
      </c>
      <c r="D102" s="412">
        <f>D101/B34</f>
        <v>15</v>
      </c>
      <c r="F102" s="351"/>
      <c r="G102" s="408"/>
      <c r="H102" s="331"/>
      <c r="J102" s="413"/>
    </row>
    <row r="103" spans="1:10" ht="18.75" x14ac:dyDescent="0.3">
      <c r="C103" s="414" t="s">
        <v>116</v>
      </c>
      <c r="D103" s="415">
        <f>AVERAGE(E91:E94,G91:G94)</f>
        <v>61284449.066370465</v>
      </c>
      <c r="F103" s="351"/>
      <c r="G103" s="416"/>
      <c r="H103" s="331"/>
      <c r="J103" s="417"/>
    </row>
    <row r="104" spans="1:10" ht="18.75" x14ac:dyDescent="0.3">
      <c r="C104" s="381" t="s">
        <v>83</v>
      </c>
      <c r="D104" s="418">
        <f>STDEV(E91:E94,G91:G94)/D103</f>
        <v>6.0590684242348685E-3</v>
      </c>
      <c r="F104" s="351"/>
      <c r="G104" s="408"/>
      <c r="H104" s="331"/>
      <c r="J104" s="417"/>
    </row>
    <row r="105" spans="1:10" ht="19.5" customHeight="1" x14ac:dyDescent="0.3">
      <c r="C105" s="383" t="s">
        <v>19</v>
      </c>
      <c r="D105" s="419">
        <f>COUNT(E91:E94,G91:G94)</f>
        <v>6</v>
      </c>
      <c r="F105" s="351"/>
      <c r="G105" s="408"/>
      <c r="H105" s="331"/>
      <c r="J105" s="417"/>
    </row>
    <row r="106" spans="1:10" ht="19.5" customHeight="1" x14ac:dyDescent="0.3">
      <c r="A106" s="355"/>
      <c r="B106" s="355"/>
      <c r="C106" s="355"/>
      <c r="D106" s="355"/>
      <c r="E106" s="355"/>
    </row>
    <row r="107" spans="1:10" ht="26.25" customHeight="1" x14ac:dyDescent="0.4">
      <c r="A107" s="304" t="s">
        <v>117</v>
      </c>
      <c r="B107" s="305">
        <v>1000</v>
      </c>
      <c r="C107" s="420" t="s">
        <v>118</v>
      </c>
      <c r="D107" s="421" t="s">
        <v>62</v>
      </c>
      <c r="E107" s="422" t="s">
        <v>119</v>
      </c>
      <c r="F107" s="423" t="s">
        <v>120</v>
      </c>
    </row>
    <row r="108" spans="1:10" ht="26.25" customHeight="1" x14ac:dyDescent="0.4">
      <c r="A108" s="306" t="s">
        <v>121</v>
      </c>
      <c r="B108" s="307">
        <v>1</v>
      </c>
      <c r="C108" s="424">
        <v>1</v>
      </c>
      <c r="D108" s="425">
        <v>59895645</v>
      </c>
      <c r="E108" s="456">
        <f t="shared" ref="E108:E113" si="1">IF(ISBLANK(D108),"-",D108/$D$103*$D$100*$B$116)</f>
        <v>293.2015180643964</v>
      </c>
      <c r="F108" s="426">
        <f t="shared" ref="F108:F113" si="2">IF(ISBLANK(D108), "-", E108/$B$56)</f>
        <v>0.97733839354798802</v>
      </c>
    </row>
    <row r="109" spans="1:10" ht="26.25" customHeight="1" x14ac:dyDescent="0.4">
      <c r="A109" s="306" t="s">
        <v>94</v>
      </c>
      <c r="B109" s="307">
        <v>1</v>
      </c>
      <c r="C109" s="424">
        <v>2</v>
      </c>
      <c r="D109" s="425">
        <v>61479666</v>
      </c>
      <c r="E109" s="457">
        <f t="shared" si="1"/>
        <v>300.95562709596084</v>
      </c>
      <c r="F109" s="427">
        <f t="shared" si="2"/>
        <v>1.0031854236532027</v>
      </c>
    </row>
    <row r="110" spans="1:10" ht="26.25" customHeight="1" x14ac:dyDescent="0.4">
      <c r="A110" s="306" t="s">
        <v>95</v>
      </c>
      <c r="B110" s="307">
        <v>1</v>
      </c>
      <c r="C110" s="424">
        <v>3</v>
      </c>
      <c r="D110" s="425">
        <v>62483693</v>
      </c>
      <c r="E110" s="457">
        <f t="shared" si="1"/>
        <v>305.87054604503709</v>
      </c>
      <c r="F110" s="427">
        <f t="shared" si="2"/>
        <v>1.0195684868167902</v>
      </c>
    </row>
    <row r="111" spans="1:10" ht="26.25" customHeight="1" x14ac:dyDescent="0.4">
      <c r="A111" s="306" t="s">
        <v>96</v>
      </c>
      <c r="B111" s="307">
        <v>1</v>
      </c>
      <c r="C111" s="424">
        <v>4</v>
      </c>
      <c r="D111" s="425">
        <v>61391911</v>
      </c>
      <c r="E111" s="457">
        <f t="shared" si="1"/>
        <v>300.52604829740653</v>
      </c>
      <c r="F111" s="427">
        <f t="shared" si="2"/>
        <v>1.0017534943246884</v>
      </c>
    </row>
    <row r="112" spans="1:10" ht="26.25" customHeight="1" x14ac:dyDescent="0.4">
      <c r="A112" s="306" t="s">
        <v>97</v>
      </c>
      <c r="B112" s="307">
        <v>1</v>
      </c>
      <c r="C112" s="424">
        <v>5</v>
      </c>
      <c r="D112" s="425">
        <v>62355584</v>
      </c>
      <c r="E112" s="457">
        <f t="shared" si="1"/>
        <v>305.24342610538685</v>
      </c>
      <c r="F112" s="427">
        <f t="shared" si="2"/>
        <v>1.0174780870179561</v>
      </c>
    </row>
    <row r="113" spans="1:10" ht="26.25" customHeight="1" x14ac:dyDescent="0.4">
      <c r="A113" s="306" t="s">
        <v>99</v>
      </c>
      <c r="B113" s="307">
        <v>1</v>
      </c>
      <c r="C113" s="428">
        <v>6</v>
      </c>
      <c r="D113" s="429">
        <v>59748311</v>
      </c>
      <c r="E113" s="458">
        <f t="shared" si="1"/>
        <v>292.48028779026708</v>
      </c>
      <c r="F113" s="430">
        <f t="shared" si="2"/>
        <v>0.9749342926342236</v>
      </c>
    </row>
    <row r="114" spans="1:10" ht="26.25" customHeight="1" x14ac:dyDescent="0.4">
      <c r="A114" s="306" t="s">
        <v>100</v>
      </c>
      <c r="B114" s="307">
        <v>1</v>
      </c>
      <c r="C114" s="424"/>
      <c r="D114" s="378"/>
      <c r="E114" s="281"/>
      <c r="F114" s="431"/>
    </row>
    <row r="115" spans="1:10" ht="26.25" customHeight="1" x14ac:dyDescent="0.4">
      <c r="A115" s="306" t="s">
        <v>101</v>
      </c>
      <c r="B115" s="307">
        <v>1</v>
      </c>
      <c r="C115" s="424"/>
      <c r="D115" s="432" t="s">
        <v>70</v>
      </c>
      <c r="E115" s="460">
        <f>AVERAGE(E108:E113)</f>
        <v>299.71290889974244</v>
      </c>
      <c r="F115" s="433">
        <f>AVERAGE(F108:F113)</f>
        <v>0.99904302966580827</v>
      </c>
    </row>
    <row r="116" spans="1:10" ht="27" customHeight="1" x14ac:dyDescent="0.4">
      <c r="A116" s="306" t="s">
        <v>102</v>
      </c>
      <c r="B116" s="337">
        <f>(B115/B114)*(B113/B112)*(B111/B110)*(B109/B108)*B107</f>
        <v>1000</v>
      </c>
      <c r="C116" s="434"/>
      <c r="D116" s="397" t="s">
        <v>83</v>
      </c>
      <c r="E116" s="435">
        <f>STDEV(E108:E113)/E115</f>
        <v>1.9191128353249851E-2</v>
      </c>
      <c r="F116" s="435">
        <f>STDEV(F108:F113)/F115</f>
        <v>1.919112835324981E-2</v>
      </c>
      <c r="I116" s="281"/>
    </row>
    <row r="117" spans="1:10" ht="27" customHeight="1" x14ac:dyDescent="0.4">
      <c r="A117" s="686" t="s">
        <v>77</v>
      </c>
      <c r="B117" s="687"/>
      <c r="C117" s="436"/>
      <c r="D117" s="437" t="s">
        <v>19</v>
      </c>
      <c r="E117" s="438">
        <f>COUNT(E108:E113)</f>
        <v>6</v>
      </c>
      <c r="F117" s="438">
        <f>COUNT(F108:F113)</f>
        <v>6</v>
      </c>
      <c r="I117" s="281"/>
      <c r="J117" s="417"/>
    </row>
    <row r="118" spans="1:10" ht="19.5" customHeight="1" x14ac:dyDescent="0.3">
      <c r="A118" s="688"/>
      <c r="B118" s="689"/>
      <c r="C118" s="281"/>
      <c r="D118" s="281"/>
      <c r="E118" s="281"/>
      <c r="F118" s="378"/>
      <c r="G118" s="281"/>
      <c r="H118" s="281"/>
      <c r="I118" s="281"/>
    </row>
    <row r="119" spans="1:10" ht="18.75" x14ac:dyDescent="0.3">
      <c r="A119" s="447"/>
      <c r="B119" s="302"/>
      <c r="C119" s="281"/>
      <c r="D119" s="281"/>
      <c r="E119" s="281"/>
      <c r="F119" s="378"/>
      <c r="G119" s="281"/>
      <c r="H119" s="281"/>
      <c r="I119" s="281"/>
    </row>
    <row r="120" spans="1:10" ht="26.25" customHeight="1" x14ac:dyDescent="0.4">
      <c r="A120" s="290" t="s">
        <v>105</v>
      </c>
      <c r="B120" s="385" t="s">
        <v>122</v>
      </c>
      <c r="C120" s="698" t="str">
        <f>B20</f>
        <v>Efavirenz 600mg, Lamivudine 300mg and Tenofovir Disoproxil Fumarate 300mg Tablets</v>
      </c>
      <c r="D120" s="698"/>
      <c r="E120" s="386" t="s">
        <v>123</v>
      </c>
      <c r="F120" s="386"/>
      <c r="G120" s="387">
        <f>F115</f>
        <v>0.99904302966580827</v>
      </c>
      <c r="H120" s="281"/>
      <c r="I120" s="281"/>
    </row>
    <row r="121" spans="1:10" ht="19.5" customHeight="1" x14ac:dyDescent="0.3">
      <c r="A121" s="439"/>
      <c r="B121" s="439"/>
      <c r="C121" s="440"/>
      <c r="D121" s="440"/>
      <c r="E121" s="440"/>
      <c r="F121" s="440"/>
      <c r="G121" s="440"/>
      <c r="H121" s="440"/>
    </row>
    <row r="122" spans="1:10" ht="18.75" x14ac:dyDescent="0.3">
      <c r="B122" s="699" t="s">
        <v>25</v>
      </c>
      <c r="C122" s="699"/>
      <c r="E122" s="392" t="s">
        <v>26</v>
      </c>
      <c r="F122" s="441"/>
      <c r="G122" s="699" t="s">
        <v>27</v>
      </c>
      <c r="H122" s="699"/>
    </row>
    <row r="123" spans="1:10" ht="69.95" customHeight="1" x14ac:dyDescent="0.3">
      <c r="A123" s="442" t="s">
        <v>28</v>
      </c>
      <c r="B123" s="443"/>
      <c r="C123" s="443"/>
      <c r="E123" s="443"/>
      <c r="F123" s="281"/>
      <c r="G123" s="444"/>
      <c r="H123" s="444"/>
    </row>
    <row r="124" spans="1:10" ht="69.95" customHeight="1" x14ac:dyDescent="0.3">
      <c r="A124" s="442" t="s">
        <v>29</v>
      </c>
      <c r="B124" s="445"/>
      <c r="C124" s="445"/>
      <c r="E124" s="445"/>
      <c r="F124" s="281"/>
      <c r="G124" s="446"/>
      <c r="H124" s="446"/>
    </row>
    <row r="125" spans="1:10" ht="18.75" x14ac:dyDescent="0.3">
      <c r="A125" s="377"/>
      <c r="B125" s="377"/>
      <c r="C125" s="378"/>
      <c r="D125" s="378"/>
      <c r="E125" s="378"/>
      <c r="F125" s="382"/>
      <c r="G125" s="378"/>
      <c r="H125" s="378"/>
      <c r="I125" s="281"/>
    </row>
    <row r="126" spans="1:10" ht="18.75" x14ac:dyDescent="0.3">
      <c r="A126" s="377"/>
      <c r="B126" s="377"/>
      <c r="C126" s="378"/>
      <c r="D126" s="378"/>
      <c r="E126" s="378"/>
      <c r="F126" s="382"/>
      <c r="G126" s="378"/>
      <c r="H126" s="378"/>
      <c r="I126" s="281"/>
    </row>
    <row r="127" spans="1:10" ht="18.75" x14ac:dyDescent="0.3">
      <c r="A127" s="377"/>
      <c r="B127" s="377"/>
      <c r="C127" s="378"/>
      <c r="D127" s="378"/>
      <c r="E127" s="378"/>
      <c r="F127" s="382"/>
      <c r="G127" s="378"/>
      <c r="H127" s="378"/>
      <c r="I127" s="281"/>
    </row>
    <row r="128" spans="1:10" ht="18.75" x14ac:dyDescent="0.3">
      <c r="A128" s="377"/>
      <c r="B128" s="377"/>
      <c r="C128" s="378"/>
      <c r="D128" s="378"/>
      <c r="E128" s="378"/>
      <c r="F128" s="382"/>
      <c r="G128" s="378"/>
      <c r="H128" s="378"/>
      <c r="I128" s="281"/>
    </row>
    <row r="129" spans="1:9" ht="18.75" x14ac:dyDescent="0.3">
      <c r="A129" s="377"/>
      <c r="B129" s="377"/>
      <c r="C129" s="378"/>
      <c r="D129" s="378"/>
      <c r="E129" s="378"/>
      <c r="F129" s="382"/>
      <c r="G129" s="378"/>
      <c r="H129" s="378"/>
      <c r="I129" s="281"/>
    </row>
    <row r="130" spans="1:9" ht="18.75" x14ac:dyDescent="0.3">
      <c r="A130" s="377"/>
      <c r="B130" s="377"/>
      <c r="C130" s="378"/>
      <c r="D130" s="378"/>
      <c r="E130" s="378"/>
      <c r="F130" s="382"/>
      <c r="G130" s="378"/>
      <c r="H130" s="378"/>
      <c r="I130" s="281"/>
    </row>
    <row r="131" spans="1:9" ht="18.75" x14ac:dyDescent="0.3">
      <c r="A131" s="377"/>
      <c r="B131" s="377"/>
      <c r="C131" s="378"/>
      <c r="D131" s="378"/>
      <c r="E131" s="378"/>
      <c r="F131" s="382"/>
      <c r="G131" s="378"/>
      <c r="H131" s="378"/>
      <c r="I131" s="281"/>
    </row>
    <row r="132" spans="1:9" ht="18.75" x14ac:dyDescent="0.3">
      <c r="A132" s="377"/>
      <c r="B132" s="377"/>
      <c r="C132" s="378"/>
      <c r="D132" s="378"/>
      <c r="E132" s="378"/>
      <c r="F132" s="382"/>
      <c r="G132" s="378"/>
      <c r="H132" s="378"/>
      <c r="I132" s="281"/>
    </row>
    <row r="133" spans="1:9" ht="18.75" x14ac:dyDescent="0.3">
      <c r="A133" s="377"/>
      <c r="B133" s="377"/>
      <c r="C133" s="378"/>
      <c r="D133" s="378"/>
      <c r="E133" s="378"/>
      <c r="F133" s="382"/>
      <c r="G133" s="378"/>
      <c r="H133" s="378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6" t="s">
        <v>44</v>
      </c>
      <c r="B1" s="696"/>
      <c r="C1" s="696"/>
      <c r="D1" s="696"/>
      <c r="E1" s="696"/>
      <c r="F1" s="696"/>
      <c r="G1" s="696"/>
      <c r="H1" s="696"/>
      <c r="I1" s="696"/>
    </row>
    <row r="2" spans="1:9" ht="18.75" customHeight="1" x14ac:dyDescent="0.25">
      <c r="A2" s="696"/>
      <c r="B2" s="696"/>
      <c r="C2" s="696"/>
      <c r="D2" s="696"/>
      <c r="E2" s="696"/>
      <c r="F2" s="696"/>
      <c r="G2" s="696"/>
      <c r="H2" s="696"/>
      <c r="I2" s="696"/>
    </row>
    <row r="3" spans="1:9" ht="18.75" customHeight="1" x14ac:dyDescent="0.25">
      <c r="A3" s="696"/>
      <c r="B3" s="696"/>
      <c r="C3" s="696"/>
      <c r="D3" s="696"/>
      <c r="E3" s="696"/>
      <c r="F3" s="696"/>
      <c r="G3" s="696"/>
      <c r="H3" s="696"/>
      <c r="I3" s="696"/>
    </row>
    <row r="4" spans="1:9" ht="18.75" customHeight="1" x14ac:dyDescent="0.25">
      <c r="A4" s="696"/>
      <c r="B4" s="696"/>
      <c r="C4" s="696"/>
      <c r="D4" s="696"/>
      <c r="E4" s="696"/>
      <c r="F4" s="696"/>
      <c r="G4" s="696"/>
      <c r="H4" s="696"/>
      <c r="I4" s="696"/>
    </row>
    <row r="5" spans="1:9" ht="18.75" customHeight="1" x14ac:dyDescent="0.25">
      <c r="A5" s="696"/>
      <c r="B5" s="696"/>
      <c r="C5" s="696"/>
      <c r="D5" s="696"/>
      <c r="E5" s="696"/>
      <c r="F5" s="696"/>
      <c r="G5" s="696"/>
      <c r="H5" s="696"/>
      <c r="I5" s="696"/>
    </row>
    <row r="6" spans="1:9" ht="18.75" customHeight="1" x14ac:dyDescent="0.25">
      <c r="A6" s="696"/>
      <c r="B6" s="696"/>
      <c r="C6" s="696"/>
      <c r="D6" s="696"/>
      <c r="E6" s="696"/>
      <c r="F6" s="696"/>
      <c r="G6" s="696"/>
      <c r="H6" s="696"/>
      <c r="I6" s="696"/>
    </row>
    <row r="7" spans="1:9" ht="18.75" customHeight="1" x14ac:dyDescent="0.25">
      <c r="A7" s="696"/>
      <c r="B7" s="696"/>
      <c r="C7" s="696"/>
      <c r="D7" s="696"/>
      <c r="E7" s="696"/>
      <c r="F7" s="696"/>
      <c r="G7" s="696"/>
      <c r="H7" s="696"/>
      <c r="I7" s="696"/>
    </row>
    <row r="8" spans="1:9" x14ac:dyDescent="0.25">
      <c r="A8" s="697" t="s">
        <v>45</v>
      </c>
      <c r="B8" s="697"/>
      <c r="C8" s="697"/>
      <c r="D8" s="697"/>
      <c r="E8" s="697"/>
      <c r="F8" s="697"/>
      <c r="G8" s="697"/>
      <c r="H8" s="697"/>
      <c r="I8" s="697"/>
    </row>
    <row r="9" spans="1:9" x14ac:dyDescent="0.25">
      <c r="A9" s="697"/>
      <c r="B9" s="697"/>
      <c r="C9" s="697"/>
      <c r="D9" s="697"/>
      <c r="E9" s="697"/>
      <c r="F9" s="697"/>
      <c r="G9" s="697"/>
      <c r="H9" s="697"/>
      <c r="I9" s="697"/>
    </row>
    <row r="10" spans="1:9" x14ac:dyDescent="0.25">
      <c r="A10" s="697"/>
      <c r="B10" s="697"/>
      <c r="C10" s="697"/>
      <c r="D10" s="697"/>
      <c r="E10" s="697"/>
      <c r="F10" s="697"/>
      <c r="G10" s="697"/>
      <c r="H10" s="697"/>
      <c r="I10" s="697"/>
    </row>
    <row r="11" spans="1:9" x14ac:dyDescent="0.25">
      <c r="A11" s="697"/>
      <c r="B11" s="697"/>
      <c r="C11" s="697"/>
      <c r="D11" s="697"/>
      <c r="E11" s="697"/>
      <c r="F11" s="697"/>
      <c r="G11" s="697"/>
      <c r="H11" s="697"/>
      <c r="I11" s="697"/>
    </row>
    <row r="12" spans="1:9" x14ac:dyDescent="0.25">
      <c r="A12" s="697"/>
      <c r="B12" s="697"/>
      <c r="C12" s="697"/>
      <c r="D12" s="697"/>
      <c r="E12" s="697"/>
      <c r="F12" s="697"/>
      <c r="G12" s="697"/>
      <c r="H12" s="697"/>
      <c r="I12" s="697"/>
    </row>
    <row r="13" spans="1:9" x14ac:dyDescent="0.25">
      <c r="A13" s="697"/>
      <c r="B13" s="697"/>
      <c r="C13" s="697"/>
      <c r="D13" s="697"/>
      <c r="E13" s="697"/>
      <c r="F13" s="697"/>
      <c r="G13" s="697"/>
      <c r="H13" s="697"/>
      <c r="I13" s="697"/>
    </row>
    <row r="14" spans="1:9" x14ac:dyDescent="0.25">
      <c r="A14" s="697"/>
      <c r="B14" s="697"/>
      <c r="C14" s="697"/>
      <c r="D14" s="697"/>
      <c r="E14" s="697"/>
      <c r="F14" s="697"/>
      <c r="G14" s="697"/>
      <c r="H14" s="697"/>
      <c r="I14" s="697"/>
    </row>
    <row r="15" spans="1:9" ht="19.5" customHeight="1" x14ac:dyDescent="0.3">
      <c r="A15" s="462"/>
    </row>
    <row r="16" spans="1:9" ht="19.5" customHeight="1" x14ac:dyDescent="0.3">
      <c r="A16" s="669" t="s">
        <v>30</v>
      </c>
      <c r="B16" s="670"/>
      <c r="C16" s="670"/>
      <c r="D16" s="670"/>
      <c r="E16" s="670"/>
      <c r="F16" s="670"/>
      <c r="G16" s="670"/>
      <c r="H16" s="671"/>
    </row>
    <row r="17" spans="1:14" ht="20.25" customHeight="1" x14ac:dyDescent="0.25">
      <c r="A17" s="672" t="s">
        <v>46</v>
      </c>
      <c r="B17" s="672"/>
      <c r="C17" s="672"/>
      <c r="D17" s="672"/>
      <c r="E17" s="672"/>
      <c r="F17" s="672"/>
      <c r="G17" s="672"/>
      <c r="H17" s="672"/>
    </row>
    <row r="18" spans="1:14" ht="26.25" customHeight="1" x14ac:dyDescent="0.4">
      <c r="A18" s="464" t="s">
        <v>32</v>
      </c>
      <c r="B18" s="668" t="s">
        <v>5</v>
      </c>
      <c r="C18" s="668"/>
      <c r="D18" s="631"/>
      <c r="E18" s="465"/>
      <c r="F18" s="466"/>
      <c r="G18" s="466"/>
      <c r="H18" s="466"/>
    </row>
    <row r="19" spans="1:14" ht="26.25" customHeight="1" x14ac:dyDescent="0.4">
      <c r="A19" s="464" t="s">
        <v>33</v>
      </c>
      <c r="B19" s="467" t="s">
        <v>7</v>
      </c>
      <c r="C19" s="644">
        <v>29</v>
      </c>
      <c r="D19" s="466"/>
      <c r="E19" s="466"/>
      <c r="F19" s="466"/>
      <c r="G19" s="466"/>
      <c r="H19" s="466"/>
    </row>
    <row r="20" spans="1:14" ht="26.25" customHeight="1" x14ac:dyDescent="0.4">
      <c r="A20" s="464" t="s">
        <v>34</v>
      </c>
      <c r="B20" s="707" t="s">
        <v>9</v>
      </c>
      <c r="C20" s="707"/>
      <c r="D20" s="466"/>
      <c r="E20" s="466"/>
      <c r="F20" s="466"/>
      <c r="G20" s="466"/>
      <c r="H20" s="466"/>
    </row>
    <row r="21" spans="1:14" ht="26.25" customHeight="1" x14ac:dyDescent="0.4">
      <c r="A21" s="464" t="s">
        <v>35</v>
      </c>
      <c r="B21" s="673" t="s">
        <v>124</v>
      </c>
      <c r="C21" s="673"/>
      <c r="D21" s="673"/>
      <c r="E21" s="673"/>
      <c r="F21" s="673"/>
      <c r="G21" s="673"/>
      <c r="H21" s="673"/>
      <c r="I21" s="468"/>
    </row>
    <row r="22" spans="1:14" ht="26.25" customHeight="1" x14ac:dyDescent="0.4">
      <c r="A22" s="464" t="s">
        <v>36</v>
      </c>
      <c r="B22" s="469">
        <v>42500.536458333336</v>
      </c>
      <c r="C22" s="466"/>
      <c r="D22" s="466"/>
      <c r="E22" s="466"/>
      <c r="F22" s="466"/>
      <c r="G22" s="466"/>
      <c r="H22" s="466"/>
    </row>
    <row r="23" spans="1:14" ht="26.25" customHeight="1" x14ac:dyDescent="0.4">
      <c r="A23" s="464" t="s">
        <v>37</v>
      </c>
      <c r="B23" s="469">
        <v>42510.536458333336</v>
      </c>
      <c r="C23" s="466"/>
      <c r="D23" s="466"/>
      <c r="E23" s="466"/>
      <c r="F23" s="466"/>
      <c r="G23" s="466"/>
      <c r="H23" s="466"/>
    </row>
    <row r="24" spans="1:14" ht="18.75" x14ac:dyDescent="0.3">
      <c r="A24" s="464"/>
      <c r="B24" s="470"/>
    </row>
    <row r="25" spans="1:14" ht="18.75" x14ac:dyDescent="0.3">
      <c r="A25" s="471" t="s">
        <v>1</v>
      </c>
      <c r="B25" s="470"/>
    </row>
    <row r="26" spans="1:14" ht="26.25" customHeight="1" x14ac:dyDescent="0.4">
      <c r="A26" s="472" t="s">
        <v>4</v>
      </c>
      <c r="B26" s="668" t="s">
        <v>130</v>
      </c>
      <c r="C26" s="668"/>
    </row>
    <row r="27" spans="1:14" ht="26.25" customHeight="1" x14ac:dyDescent="0.4">
      <c r="A27" s="473" t="s">
        <v>47</v>
      </c>
      <c r="B27" s="674" t="s">
        <v>131</v>
      </c>
      <c r="C27" s="674"/>
    </row>
    <row r="28" spans="1:14" ht="27" customHeight="1" x14ac:dyDescent="0.4">
      <c r="A28" s="473" t="s">
        <v>6</v>
      </c>
      <c r="B28" s="474">
        <v>99.3</v>
      </c>
    </row>
    <row r="29" spans="1:14" s="14" customFormat="1" ht="27" customHeight="1" x14ac:dyDescent="0.4">
      <c r="A29" s="473" t="s">
        <v>48</v>
      </c>
      <c r="B29" s="475">
        <v>0</v>
      </c>
      <c r="C29" s="675" t="s">
        <v>49</v>
      </c>
      <c r="D29" s="676"/>
      <c r="E29" s="676"/>
      <c r="F29" s="676"/>
      <c r="G29" s="677"/>
      <c r="I29" s="476"/>
      <c r="J29" s="476"/>
      <c r="K29" s="476"/>
      <c r="L29" s="476"/>
    </row>
    <row r="30" spans="1:14" s="14" customFormat="1" ht="19.5" customHeight="1" x14ac:dyDescent="0.3">
      <c r="A30" s="473" t="s">
        <v>50</v>
      </c>
      <c r="B30" s="477">
        <f>B28-B29</f>
        <v>99.3</v>
      </c>
      <c r="C30" s="478"/>
      <c r="D30" s="478"/>
      <c r="E30" s="478"/>
      <c r="F30" s="478"/>
      <c r="G30" s="479"/>
      <c r="I30" s="476"/>
      <c r="J30" s="476"/>
      <c r="K30" s="476"/>
      <c r="L30" s="476"/>
    </row>
    <row r="31" spans="1:14" s="14" customFormat="1" ht="27" customHeight="1" x14ac:dyDescent="0.4">
      <c r="A31" s="473" t="s">
        <v>51</v>
      </c>
      <c r="B31" s="480">
        <v>1</v>
      </c>
      <c r="C31" s="678" t="s">
        <v>52</v>
      </c>
      <c r="D31" s="679"/>
      <c r="E31" s="679"/>
      <c r="F31" s="679"/>
      <c r="G31" s="679"/>
      <c r="H31" s="680"/>
      <c r="I31" s="476"/>
      <c r="J31" s="476"/>
      <c r="K31" s="476"/>
      <c r="L31" s="476"/>
    </row>
    <row r="32" spans="1:14" s="14" customFormat="1" ht="27" customHeight="1" x14ac:dyDescent="0.4">
      <c r="A32" s="473" t="s">
        <v>53</v>
      </c>
      <c r="B32" s="480">
        <v>1</v>
      </c>
      <c r="C32" s="678" t="s">
        <v>54</v>
      </c>
      <c r="D32" s="679"/>
      <c r="E32" s="679"/>
      <c r="F32" s="679"/>
      <c r="G32" s="679"/>
      <c r="H32" s="680"/>
      <c r="I32" s="476"/>
      <c r="J32" s="476"/>
      <c r="K32" s="476"/>
      <c r="L32" s="481"/>
      <c r="M32" s="481"/>
      <c r="N32" s="482"/>
    </row>
    <row r="33" spans="1:14" s="14" customFormat="1" ht="17.25" customHeight="1" x14ac:dyDescent="0.3">
      <c r="A33" s="473"/>
      <c r="B33" s="483"/>
      <c r="C33" s="484"/>
      <c r="D33" s="484"/>
      <c r="E33" s="484"/>
      <c r="F33" s="484"/>
      <c r="G33" s="484"/>
      <c r="H33" s="484"/>
      <c r="I33" s="476"/>
      <c r="J33" s="476"/>
      <c r="K33" s="476"/>
      <c r="L33" s="481"/>
      <c r="M33" s="481"/>
      <c r="N33" s="482"/>
    </row>
    <row r="34" spans="1:14" s="14" customFormat="1" ht="18.75" x14ac:dyDescent="0.3">
      <c r="A34" s="473" t="s">
        <v>55</v>
      </c>
      <c r="B34" s="485">
        <f>B31/B32</f>
        <v>1</v>
      </c>
      <c r="C34" s="463" t="s">
        <v>56</v>
      </c>
      <c r="D34" s="463"/>
      <c r="E34" s="463"/>
      <c r="F34" s="463"/>
      <c r="G34" s="463"/>
      <c r="I34" s="476"/>
      <c r="J34" s="476"/>
      <c r="K34" s="476"/>
      <c r="L34" s="481"/>
      <c r="M34" s="481"/>
      <c r="N34" s="482"/>
    </row>
    <row r="35" spans="1:14" s="14" customFormat="1" ht="19.5" customHeight="1" x14ac:dyDescent="0.3">
      <c r="A35" s="473"/>
      <c r="B35" s="477"/>
      <c r="G35" s="463"/>
      <c r="I35" s="476"/>
      <c r="J35" s="476"/>
      <c r="K35" s="476"/>
      <c r="L35" s="481"/>
      <c r="M35" s="481"/>
      <c r="N35" s="482"/>
    </row>
    <row r="36" spans="1:14" s="14" customFormat="1" ht="27" customHeight="1" x14ac:dyDescent="0.4">
      <c r="A36" s="486" t="s">
        <v>57</v>
      </c>
      <c r="B36" s="487">
        <v>25</v>
      </c>
      <c r="C36" s="463"/>
      <c r="D36" s="681" t="s">
        <v>58</v>
      </c>
      <c r="E36" s="682"/>
      <c r="F36" s="681" t="s">
        <v>59</v>
      </c>
      <c r="G36" s="683"/>
      <c r="J36" s="476"/>
      <c r="K36" s="476"/>
      <c r="L36" s="481"/>
      <c r="M36" s="481"/>
      <c r="N36" s="482"/>
    </row>
    <row r="37" spans="1:14" s="14" customFormat="1" ht="27" customHeight="1" x14ac:dyDescent="0.4">
      <c r="A37" s="488" t="s">
        <v>60</v>
      </c>
      <c r="B37" s="489">
        <v>5</v>
      </c>
      <c r="C37" s="490" t="s">
        <v>61</v>
      </c>
      <c r="D37" s="491" t="s">
        <v>62</v>
      </c>
      <c r="E37" s="492" t="s">
        <v>63</v>
      </c>
      <c r="F37" s="491" t="s">
        <v>62</v>
      </c>
      <c r="G37" s="493" t="s">
        <v>63</v>
      </c>
      <c r="I37" s="494" t="s">
        <v>64</v>
      </c>
      <c r="J37" s="476"/>
      <c r="K37" s="476"/>
      <c r="L37" s="481"/>
      <c r="M37" s="481"/>
      <c r="N37" s="482"/>
    </row>
    <row r="38" spans="1:14" s="14" customFormat="1" ht="26.25" customHeight="1" x14ac:dyDescent="0.4">
      <c r="A38" s="488" t="s">
        <v>65</v>
      </c>
      <c r="B38" s="489">
        <v>50</v>
      </c>
      <c r="C38" s="495">
        <v>1</v>
      </c>
      <c r="D38" s="496">
        <v>45034790</v>
      </c>
      <c r="E38" s="497">
        <f>IF(ISBLANK(D38),"-",$D$48/$D$45*D38)</f>
        <v>46167888.487139873</v>
      </c>
      <c r="F38" s="496">
        <v>48160323</v>
      </c>
      <c r="G38" s="498">
        <f>IF(ISBLANK(F38),"-",$D$48/$F$45*F38)</f>
        <v>45783343.37847627</v>
      </c>
      <c r="I38" s="499"/>
      <c r="J38" s="476"/>
      <c r="K38" s="476"/>
      <c r="L38" s="481"/>
      <c r="M38" s="481"/>
      <c r="N38" s="482"/>
    </row>
    <row r="39" spans="1:14" s="14" customFormat="1" ht="26.25" customHeight="1" x14ac:dyDescent="0.4">
      <c r="A39" s="488" t="s">
        <v>66</v>
      </c>
      <c r="B39" s="489">
        <v>1</v>
      </c>
      <c r="C39" s="500">
        <v>2</v>
      </c>
      <c r="D39" s="501">
        <v>45131929</v>
      </c>
      <c r="E39" s="502">
        <f>IF(ISBLANK(D39),"-",$D$48/$D$45*D39)</f>
        <v>46267471.554358624</v>
      </c>
      <c r="F39" s="501">
        <v>48447515</v>
      </c>
      <c r="G39" s="503">
        <f>IF(ISBLANK(F39),"-",$D$48/$F$45*F39)</f>
        <v>46056360.857024975</v>
      </c>
      <c r="I39" s="685">
        <f>ABS((F43/D43*D42)-F42)/D42</f>
        <v>7.0440491043044446E-3</v>
      </c>
      <c r="J39" s="476"/>
      <c r="K39" s="476"/>
      <c r="L39" s="481"/>
      <c r="M39" s="481"/>
      <c r="N39" s="482"/>
    </row>
    <row r="40" spans="1:14" ht="26.25" customHeight="1" x14ac:dyDescent="0.4">
      <c r="A40" s="488" t="s">
        <v>67</v>
      </c>
      <c r="B40" s="489">
        <v>1</v>
      </c>
      <c r="C40" s="500">
        <v>3</v>
      </c>
      <c r="D40" s="501">
        <v>45144462</v>
      </c>
      <c r="E40" s="502">
        <f>IF(ISBLANK(D40),"-",$D$48/$D$45*D40)</f>
        <v>46280319.891086951</v>
      </c>
      <c r="F40" s="501">
        <v>48356544</v>
      </c>
      <c r="G40" s="503">
        <f>IF(ISBLANK(F40),"-",$D$48/$F$45*F40)</f>
        <v>45969879.781503879</v>
      </c>
      <c r="I40" s="685"/>
      <c r="L40" s="481"/>
      <c r="M40" s="481"/>
      <c r="N40" s="504"/>
    </row>
    <row r="41" spans="1:14" ht="27" customHeight="1" x14ac:dyDescent="0.4">
      <c r="A41" s="488" t="s">
        <v>68</v>
      </c>
      <c r="B41" s="489">
        <v>1</v>
      </c>
      <c r="C41" s="505">
        <v>4</v>
      </c>
      <c r="D41" s="506"/>
      <c r="E41" s="507" t="str">
        <f>IF(ISBLANK(D41),"-",$D$48/$D$45*D41)</f>
        <v>-</v>
      </c>
      <c r="F41" s="506"/>
      <c r="G41" s="508" t="str">
        <f>IF(ISBLANK(F41),"-",$D$48/$F$45*F41)</f>
        <v>-</v>
      </c>
      <c r="I41" s="509"/>
      <c r="L41" s="481"/>
      <c r="M41" s="481"/>
      <c r="N41" s="504"/>
    </row>
    <row r="42" spans="1:14" ht="27" customHeight="1" x14ac:dyDescent="0.4">
      <c r="A42" s="488" t="s">
        <v>69</v>
      </c>
      <c r="B42" s="489">
        <v>1</v>
      </c>
      <c r="C42" s="510" t="s">
        <v>70</v>
      </c>
      <c r="D42" s="511">
        <f>AVERAGE(D38:D41)</f>
        <v>45103727</v>
      </c>
      <c r="E42" s="512">
        <f>AVERAGE(E38:E41)</f>
        <v>46238559.977528483</v>
      </c>
      <c r="F42" s="511">
        <f>AVERAGE(F38:F41)</f>
        <v>48321460.666666664</v>
      </c>
      <c r="G42" s="513">
        <f>AVERAGE(G38:G41)</f>
        <v>45936528.005668372</v>
      </c>
      <c r="H42" s="514"/>
    </row>
    <row r="43" spans="1:14" ht="26.25" customHeight="1" x14ac:dyDescent="0.4">
      <c r="A43" s="488" t="s">
        <v>71</v>
      </c>
      <c r="B43" s="489">
        <v>1</v>
      </c>
      <c r="C43" s="515" t="s">
        <v>72</v>
      </c>
      <c r="D43" s="516">
        <v>29.47</v>
      </c>
      <c r="E43" s="504"/>
      <c r="F43" s="516">
        <v>31.78</v>
      </c>
      <c r="H43" s="514"/>
    </row>
    <row r="44" spans="1:14" ht="26.25" customHeight="1" x14ac:dyDescent="0.4">
      <c r="A44" s="488" t="s">
        <v>73</v>
      </c>
      <c r="B44" s="489">
        <v>1</v>
      </c>
      <c r="C44" s="517" t="s">
        <v>74</v>
      </c>
      <c r="D44" s="518">
        <f>D43*$B$34</f>
        <v>29.47</v>
      </c>
      <c r="E44" s="519"/>
      <c r="F44" s="518">
        <f>F43*$B$34</f>
        <v>31.78</v>
      </c>
      <c r="H44" s="514"/>
    </row>
    <row r="45" spans="1:14" ht="19.5" customHeight="1" x14ac:dyDescent="0.3">
      <c r="A45" s="488" t="s">
        <v>75</v>
      </c>
      <c r="B45" s="520">
        <f>(B44/B43)*(B42/B41)*(B40/B39)*(B38/B37)*B36</f>
        <v>250</v>
      </c>
      <c r="C45" s="517" t="s">
        <v>76</v>
      </c>
      <c r="D45" s="521">
        <f>D44*$B$30/100</f>
        <v>29.263709999999996</v>
      </c>
      <c r="E45" s="522"/>
      <c r="F45" s="521">
        <f>F44*$B$30/100</f>
        <v>31.557539999999999</v>
      </c>
      <c r="H45" s="514"/>
    </row>
    <row r="46" spans="1:14" ht="19.5" customHeight="1" x14ac:dyDescent="0.3">
      <c r="A46" s="686" t="s">
        <v>77</v>
      </c>
      <c r="B46" s="687"/>
      <c r="C46" s="517" t="s">
        <v>78</v>
      </c>
      <c r="D46" s="523">
        <f>D45/$B$45</f>
        <v>0.11705483999999998</v>
      </c>
      <c r="E46" s="524"/>
      <c r="F46" s="525">
        <f>F45/$B$45</f>
        <v>0.12623016000000001</v>
      </c>
      <c r="H46" s="514"/>
    </row>
    <row r="47" spans="1:14" ht="27" customHeight="1" x14ac:dyDescent="0.4">
      <c r="A47" s="688"/>
      <c r="B47" s="689"/>
      <c r="C47" s="526" t="s">
        <v>79</v>
      </c>
      <c r="D47" s="527">
        <v>0.12</v>
      </c>
      <c r="E47" s="528"/>
      <c r="F47" s="524"/>
      <c r="H47" s="514"/>
    </row>
    <row r="48" spans="1:14" ht="18.75" x14ac:dyDescent="0.3">
      <c r="C48" s="529" t="s">
        <v>80</v>
      </c>
      <c r="D48" s="521">
        <f>D47*$B$45</f>
        <v>30</v>
      </c>
      <c r="F48" s="530"/>
      <c r="H48" s="514"/>
    </row>
    <row r="49" spans="1:12" ht="19.5" customHeight="1" x14ac:dyDescent="0.3">
      <c r="C49" s="531" t="s">
        <v>81</v>
      </c>
      <c r="D49" s="532">
        <f>D48/B34</f>
        <v>30</v>
      </c>
      <c r="F49" s="530"/>
      <c r="H49" s="514"/>
    </row>
    <row r="50" spans="1:12" ht="18.75" x14ac:dyDescent="0.3">
      <c r="C50" s="486" t="s">
        <v>82</v>
      </c>
      <c r="D50" s="533">
        <f>AVERAGE(E38:E41,G38:G41)</f>
        <v>46087543.991598427</v>
      </c>
      <c r="F50" s="534"/>
      <c r="H50" s="514"/>
    </row>
    <row r="51" spans="1:12" ht="18.75" x14ac:dyDescent="0.3">
      <c r="C51" s="488" t="s">
        <v>83</v>
      </c>
      <c r="D51" s="535">
        <f>STDEV(E38:E41,G38:G41)/D50</f>
        <v>4.1549740302679024E-3</v>
      </c>
      <c r="F51" s="534"/>
      <c r="H51" s="514"/>
    </row>
    <row r="52" spans="1:12" ht="19.5" customHeight="1" x14ac:dyDescent="0.3">
      <c r="C52" s="536" t="s">
        <v>19</v>
      </c>
      <c r="D52" s="537">
        <f>COUNT(E38:E41,G38:G41)</f>
        <v>6</v>
      </c>
      <c r="F52" s="534"/>
    </row>
    <row r="54" spans="1:12" ht="18.75" x14ac:dyDescent="0.3">
      <c r="A54" s="538" t="s">
        <v>1</v>
      </c>
      <c r="B54" s="539" t="s">
        <v>84</v>
      </c>
    </row>
    <row r="55" spans="1:12" ht="18.75" x14ac:dyDescent="0.3">
      <c r="A55" s="463" t="s">
        <v>85</v>
      </c>
      <c r="B55" s="540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541" t="s">
        <v>86</v>
      </c>
      <c r="B56" s="542">
        <v>600</v>
      </c>
      <c r="C56" s="463" t="str">
        <f>B20</f>
        <v>Tenofovir Disoproxil Fumarate 300mg, Lamivudine 300mg &amp; Efavirenz 600mg tablets</v>
      </c>
      <c r="H56" s="543"/>
    </row>
    <row r="57" spans="1:12" ht="18.75" x14ac:dyDescent="0.3">
      <c r="A57" s="540" t="s">
        <v>87</v>
      </c>
      <c r="B57" s="632">
        <f>Uniformity!C46</f>
        <v>1907.5930000000001</v>
      </c>
      <c r="H57" s="543"/>
    </row>
    <row r="58" spans="1:12" ht="19.5" customHeight="1" x14ac:dyDescent="0.3">
      <c r="H58" s="543"/>
    </row>
    <row r="59" spans="1:12" s="14" customFormat="1" ht="27" customHeight="1" x14ac:dyDescent="0.4">
      <c r="A59" s="486" t="s">
        <v>88</v>
      </c>
      <c r="B59" s="487">
        <v>200</v>
      </c>
      <c r="C59" s="463"/>
      <c r="D59" s="544" t="s">
        <v>89</v>
      </c>
      <c r="E59" s="545" t="s">
        <v>61</v>
      </c>
      <c r="F59" s="545" t="s">
        <v>62</v>
      </c>
      <c r="G59" s="545" t="s">
        <v>90</v>
      </c>
      <c r="H59" s="490" t="s">
        <v>91</v>
      </c>
      <c r="L59" s="476"/>
    </row>
    <row r="60" spans="1:12" s="14" customFormat="1" ht="26.25" customHeight="1" x14ac:dyDescent="0.4">
      <c r="A60" s="488" t="s">
        <v>92</v>
      </c>
      <c r="B60" s="489">
        <v>4</v>
      </c>
      <c r="C60" s="690" t="s">
        <v>93</v>
      </c>
      <c r="D60" s="693">
        <v>1916.55</v>
      </c>
      <c r="E60" s="546">
        <v>1</v>
      </c>
      <c r="F60" s="547">
        <v>44757187</v>
      </c>
      <c r="G60" s="633">
        <f>IF(ISBLANK(F60),"-",(F60/$D$50*$D$47*$B$68)*($B$57/$D$60))</f>
        <v>579.95732050103766</v>
      </c>
      <c r="H60" s="548">
        <f t="shared" ref="H60:H71" si="0">IF(ISBLANK(F60),"-",G60/$B$56)</f>
        <v>0.96659553416839605</v>
      </c>
      <c r="L60" s="476"/>
    </row>
    <row r="61" spans="1:12" s="14" customFormat="1" ht="26.25" customHeight="1" x14ac:dyDescent="0.4">
      <c r="A61" s="488" t="s">
        <v>94</v>
      </c>
      <c r="B61" s="489">
        <v>100</v>
      </c>
      <c r="C61" s="691"/>
      <c r="D61" s="694"/>
      <c r="E61" s="549">
        <v>2</v>
      </c>
      <c r="F61" s="501">
        <v>44745485</v>
      </c>
      <c r="G61" s="634">
        <f>IF(ISBLANK(F61),"-",(F61/$D$50*$D$47*$B$68)*($B$57/$D$60))</f>
        <v>579.80568763446581</v>
      </c>
      <c r="H61" s="550">
        <f t="shared" si="0"/>
        <v>0.96634281272410971</v>
      </c>
      <c r="L61" s="476"/>
    </row>
    <row r="62" spans="1:12" s="14" customFormat="1" ht="26.25" customHeight="1" x14ac:dyDescent="0.4">
      <c r="A62" s="488" t="s">
        <v>95</v>
      </c>
      <c r="B62" s="489">
        <v>1</v>
      </c>
      <c r="C62" s="691"/>
      <c r="D62" s="694"/>
      <c r="E62" s="549">
        <v>3</v>
      </c>
      <c r="F62" s="551">
        <v>44999911</v>
      </c>
      <c r="G62" s="634">
        <f>IF(ISBLANK(F62),"-",(F62/$D$50*$D$47*$B$68)*($B$57/$D$60))</f>
        <v>583.10250388044199</v>
      </c>
      <c r="H62" s="550">
        <f t="shared" si="0"/>
        <v>0.9718375064674033</v>
      </c>
      <c r="L62" s="476"/>
    </row>
    <row r="63" spans="1:12" ht="27" customHeight="1" x14ac:dyDescent="0.4">
      <c r="A63" s="488" t="s">
        <v>96</v>
      </c>
      <c r="B63" s="489">
        <v>1</v>
      </c>
      <c r="C63" s="692"/>
      <c r="D63" s="695"/>
      <c r="E63" s="552">
        <v>4</v>
      </c>
      <c r="F63" s="553"/>
      <c r="G63" s="634" t="str">
        <f>IF(ISBLANK(F63),"-",(F63/$D$50*$D$47*$B$68)*($B$57/$D$60))</f>
        <v>-</v>
      </c>
      <c r="H63" s="550" t="str">
        <f t="shared" si="0"/>
        <v>-</v>
      </c>
    </row>
    <row r="64" spans="1:12" ht="26.25" customHeight="1" x14ac:dyDescent="0.4">
      <c r="A64" s="488" t="s">
        <v>97</v>
      </c>
      <c r="B64" s="489">
        <v>1</v>
      </c>
      <c r="C64" s="690" t="s">
        <v>98</v>
      </c>
      <c r="D64" s="693">
        <v>1917.48</v>
      </c>
      <c r="E64" s="546">
        <v>1</v>
      </c>
      <c r="F64" s="547">
        <v>45664864</v>
      </c>
      <c r="G64" s="635">
        <f>IF(ISBLANK(F64),"-",(F64/$D$50*$D$47*$B$68)*($B$57/$D$64))</f>
        <v>591.43188062430409</v>
      </c>
      <c r="H64" s="554">
        <f t="shared" si="0"/>
        <v>0.98571980104050683</v>
      </c>
    </row>
    <row r="65" spans="1:8" ht="26.25" customHeight="1" x14ac:dyDescent="0.4">
      <c r="A65" s="488" t="s">
        <v>99</v>
      </c>
      <c r="B65" s="489">
        <v>1</v>
      </c>
      <c r="C65" s="691"/>
      <c r="D65" s="694"/>
      <c r="E65" s="549">
        <v>2</v>
      </c>
      <c r="F65" s="501">
        <v>45642752</v>
      </c>
      <c r="G65" s="636">
        <f>IF(ISBLANK(F65),"-",(F65/$D$50*$D$47*$B$68)*($B$57/$D$64))</f>
        <v>591.14549541259373</v>
      </c>
      <c r="H65" s="555">
        <f t="shared" si="0"/>
        <v>0.98524249235432293</v>
      </c>
    </row>
    <row r="66" spans="1:8" ht="26.25" customHeight="1" x14ac:dyDescent="0.4">
      <c r="A66" s="488" t="s">
        <v>100</v>
      </c>
      <c r="B66" s="489">
        <v>1</v>
      </c>
      <c r="C66" s="691"/>
      <c r="D66" s="694"/>
      <c r="E66" s="549">
        <v>3</v>
      </c>
      <c r="F66" s="501">
        <v>45707905</v>
      </c>
      <c r="G66" s="636">
        <f>IF(ISBLANK(F66),"-",(F66/$D$50*$D$47*$B$68)*($B$57/$D$64))</f>
        <v>591.98932933528567</v>
      </c>
      <c r="H66" s="555">
        <f t="shared" si="0"/>
        <v>0.98664888222547609</v>
      </c>
    </row>
    <row r="67" spans="1:8" ht="27" customHeight="1" x14ac:dyDescent="0.4">
      <c r="A67" s="488" t="s">
        <v>101</v>
      </c>
      <c r="B67" s="489">
        <v>1</v>
      </c>
      <c r="C67" s="692"/>
      <c r="D67" s="695"/>
      <c r="E67" s="552">
        <v>4</v>
      </c>
      <c r="F67" s="553"/>
      <c r="G67" s="637" t="str">
        <f>IF(ISBLANK(F67),"-",(F67/$D$50*$D$47*$B$68)*($B$57/$D$64))</f>
        <v>-</v>
      </c>
      <c r="H67" s="556" t="str">
        <f t="shared" si="0"/>
        <v>-</v>
      </c>
    </row>
    <row r="68" spans="1:8" ht="26.25" customHeight="1" x14ac:dyDescent="0.4">
      <c r="A68" s="488" t="s">
        <v>102</v>
      </c>
      <c r="B68" s="557">
        <f>(B67/B66)*(B65/B64)*(B63/B62)*(B61/B60)*B59</f>
        <v>5000</v>
      </c>
      <c r="C68" s="690" t="s">
        <v>103</v>
      </c>
      <c r="D68" s="693">
        <v>1914.73</v>
      </c>
      <c r="E68" s="546">
        <v>1</v>
      </c>
      <c r="F68" s="547">
        <v>46076609</v>
      </c>
      <c r="G68" s="635">
        <f>IF(ISBLANK(F68),"-",(F68/$D$50*$D$47*$B$68)*($B$57/$D$68))</f>
        <v>597.6217201440038</v>
      </c>
      <c r="H68" s="550">
        <f t="shared" si="0"/>
        <v>0.99603620024000639</v>
      </c>
    </row>
    <row r="69" spans="1:8" ht="27" customHeight="1" x14ac:dyDescent="0.4">
      <c r="A69" s="536" t="s">
        <v>104</v>
      </c>
      <c r="B69" s="558">
        <f>(D47*B68)/B56*B57</f>
        <v>1907.5930000000001</v>
      </c>
      <c r="C69" s="691"/>
      <c r="D69" s="694"/>
      <c r="E69" s="549">
        <v>2</v>
      </c>
      <c r="F69" s="501">
        <v>46450128</v>
      </c>
      <c r="G69" s="636">
        <f>IF(ISBLANK(F69),"-",(F69/$D$50*$D$47*$B$68)*($B$57/$D$68))</f>
        <v>602.46632724793506</v>
      </c>
      <c r="H69" s="550">
        <f t="shared" si="0"/>
        <v>1.0041105454132251</v>
      </c>
    </row>
    <row r="70" spans="1:8" ht="26.25" customHeight="1" x14ac:dyDescent="0.4">
      <c r="A70" s="703" t="s">
        <v>77</v>
      </c>
      <c r="B70" s="704"/>
      <c r="C70" s="691"/>
      <c r="D70" s="694"/>
      <c r="E70" s="549">
        <v>3</v>
      </c>
      <c r="F70" s="501">
        <v>46235334</v>
      </c>
      <c r="G70" s="636">
        <f>IF(ISBLANK(F70),"-",(F70/$D$50*$D$47*$B$68)*($B$57/$D$68))</f>
        <v>599.680411301807</v>
      </c>
      <c r="H70" s="550">
        <f t="shared" si="0"/>
        <v>0.9994673521696783</v>
      </c>
    </row>
    <row r="71" spans="1:8" ht="27" customHeight="1" x14ac:dyDescent="0.4">
      <c r="A71" s="705"/>
      <c r="B71" s="706"/>
      <c r="C71" s="702"/>
      <c r="D71" s="695"/>
      <c r="E71" s="552">
        <v>4</v>
      </c>
      <c r="F71" s="553"/>
      <c r="G71" s="637" t="str">
        <f>IF(ISBLANK(F71),"-",(F71/$D$50*$D$47*$B$68)*($B$57/$D$68))</f>
        <v>-</v>
      </c>
      <c r="H71" s="559" t="str">
        <f t="shared" si="0"/>
        <v>-</v>
      </c>
    </row>
    <row r="72" spans="1:8" ht="26.25" customHeight="1" x14ac:dyDescent="0.4">
      <c r="A72" s="560"/>
      <c r="B72" s="560"/>
      <c r="C72" s="560"/>
      <c r="D72" s="560"/>
      <c r="E72" s="560"/>
      <c r="F72" s="562" t="s">
        <v>70</v>
      </c>
      <c r="G72" s="642">
        <f>AVERAGE(G60:G71)</f>
        <v>590.80007512020836</v>
      </c>
      <c r="H72" s="563">
        <f>AVERAGE(H60:H71)</f>
        <v>0.98466679186701378</v>
      </c>
    </row>
    <row r="73" spans="1:8" ht="26.25" customHeight="1" x14ac:dyDescent="0.4">
      <c r="C73" s="560"/>
      <c r="D73" s="560"/>
      <c r="E73" s="560"/>
      <c r="F73" s="564" t="s">
        <v>83</v>
      </c>
      <c r="G73" s="638">
        <f>STDEV(G60:G71)/G72</f>
        <v>1.4175678985907365E-2</v>
      </c>
      <c r="H73" s="638">
        <f>STDEV(H60:H71)/H72</f>
        <v>1.417567898590737E-2</v>
      </c>
    </row>
    <row r="74" spans="1:8" ht="27" customHeight="1" x14ac:dyDescent="0.4">
      <c r="A74" s="560"/>
      <c r="B74" s="560"/>
      <c r="C74" s="561"/>
      <c r="D74" s="561"/>
      <c r="E74" s="565"/>
      <c r="F74" s="566" t="s">
        <v>19</v>
      </c>
      <c r="G74" s="567">
        <f>COUNT(G60:G71)</f>
        <v>9</v>
      </c>
      <c r="H74" s="567">
        <f>COUNT(H60:H71)</f>
        <v>9</v>
      </c>
    </row>
    <row r="76" spans="1:8" ht="26.25" customHeight="1" x14ac:dyDescent="0.4">
      <c r="A76" s="472" t="s">
        <v>105</v>
      </c>
      <c r="B76" s="568" t="s">
        <v>106</v>
      </c>
      <c r="C76" s="698" t="str">
        <f>B20</f>
        <v>Tenofovir Disoproxil Fumarate 300mg, Lamivudine 300mg &amp; Efavirenz 600mg tablets</v>
      </c>
      <c r="D76" s="698"/>
      <c r="E76" s="569" t="s">
        <v>107</v>
      </c>
      <c r="F76" s="569"/>
      <c r="G76" s="570">
        <f>H72</f>
        <v>0.98466679186701378</v>
      </c>
      <c r="H76" s="571"/>
    </row>
    <row r="77" spans="1:8" ht="18.75" x14ac:dyDescent="0.3">
      <c r="A77" s="471" t="s">
        <v>108</v>
      </c>
      <c r="B77" s="471" t="s">
        <v>109</v>
      </c>
    </row>
    <row r="78" spans="1:8" ht="18.75" x14ac:dyDescent="0.3">
      <c r="A78" s="471"/>
      <c r="B78" s="471"/>
    </row>
    <row r="79" spans="1:8" ht="26.25" customHeight="1" x14ac:dyDescent="0.4">
      <c r="A79" s="472" t="s">
        <v>4</v>
      </c>
      <c r="B79" s="684" t="str">
        <f>B26</f>
        <v>EFAVIRENZ</v>
      </c>
      <c r="C79" s="684"/>
    </row>
    <row r="80" spans="1:8" ht="26.25" customHeight="1" x14ac:dyDescent="0.4">
      <c r="A80" s="473" t="s">
        <v>47</v>
      </c>
      <c r="B80" s="684" t="str">
        <f>B27</f>
        <v>E15-3</v>
      </c>
      <c r="C80" s="684"/>
    </row>
    <row r="81" spans="1:12" ht="27" customHeight="1" x14ac:dyDescent="0.4">
      <c r="A81" s="473" t="s">
        <v>6</v>
      </c>
      <c r="B81" s="572">
        <f>B28</f>
        <v>99.3</v>
      </c>
    </row>
    <row r="82" spans="1:12" s="14" customFormat="1" ht="27" customHeight="1" x14ac:dyDescent="0.4">
      <c r="A82" s="473" t="s">
        <v>48</v>
      </c>
      <c r="B82" s="475">
        <v>0</v>
      </c>
      <c r="C82" s="675" t="s">
        <v>49</v>
      </c>
      <c r="D82" s="676"/>
      <c r="E82" s="676"/>
      <c r="F82" s="676"/>
      <c r="G82" s="677"/>
      <c r="I82" s="476"/>
      <c r="J82" s="476"/>
      <c r="K82" s="476"/>
      <c r="L82" s="476"/>
    </row>
    <row r="83" spans="1:12" s="14" customFormat="1" ht="19.5" customHeight="1" x14ac:dyDescent="0.3">
      <c r="A83" s="473" t="s">
        <v>50</v>
      </c>
      <c r="B83" s="477">
        <f>B81-B82</f>
        <v>99.3</v>
      </c>
      <c r="C83" s="478"/>
      <c r="D83" s="478"/>
      <c r="E83" s="478"/>
      <c r="F83" s="478"/>
      <c r="G83" s="479"/>
      <c r="I83" s="476"/>
      <c r="J83" s="476"/>
      <c r="K83" s="476"/>
      <c r="L83" s="476"/>
    </row>
    <row r="84" spans="1:12" s="14" customFormat="1" ht="27" customHeight="1" x14ac:dyDescent="0.4">
      <c r="A84" s="473" t="s">
        <v>51</v>
      </c>
      <c r="B84" s="480">
        <v>1</v>
      </c>
      <c r="C84" s="678" t="s">
        <v>110</v>
      </c>
      <c r="D84" s="679"/>
      <c r="E84" s="679"/>
      <c r="F84" s="679"/>
      <c r="G84" s="679"/>
      <c r="H84" s="680"/>
      <c r="I84" s="476"/>
      <c r="J84" s="476"/>
      <c r="K84" s="476"/>
      <c r="L84" s="476"/>
    </row>
    <row r="85" spans="1:12" s="14" customFormat="1" ht="27" customHeight="1" x14ac:dyDescent="0.4">
      <c r="A85" s="473" t="s">
        <v>53</v>
      </c>
      <c r="B85" s="480">
        <v>1</v>
      </c>
      <c r="C85" s="678" t="s">
        <v>111</v>
      </c>
      <c r="D85" s="679"/>
      <c r="E85" s="679"/>
      <c r="F85" s="679"/>
      <c r="G85" s="679"/>
      <c r="H85" s="680"/>
      <c r="I85" s="476"/>
      <c r="J85" s="476"/>
      <c r="K85" s="476"/>
      <c r="L85" s="476"/>
    </row>
    <row r="86" spans="1:12" s="14" customFormat="1" ht="18.75" x14ac:dyDescent="0.3">
      <c r="A86" s="473"/>
      <c r="B86" s="483"/>
      <c r="C86" s="484"/>
      <c r="D86" s="484"/>
      <c r="E86" s="484"/>
      <c r="F86" s="484"/>
      <c r="G86" s="484"/>
      <c r="H86" s="484"/>
      <c r="I86" s="476"/>
      <c r="J86" s="476"/>
      <c r="K86" s="476"/>
      <c r="L86" s="476"/>
    </row>
    <row r="87" spans="1:12" s="14" customFormat="1" ht="18.75" x14ac:dyDescent="0.3">
      <c r="A87" s="473" t="s">
        <v>55</v>
      </c>
      <c r="B87" s="485">
        <f>B84/B85</f>
        <v>1</v>
      </c>
      <c r="C87" s="463" t="s">
        <v>56</v>
      </c>
      <c r="D87" s="463"/>
      <c r="E87" s="463"/>
      <c r="F87" s="463"/>
      <c r="G87" s="463"/>
      <c r="I87" s="476"/>
      <c r="J87" s="476"/>
      <c r="K87" s="476"/>
      <c r="L87" s="476"/>
    </row>
    <row r="88" spans="1:12" ht="19.5" customHeight="1" x14ac:dyDescent="0.3">
      <c r="A88" s="471"/>
      <c r="B88" s="471"/>
    </row>
    <row r="89" spans="1:12" ht="27" customHeight="1" x14ac:dyDescent="0.4">
      <c r="A89" s="486" t="s">
        <v>57</v>
      </c>
      <c r="B89" s="487">
        <v>25</v>
      </c>
      <c r="D89" s="573" t="s">
        <v>58</v>
      </c>
      <c r="E89" s="574"/>
      <c r="F89" s="681" t="s">
        <v>59</v>
      </c>
      <c r="G89" s="683"/>
    </row>
    <row r="90" spans="1:12" ht="27" customHeight="1" x14ac:dyDescent="0.4">
      <c r="A90" s="488" t="s">
        <v>60</v>
      </c>
      <c r="B90" s="489">
        <v>10</v>
      </c>
      <c r="C90" s="575" t="s">
        <v>61</v>
      </c>
      <c r="D90" s="491" t="s">
        <v>62</v>
      </c>
      <c r="E90" s="492" t="s">
        <v>63</v>
      </c>
      <c r="F90" s="491" t="s">
        <v>62</v>
      </c>
      <c r="G90" s="576" t="s">
        <v>63</v>
      </c>
      <c r="I90" s="494" t="s">
        <v>64</v>
      </c>
    </row>
    <row r="91" spans="1:12" ht="26.25" customHeight="1" x14ac:dyDescent="0.4">
      <c r="A91" s="488" t="s">
        <v>65</v>
      </c>
      <c r="B91" s="489">
        <v>20</v>
      </c>
      <c r="C91" s="577">
        <v>1</v>
      </c>
      <c r="D91" s="655">
        <v>193202554</v>
      </c>
      <c r="E91" s="497">
        <f>IF(ISBLANK(D91),"-",$D$101/$D$98*D91)</f>
        <v>198063629.66281447</v>
      </c>
      <c r="F91" s="655">
        <v>208770324</v>
      </c>
      <c r="G91" s="498">
        <f>IF(ISBLANK(F91),"-",$D$101/$F$98*F91)</f>
        <v>198466348.13740233</v>
      </c>
      <c r="I91" s="499"/>
    </row>
    <row r="92" spans="1:12" ht="26.25" customHeight="1" x14ac:dyDescent="0.4">
      <c r="A92" s="488" t="s">
        <v>66</v>
      </c>
      <c r="B92" s="489">
        <v>1</v>
      </c>
      <c r="C92" s="561">
        <v>2</v>
      </c>
      <c r="D92" s="656">
        <v>193110577</v>
      </c>
      <c r="E92" s="502">
        <f>IF(ISBLANK(D92),"-",$D$101/$D$98*D92)</f>
        <v>197969338.47417161</v>
      </c>
      <c r="F92" s="656">
        <v>206887666</v>
      </c>
      <c r="G92" s="503">
        <f>IF(ISBLANK(F92),"-",$D$101/$F$98*F92)</f>
        <v>196676609.77376562</v>
      </c>
      <c r="I92" s="685">
        <f>ABS((F96/D96*D95)-F95)/D95</f>
        <v>5.1419576124139242E-3</v>
      </c>
    </row>
    <row r="93" spans="1:12" ht="26.25" customHeight="1" x14ac:dyDescent="0.4">
      <c r="A93" s="488" t="s">
        <v>67</v>
      </c>
      <c r="B93" s="489">
        <v>1</v>
      </c>
      <c r="C93" s="561">
        <v>3</v>
      </c>
      <c r="D93" s="656">
        <v>195671070</v>
      </c>
      <c r="E93" s="502">
        <f>IF(ISBLANK(D93),"-",$D$101/$D$98*D93)</f>
        <v>200594254.79544461</v>
      </c>
      <c r="F93" s="656">
        <v>208952387</v>
      </c>
      <c r="G93" s="503">
        <f>IF(ISBLANK(F93),"-",$D$101/$F$98*F93)</f>
        <v>198639425.31642199</v>
      </c>
      <c r="I93" s="685"/>
    </row>
    <row r="94" spans="1:12" ht="27" customHeight="1" x14ac:dyDescent="0.4">
      <c r="A94" s="488" t="s">
        <v>68</v>
      </c>
      <c r="B94" s="489">
        <v>1</v>
      </c>
      <c r="C94" s="578">
        <v>4</v>
      </c>
      <c r="D94" s="506"/>
      <c r="E94" s="507" t="str">
        <f>IF(ISBLANK(D94),"-",$D$101/$D$98*D94)</f>
        <v>-</v>
      </c>
      <c r="F94" s="579"/>
      <c r="G94" s="508" t="str">
        <f>IF(ISBLANK(F94),"-",$D$101/$F$98*F94)</f>
        <v>-</v>
      </c>
      <c r="I94" s="509"/>
    </row>
    <row r="95" spans="1:12" ht="27" customHeight="1" x14ac:dyDescent="0.4">
      <c r="A95" s="488" t="s">
        <v>69</v>
      </c>
      <c r="B95" s="489">
        <v>1</v>
      </c>
      <c r="C95" s="580" t="s">
        <v>70</v>
      </c>
      <c r="D95" s="581">
        <f>AVERAGE(D91:D94)</f>
        <v>193994733.66666666</v>
      </c>
      <c r="E95" s="512">
        <f>AVERAGE(E91:E94)</f>
        <v>198875740.97747692</v>
      </c>
      <c r="F95" s="582">
        <f>AVERAGE(F91:F94)</f>
        <v>208203459</v>
      </c>
      <c r="G95" s="583">
        <f>AVERAGE(G91:G94)</f>
        <v>197927461.07586333</v>
      </c>
    </row>
    <row r="96" spans="1:12" ht="26.25" customHeight="1" x14ac:dyDescent="0.4">
      <c r="A96" s="488" t="s">
        <v>71</v>
      </c>
      <c r="B96" s="474">
        <v>1</v>
      </c>
      <c r="C96" s="584" t="s">
        <v>112</v>
      </c>
      <c r="D96" s="585">
        <v>29.47</v>
      </c>
      <c r="E96" s="504"/>
      <c r="F96" s="516">
        <v>31.78</v>
      </c>
    </row>
    <row r="97" spans="1:10" ht="26.25" customHeight="1" x14ac:dyDescent="0.4">
      <c r="A97" s="488" t="s">
        <v>73</v>
      </c>
      <c r="B97" s="474">
        <v>1</v>
      </c>
      <c r="C97" s="586" t="s">
        <v>113</v>
      </c>
      <c r="D97" s="587">
        <f>D96*$B$87</f>
        <v>29.47</v>
      </c>
      <c r="E97" s="519"/>
      <c r="F97" s="518">
        <f>F96*$B$87</f>
        <v>31.78</v>
      </c>
    </row>
    <row r="98" spans="1:10" ht="19.5" customHeight="1" x14ac:dyDescent="0.3">
      <c r="A98" s="488" t="s">
        <v>75</v>
      </c>
      <c r="B98" s="588">
        <f>(B97/B96)*(B95/B94)*(B93/B92)*(B91/B90)*B89</f>
        <v>50</v>
      </c>
      <c r="C98" s="586" t="s">
        <v>114</v>
      </c>
      <c r="D98" s="589">
        <f>D97*$B$83/100</f>
        <v>29.263709999999996</v>
      </c>
      <c r="E98" s="522"/>
      <c r="F98" s="521">
        <f>F97*$B$83/100</f>
        <v>31.557539999999999</v>
      </c>
    </row>
    <row r="99" spans="1:10" ht="19.5" customHeight="1" x14ac:dyDescent="0.3">
      <c r="A99" s="686" t="s">
        <v>77</v>
      </c>
      <c r="B99" s="700"/>
      <c r="C99" s="586" t="s">
        <v>115</v>
      </c>
      <c r="D99" s="590">
        <f>D98/$B$98</f>
        <v>0.58527419999999997</v>
      </c>
      <c r="E99" s="522"/>
      <c r="F99" s="525">
        <f>F98/$B$98</f>
        <v>0.63115080000000001</v>
      </c>
      <c r="G99" s="591"/>
      <c r="H99" s="514"/>
    </row>
    <row r="100" spans="1:10" ht="19.5" customHeight="1" x14ac:dyDescent="0.3">
      <c r="A100" s="688"/>
      <c r="B100" s="701"/>
      <c r="C100" s="586" t="s">
        <v>79</v>
      </c>
      <c r="D100" s="592">
        <f>$B$56/$B$116</f>
        <v>0.6</v>
      </c>
      <c r="F100" s="530"/>
      <c r="G100" s="593"/>
      <c r="H100" s="514"/>
    </row>
    <row r="101" spans="1:10" ht="18.75" x14ac:dyDescent="0.3">
      <c r="C101" s="586" t="s">
        <v>80</v>
      </c>
      <c r="D101" s="587">
        <f>D100*$B$98</f>
        <v>30</v>
      </c>
      <c r="F101" s="530"/>
      <c r="G101" s="591"/>
      <c r="H101" s="514"/>
    </row>
    <row r="102" spans="1:10" ht="19.5" customHeight="1" x14ac:dyDescent="0.3">
      <c r="C102" s="594" t="s">
        <v>81</v>
      </c>
      <c r="D102" s="595">
        <f>D101/B34</f>
        <v>30</v>
      </c>
      <c r="F102" s="534"/>
      <c r="G102" s="591"/>
      <c r="H102" s="514"/>
      <c r="J102" s="596"/>
    </row>
    <row r="103" spans="1:10" ht="18.75" x14ac:dyDescent="0.3">
      <c r="C103" s="597" t="s">
        <v>116</v>
      </c>
      <c r="D103" s="598">
        <f>AVERAGE(E91:E94,G91:G94)</f>
        <v>198401601.0266701</v>
      </c>
      <c r="F103" s="534"/>
      <c r="G103" s="599"/>
      <c r="H103" s="514"/>
      <c r="J103" s="600"/>
    </row>
    <row r="104" spans="1:10" ht="18.75" x14ac:dyDescent="0.3">
      <c r="C104" s="564" t="s">
        <v>83</v>
      </c>
      <c r="D104" s="601">
        <f>STDEV(E91:E94,G91:G94)/D103</f>
        <v>6.4330875561143808E-3</v>
      </c>
      <c r="F104" s="534"/>
      <c r="G104" s="591"/>
      <c r="H104" s="514"/>
      <c r="J104" s="600"/>
    </row>
    <row r="105" spans="1:10" ht="19.5" customHeight="1" x14ac:dyDescent="0.3">
      <c r="C105" s="566" t="s">
        <v>19</v>
      </c>
      <c r="D105" s="602">
        <f>COUNT(E91:E94,G91:G94)</f>
        <v>6</v>
      </c>
      <c r="F105" s="534"/>
      <c r="G105" s="591"/>
      <c r="H105" s="514"/>
      <c r="J105" s="600"/>
    </row>
    <row r="106" spans="1:10" ht="19.5" customHeight="1" x14ac:dyDescent="0.3">
      <c r="A106" s="538"/>
      <c r="B106" s="538"/>
      <c r="C106" s="538"/>
      <c r="D106" s="538"/>
      <c r="E106" s="538"/>
    </row>
    <row r="107" spans="1:10" ht="26.25" customHeight="1" x14ac:dyDescent="0.4">
      <c r="A107" s="486" t="s">
        <v>117</v>
      </c>
      <c r="B107" s="487">
        <v>1000</v>
      </c>
      <c r="C107" s="603" t="s">
        <v>118</v>
      </c>
      <c r="D107" s="604" t="s">
        <v>62</v>
      </c>
      <c r="E107" s="605" t="s">
        <v>119</v>
      </c>
      <c r="F107" s="606" t="s">
        <v>120</v>
      </c>
    </row>
    <row r="108" spans="1:10" ht="26.25" customHeight="1" x14ac:dyDescent="0.4">
      <c r="A108" s="488" t="s">
        <v>121</v>
      </c>
      <c r="B108" s="489">
        <v>1</v>
      </c>
      <c r="C108" s="607">
        <v>1</v>
      </c>
      <c r="D108" s="608">
        <v>202413731</v>
      </c>
      <c r="E108" s="639">
        <f t="shared" ref="E108:E113" si="1">IF(ISBLANK(D108),"-",D108/$D$103*$D$100*$B$116)</f>
        <v>612.13335966817294</v>
      </c>
      <c r="F108" s="609">
        <f t="shared" ref="F108:F113" si="2">IF(ISBLANK(D108), "-", E108/$B$56)</f>
        <v>1.0202222661136215</v>
      </c>
    </row>
    <row r="109" spans="1:10" ht="26.25" customHeight="1" x14ac:dyDescent="0.4">
      <c r="A109" s="488" t="s">
        <v>94</v>
      </c>
      <c r="B109" s="489">
        <v>1</v>
      </c>
      <c r="C109" s="607">
        <v>2</v>
      </c>
      <c r="D109" s="608">
        <v>199061444</v>
      </c>
      <c r="E109" s="640">
        <f t="shared" si="1"/>
        <v>601.99547676001225</v>
      </c>
      <c r="F109" s="610">
        <f t="shared" si="2"/>
        <v>1.0033257946000205</v>
      </c>
    </row>
    <row r="110" spans="1:10" ht="26.25" customHeight="1" x14ac:dyDescent="0.4">
      <c r="A110" s="488" t="s">
        <v>95</v>
      </c>
      <c r="B110" s="489">
        <v>1</v>
      </c>
      <c r="C110" s="607">
        <v>3</v>
      </c>
      <c r="D110" s="608">
        <v>196335148</v>
      </c>
      <c r="E110" s="640">
        <f t="shared" si="1"/>
        <v>593.75069651864658</v>
      </c>
      <c r="F110" s="610">
        <f t="shared" si="2"/>
        <v>0.9895844941977443</v>
      </c>
    </row>
    <row r="111" spans="1:10" ht="26.25" customHeight="1" x14ac:dyDescent="0.4">
      <c r="A111" s="488" t="s">
        <v>96</v>
      </c>
      <c r="B111" s="489">
        <v>1</v>
      </c>
      <c r="C111" s="607">
        <v>4</v>
      </c>
      <c r="D111" s="608">
        <v>198800903</v>
      </c>
      <c r="E111" s="640">
        <f t="shared" si="1"/>
        <v>601.20755670699327</v>
      </c>
      <c r="F111" s="610">
        <f t="shared" si="2"/>
        <v>1.0020125945116554</v>
      </c>
    </row>
    <row r="112" spans="1:10" ht="26.25" customHeight="1" x14ac:dyDescent="0.4">
      <c r="A112" s="488" t="s">
        <v>97</v>
      </c>
      <c r="B112" s="489">
        <v>1</v>
      </c>
      <c r="C112" s="607">
        <v>5</v>
      </c>
      <c r="D112" s="608">
        <v>195770416</v>
      </c>
      <c r="E112" s="640">
        <f t="shared" si="1"/>
        <v>592.04285142946082</v>
      </c>
      <c r="F112" s="610">
        <f t="shared" si="2"/>
        <v>0.98673808571576804</v>
      </c>
    </row>
    <row r="113" spans="1:10" ht="26.25" customHeight="1" x14ac:dyDescent="0.4">
      <c r="A113" s="488" t="s">
        <v>99</v>
      </c>
      <c r="B113" s="489">
        <v>1</v>
      </c>
      <c r="C113" s="611">
        <v>6</v>
      </c>
      <c r="D113" s="612">
        <v>202136601</v>
      </c>
      <c r="E113" s="641">
        <f t="shared" si="1"/>
        <v>611.29527167321942</v>
      </c>
      <c r="F113" s="613">
        <f t="shared" si="2"/>
        <v>1.0188254527886991</v>
      </c>
    </row>
    <row r="114" spans="1:10" ht="26.25" customHeight="1" x14ac:dyDescent="0.4">
      <c r="A114" s="488" t="s">
        <v>100</v>
      </c>
      <c r="B114" s="489">
        <v>1</v>
      </c>
      <c r="C114" s="607"/>
      <c r="D114" s="561"/>
      <c r="E114" s="462"/>
      <c r="F114" s="614"/>
    </row>
    <row r="115" spans="1:10" ht="26.25" customHeight="1" x14ac:dyDescent="0.4">
      <c r="A115" s="488" t="s">
        <v>101</v>
      </c>
      <c r="B115" s="489">
        <v>1</v>
      </c>
      <c r="C115" s="607"/>
      <c r="D115" s="615" t="s">
        <v>70</v>
      </c>
      <c r="E115" s="643">
        <f>AVERAGE(E108:E113)</f>
        <v>602.07086879275084</v>
      </c>
      <c r="F115" s="616">
        <f>AVERAGE(F108:F113)</f>
        <v>1.003451447987918</v>
      </c>
    </row>
    <row r="116" spans="1:10" ht="27" customHeight="1" x14ac:dyDescent="0.4">
      <c r="A116" s="488" t="s">
        <v>102</v>
      </c>
      <c r="B116" s="520">
        <f>(B115/B114)*(B113/B112)*(B111/B110)*(B109/B108)*B107</f>
        <v>1000</v>
      </c>
      <c r="C116" s="617"/>
      <c r="D116" s="580" t="s">
        <v>83</v>
      </c>
      <c r="E116" s="618">
        <f>STDEV(E108:E113)/E115</f>
        <v>1.403230215576033E-2</v>
      </c>
      <c r="F116" s="618">
        <f>STDEV(F108:F113)/F115</f>
        <v>1.4032302155760333E-2</v>
      </c>
      <c r="I116" s="462"/>
    </row>
    <row r="117" spans="1:10" ht="27" customHeight="1" x14ac:dyDescent="0.4">
      <c r="A117" s="686" t="s">
        <v>77</v>
      </c>
      <c r="B117" s="687"/>
      <c r="C117" s="619"/>
      <c r="D117" s="620" t="s">
        <v>19</v>
      </c>
      <c r="E117" s="621">
        <f>COUNT(E108:E113)</f>
        <v>6</v>
      </c>
      <c r="F117" s="621">
        <f>COUNT(F108:F113)</f>
        <v>6</v>
      </c>
      <c r="I117" s="462"/>
      <c r="J117" s="600"/>
    </row>
    <row r="118" spans="1:10" ht="19.5" customHeight="1" x14ac:dyDescent="0.3">
      <c r="A118" s="688"/>
      <c r="B118" s="689"/>
      <c r="C118" s="462"/>
      <c r="D118" s="462"/>
      <c r="E118" s="462"/>
      <c r="F118" s="561"/>
      <c r="G118" s="462"/>
      <c r="H118" s="462"/>
      <c r="I118" s="462"/>
    </row>
    <row r="119" spans="1:10" ht="18.75" x14ac:dyDescent="0.3">
      <c r="A119" s="630"/>
      <c r="B119" s="484"/>
      <c r="C119" s="462"/>
      <c r="D119" s="462"/>
      <c r="E119" s="462"/>
      <c r="F119" s="561"/>
      <c r="G119" s="462"/>
      <c r="H119" s="462"/>
      <c r="I119" s="462"/>
    </row>
    <row r="120" spans="1:10" ht="26.25" customHeight="1" x14ac:dyDescent="0.4">
      <c r="A120" s="472" t="s">
        <v>105</v>
      </c>
      <c r="B120" s="568" t="s">
        <v>122</v>
      </c>
      <c r="C120" s="698" t="str">
        <f>B20</f>
        <v>Tenofovir Disoproxil Fumarate 300mg, Lamivudine 300mg &amp; Efavirenz 600mg tablets</v>
      </c>
      <c r="D120" s="698"/>
      <c r="E120" s="569" t="s">
        <v>123</v>
      </c>
      <c r="F120" s="569"/>
      <c r="G120" s="570">
        <f>F115</f>
        <v>1.003451447987918</v>
      </c>
      <c r="H120" s="462"/>
      <c r="I120" s="462"/>
    </row>
    <row r="121" spans="1:10" ht="19.5" customHeight="1" x14ac:dyDescent="0.3">
      <c r="A121" s="622"/>
      <c r="B121" s="622"/>
      <c r="C121" s="623"/>
      <c r="D121" s="623"/>
      <c r="E121" s="623"/>
      <c r="F121" s="623"/>
      <c r="G121" s="623"/>
      <c r="H121" s="623"/>
    </row>
    <row r="122" spans="1:10" ht="18.75" x14ac:dyDescent="0.3">
      <c r="B122" s="699" t="s">
        <v>25</v>
      </c>
      <c r="C122" s="699"/>
      <c r="E122" s="575" t="s">
        <v>26</v>
      </c>
      <c r="F122" s="624"/>
      <c r="G122" s="699" t="s">
        <v>27</v>
      </c>
      <c r="H122" s="699"/>
    </row>
    <row r="123" spans="1:10" ht="69.95" customHeight="1" x14ac:dyDescent="0.3">
      <c r="A123" s="625" t="s">
        <v>28</v>
      </c>
      <c r="B123" s="626"/>
      <c r="C123" s="626"/>
      <c r="E123" s="626"/>
      <c r="F123" s="462"/>
      <c r="G123" s="627"/>
      <c r="H123" s="627"/>
    </row>
    <row r="124" spans="1:10" ht="69.95" customHeight="1" x14ac:dyDescent="0.3">
      <c r="A124" s="625" t="s">
        <v>29</v>
      </c>
      <c r="B124" s="628"/>
      <c r="C124" s="628"/>
      <c r="E124" s="628"/>
      <c r="F124" s="462"/>
      <c r="G124" s="629"/>
      <c r="H124" s="629"/>
    </row>
    <row r="125" spans="1:10" ht="18.75" x14ac:dyDescent="0.3">
      <c r="A125" s="560"/>
      <c r="B125" s="560"/>
      <c r="C125" s="561"/>
      <c r="D125" s="561"/>
      <c r="E125" s="561"/>
      <c r="F125" s="565"/>
      <c r="G125" s="561"/>
      <c r="H125" s="561"/>
      <c r="I125" s="462"/>
    </row>
    <row r="126" spans="1:10" ht="18.75" x14ac:dyDescent="0.3">
      <c r="A126" s="560"/>
      <c r="B126" s="560"/>
      <c r="C126" s="561"/>
      <c r="D126" s="561"/>
      <c r="E126" s="561"/>
      <c r="F126" s="565"/>
      <c r="G126" s="561"/>
      <c r="H126" s="561"/>
      <c r="I126" s="462"/>
    </row>
    <row r="127" spans="1:10" ht="18.75" x14ac:dyDescent="0.3">
      <c r="A127" s="560"/>
      <c r="B127" s="560"/>
      <c r="C127" s="561"/>
      <c r="D127" s="561"/>
      <c r="E127" s="561"/>
      <c r="F127" s="565"/>
      <c r="G127" s="561"/>
      <c r="H127" s="561"/>
      <c r="I127" s="462"/>
    </row>
    <row r="128" spans="1:10" ht="18.75" x14ac:dyDescent="0.3">
      <c r="A128" s="560"/>
      <c r="B128" s="560"/>
      <c r="C128" s="561"/>
      <c r="D128" s="561"/>
      <c r="E128" s="561"/>
      <c r="F128" s="565"/>
      <c r="G128" s="561"/>
      <c r="H128" s="561"/>
      <c r="I128" s="462"/>
    </row>
    <row r="129" spans="1:9" ht="18.75" x14ac:dyDescent="0.3">
      <c r="A129" s="560"/>
      <c r="B129" s="560"/>
      <c r="C129" s="561"/>
      <c r="D129" s="561"/>
      <c r="E129" s="561"/>
      <c r="F129" s="565"/>
      <c r="G129" s="561"/>
      <c r="H129" s="561"/>
      <c r="I129" s="462"/>
    </row>
    <row r="130" spans="1:9" ht="18.75" x14ac:dyDescent="0.3">
      <c r="A130" s="560"/>
      <c r="B130" s="560"/>
      <c r="C130" s="561"/>
      <c r="D130" s="561"/>
      <c r="E130" s="561"/>
      <c r="F130" s="565"/>
      <c r="G130" s="561"/>
      <c r="H130" s="561"/>
      <c r="I130" s="462"/>
    </row>
    <row r="131" spans="1:9" ht="18.75" x14ac:dyDescent="0.3">
      <c r="A131" s="560"/>
      <c r="B131" s="560"/>
      <c r="C131" s="561"/>
      <c r="D131" s="561"/>
      <c r="E131" s="561"/>
      <c r="F131" s="565"/>
      <c r="G131" s="561"/>
      <c r="H131" s="561"/>
      <c r="I131" s="462"/>
    </row>
    <row r="132" spans="1:9" ht="18.75" x14ac:dyDescent="0.3">
      <c r="A132" s="560"/>
      <c r="B132" s="560"/>
      <c r="C132" s="561"/>
      <c r="D132" s="561"/>
      <c r="E132" s="561"/>
      <c r="F132" s="565"/>
      <c r="G132" s="561"/>
      <c r="H132" s="561"/>
      <c r="I132" s="462"/>
    </row>
    <row r="133" spans="1:9" ht="18.75" x14ac:dyDescent="0.3">
      <c r="A133" s="560"/>
      <c r="B133" s="560"/>
      <c r="C133" s="561"/>
      <c r="D133" s="561"/>
      <c r="E133" s="561"/>
      <c r="F133" s="565"/>
      <c r="G133" s="561"/>
      <c r="H133" s="561"/>
      <c r="I133" s="462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LAMIVUDINE</vt:lpstr>
      <vt:lpstr>SST TENOFOVIR</vt:lpstr>
      <vt:lpstr>SST EFAVIRENZ</vt:lpstr>
      <vt:lpstr>Uniformity</vt:lpstr>
      <vt:lpstr>Lamivudine</vt:lpstr>
      <vt:lpstr>Tenofovir Disoproxil Fumarate</vt:lpstr>
      <vt:lpstr>Efavirenz</vt:lpstr>
      <vt:lpstr>Efavirenz!Print_Area</vt:lpstr>
      <vt:lpstr>Lamivudine!Print_Area</vt:lpstr>
      <vt:lpstr>'SST EFAVIRENZ'!Print_Area</vt:lpstr>
      <vt:lpstr>'SST LAMIVUDINE'!Print_Area</vt:lpstr>
      <vt:lpstr>'SST TENOFOVIR'!Print_Area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2016-05-24T07:53:47Z</cp:lastPrinted>
  <dcterms:created xsi:type="dcterms:W3CDTF">2005-07-05T10:19:27Z</dcterms:created>
  <dcterms:modified xsi:type="dcterms:W3CDTF">2016-05-24T11:27:26Z</dcterms:modified>
</cp:coreProperties>
</file>