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Abacavir" sheetId="3" r:id="rId3"/>
  </sheets>
  <definedNames>
    <definedName name="_xlnm.Print_Area" localSheetId="2">Abacavir!$A$1:$I$125</definedName>
  </definedNames>
  <calcPr calcId="145621"/>
</workbook>
</file>

<file path=xl/calcChain.xml><?xml version="1.0" encoding="utf-8"?>
<calcChain xmlns="http://schemas.openxmlformats.org/spreadsheetml/2006/main">
  <c r="C120" i="3" l="1"/>
  <c r="B116" i="3"/>
  <c r="D100" i="3" s="1"/>
  <c r="B98" i="3"/>
  <c r="F95" i="3"/>
  <c r="D95" i="3"/>
  <c r="B87" i="3"/>
  <c r="F97" i="3" s="1"/>
  <c r="B81" i="3"/>
  <c r="B83" i="3" s="1"/>
  <c r="B80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4" i="3" l="1"/>
  <c r="I92" i="3"/>
  <c r="D101" i="3"/>
  <c r="D102" i="3" s="1"/>
  <c r="B69" i="3"/>
  <c r="D45" i="3"/>
  <c r="D46" i="3" s="1"/>
  <c r="F45" i="3"/>
  <c r="G40" i="3" s="1"/>
  <c r="I39" i="3"/>
  <c r="D49" i="3"/>
  <c r="E40" i="3"/>
  <c r="G41" i="3"/>
  <c r="E41" i="3"/>
  <c r="F98" i="3"/>
  <c r="F99" i="3" s="1"/>
  <c r="D25" i="2"/>
  <c r="D29" i="2"/>
  <c r="D33" i="2"/>
  <c r="D37" i="2"/>
  <c r="D41" i="2"/>
  <c r="C50" i="2"/>
  <c r="D97" i="3"/>
  <c r="D98" i="3" s="1"/>
  <c r="D99" i="3" s="1"/>
  <c r="D26" i="2"/>
  <c r="D30" i="2"/>
  <c r="D34" i="2"/>
  <c r="D38" i="2"/>
  <c r="D42" i="2"/>
  <c r="B49" i="2"/>
  <c r="E39" i="3" l="1"/>
  <c r="G91" i="3"/>
  <c r="E38" i="3"/>
  <c r="D50" i="3" s="1"/>
  <c r="G38" i="3"/>
  <c r="F46" i="3"/>
  <c r="G39" i="3"/>
  <c r="E94" i="3"/>
  <c r="E91" i="3"/>
  <c r="E92" i="3"/>
  <c r="G94" i="3"/>
  <c r="G93" i="3"/>
  <c r="G92" i="3"/>
  <c r="E93" i="3"/>
  <c r="D52" i="3" l="1"/>
  <c r="E42" i="3"/>
  <c r="G42" i="3"/>
  <c r="G95" i="3"/>
  <c r="E95" i="3"/>
  <c r="D105" i="3"/>
  <c r="D103" i="3"/>
  <c r="G68" i="3"/>
  <c r="H68" i="3" s="1"/>
  <c r="G71" i="3"/>
  <c r="H71" i="3" s="1"/>
  <c r="G60" i="3"/>
  <c r="D51" i="3"/>
  <c r="G69" i="3"/>
  <c r="H69" i="3" s="1"/>
  <c r="G66" i="3"/>
  <c r="H66" i="3" s="1"/>
  <c r="G64" i="3"/>
  <c r="H64" i="3" s="1"/>
  <c r="G62" i="3"/>
  <c r="H62" i="3" s="1"/>
  <c r="G70" i="3"/>
  <c r="H70" i="3" s="1"/>
  <c r="G67" i="3"/>
  <c r="H67" i="3" s="1"/>
  <c r="G65" i="3"/>
  <c r="H65" i="3" s="1"/>
  <c r="G63" i="3"/>
  <c r="H63" i="3" s="1"/>
  <c r="G61" i="3"/>
  <c r="H61" i="3" s="1"/>
  <c r="E112" i="3" l="1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3"/>
  <c r="G74" i="3"/>
  <c r="G72" i="3"/>
  <c r="G73" i="3" s="1"/>
  <c r="H74" i="3" l="1"/>
  <c r="H72" i="3"/>
  <c r="E115" i="3"/>
  <c r="E116" i="3" s="1"/>
  <c r="E117" i="3"/>
  <c r="F108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<sst xmlns="http://schemas.openxmlformats.org/spreadsheetml/2006/main" count="234" uniqueCount="131">
  <si>
    <t>HPLC System Suitability Report</t>
  </si>
  <si>
    <t>Analysis Data</t>
  </si>
  <si>
    <t>Assay</t>
  </si>
  <si>
    <t>Sample(s)</t>
  </si>
  <si>
    <t>Reference Substance:</t>
  </si>
  <si>
    <t>ABACAVIR SULFATE 300MG TABLETS</t>
  </si>
  <si>
    <t>% age Purity:</t>
  </si>
  <si>
    <t>NDQB201603807</t>
  </si>
  <si>
    <t>Weight (mg):</t>
  </si>
  <si>
    <t xml:space="preserve">Abacavir Sulfate </t>
  </si>
  <si>
    <t>Standard Conc (mg/mL):</t>
  </si>
  <si>
    <t>Abacavir Sulfate 300mg</t>
  </si>
  <si>
    <t>2016-03-15 13:13:30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</si>
  <si>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</si>
  <si>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</si>
  <si>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</si>
  <si>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</si>
  <si>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</si>
  <si>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</si>
  <si>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</si>
  <si>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</si>
  <si>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</si>
  <si>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</si>
  <si>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</si>
  <si>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</si>
  <si>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</si>
  <si>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</si>
  <si>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</si>
  <si>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</si>
  <si>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</si>
  <si>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</si>
  <si>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</si>
  <si>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</si>
  <si>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</si>
  <si>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</si>
  <si>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</si>
  <si>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</si>
  <si>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</si>
  <si>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</si>
  <si>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</si>
  <si>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</si>
  <si>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</si>
  <si>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</si>
  <si>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</si>
  <si>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</si>
  <si>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</si>
  <si>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</si>
  <si>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</si>
  <si>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</si>
  <si>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</si>
  <si>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</si>
  <si>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</si>
  <si>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</si>
  <si>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</si>
  <si>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</si>
  <si>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</si>
  <si>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</si>
  <si>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</si>
  <si>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</si>
  <si>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</si>
  <si>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</si>
  <si>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</si>
  <si>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</si>
  <si>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</si>
  <si>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</si>
  <si>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</si>
  <si>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</si>
  <si>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</si>
  <si>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</si>
  <si>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</si>
  <si>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</si>
  <si>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</si>
  <si>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</si>
  <si>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</si>
  <si>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</si>
  <si>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</si>
  <si>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</si>
  <si>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</si>
  <si>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</si>
  <si>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</si>
  <si>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</si>
  <si>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</si>
  <si>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</si>
  <si>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</si>
  <si>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</si>
  <si>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</si>
  <si>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</si>
  <si>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</si>
  <si>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</si>
  <si>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</si>
  <si>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</si>
  <si>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</si>
  <si>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</si>
  <si>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</si>
  <si>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</si>
  <si>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</si>
  <si>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</si>
  <si>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</si>
  <si>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</si>
  <si>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</si>
  <si>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</si>
  <si>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</si>
  <si>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</si>
  <si>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</si>
  <si>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</si>
  <si>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</si>
  <si>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</si>
  <si>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</si>
  <si>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</si>
  <si>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</si>
  <si>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</si>
  <si>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</si>
  <si>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</si>
  <si>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</si>
  <si>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</si>
  <si>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</si>
  <si>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</si>
  <si>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</si>
  <si>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</si>
  <si>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</si>
  <si>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</si>
  <si>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</si>
  <si>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</si>
  <si>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</si>
  <si>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</si>
  <si>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A12-1</t>
  </si>
  <si>
    <t>Abacavir</t>
  </si>
  <si>
    <t>RUTTO/JOYFRIDA</t>
  </si>
  <si>
    <t>15/04/2016</t>
  </si>
  <si>
    <t>Abacavir Sulfate</t>
  </si>
  <si>
    <t>Abacavir  300mg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</si>
</sst>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4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C19" sqref="C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v>21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0.21</v>
      </c>
      <c r="C21" s="10"/>
      <c r="D21" s="10"/>
      <c r="E21" s="10"/>
    </row>
    <row r="22" spans="1:6" ht="15.75" customHeight="1" x14ac:dyDescent="0.25">
      <c r="A22" s="10"/>
      <c r="B22" s="281">
        <v>42474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26512411</v>
      </c>
      <c r="C24" s="18">
        <v>9635.8799999999992</v>
      </c>
      <c r="D24" s="19">
        <v>1.89</v>
      </c>
      <c r="E24" s="20">
        <v>14.58</v>
      </c>
    </row>
    <row r="25" spans="1:6" ht="16.5" customHeight="1" x14ac:dyDescent="0.3">
      <c r="A25" s="17">
        <v>2</v>
      </c>
      <c r="B25" s="18">
        <v>26428752</v>
      </c>
      <c r="C25" s="18">
        <v>9494.23</v>
      </c>
      <c r="D25" s="19">
        <v>1.88</v>
      </c>
      <c r="E25" s="19">
        <v>14.56</v>
      </c>
    </row>
    <row r="26" spans="1:6" ht="16.5" customHeight="1" x14ac:dyDescent="0.3">
      <c r="A26" s="17">
        <v>3</v>
      </c>
      <c r="B26" s="18">
        <v>26372918</v>
      </c>
      <c r="C26" s="18">
        <v>9339.44</v>
      </c>
      <c r="D26" s="19">
        <v>1.92</v>
      </c>
      <c r="E26" s="19">
        <v>14.54</v>
      </c>
    </row>
    <row r="27" spans="1:6" ht="16.5" customHeight="1" x14ac:dyDescent="0.3">
      <c r="A27" s="17">
        <v>4</v>
      </c>
      <c r="B27" s="18">
        <v>26338927</v>
      </c>
      <c r="C27" s="18">
        <v>9275.1200000000008</v>
      </c>
      <c r="D27" s="19">
        <v>1.93</v>
      </c>
      <c r="E27" s="19">
        <v>14.54</v>
      </c>
    </row>
    <row r="28" spans="1:6" ht="16.5" customHeight="1" x14ac:dyDescent="0.3">
      <c r="A28" s="17">
        <v>5</v>
      </c>
      <c r="B28" s="18">
        <v>26318097</v>
      </c>
      <c r="C28" s="18">
        <v>9151.6299999999992</v>
      </c>
      <c r="D28" s="19">
        <v>1.9</v>
      </c>
      <c r="E28" s="19">
        <v>14.51</v>
      </c>
    </row>
    <row r="29" spans="1:6" ht="16.5" customHeight="1" x14ac:dyDescent="0.3">
      <c r="A29" s="17">
        <v>6</v>
      </c>
      <c r="B29" s="21">
        <v>26393370</v>
      </c>
      <c r="C29" s="21">
        <v>9190.5499999999993</v>
      </c>
      <c r="D29" s="22">
        <v>1.9</v>
      </c>
      <c r="E29" s="22">
        <v>14.51</v>
      </c>
    </row>
    <row r="30" spans="1:6" ht="16.5" customHeight="1" x14ac:dyDescent="0.3">
      <c r="A30" s="23" t="s">
        <v>18</v>
      </c>
      <c r="B30" s="24">
        <f>AVERAGE(B24:B29)</f>
        <v>26394079.166666668</v>
      </c>
      <c r="C30" s="25">
        <f>AVERAGE(C24:C29)</f>
        <v>9347.8083333333343</v>
      </c>
      <c r="D30" s="26">
        <f>AVERAGE(D24:D29)</f>
        <v>1.9033333333333333</v>
      </c>
      <c r="E30" s="26">
        <f>AVERAGE(E24:E29)</f>
        <v>14.540000000000001</v>
      </c>
    </row>
    <row r="31" spans="1:6" ht="16.5" customHeight="1" x14ac:dyDescent="0.3">
      <c r="A31" s="27" t="s">
        <v>19</v>
      </c>
      <c r="B31" s="28">
        <f>(STDEV(B24:B29)/B30)</f>
        <v>2.6503761589263394E-3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 t="s">
        <v>127</v>
      </c>
      <c r="E60" s="48" t="s">
        <v>128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D17" sqref="D1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825.64</v>
      </c>
      <c r="D24" s="87">
        <f t="shared" ref="D24:D43" si="0">(C24-$C$46)/$C$46</f>
        <v>2.4939714856737336E-3</v>
      </c>
      <c r="E24" s="53"/>
    </row>
    <row r="25" spans="1:5" ht="15.75" customHeight="1" x14ac:dyDescent="0.3">
      <c r="C25" s="95">
        <v>823.92</v>
      </c>
      <c r="D25" s="88">
        <f t="shared" si="0"/>
        <v>4.0554356193531709E-4</v>
      </c>
      <c r="E25" s="53"/>
    </row>
    <row r="26" spans="1:5" ht="15.75" customHeight="1" x14ac:dyDescent="0.3">
      <c r="C26" s="95">
        <v>820.29</v>
      </c>
      <c r="D26" s="88">
        <f t="shared" si="0"/>
        <v>-4.0020107189776607E-3</v>
      </c>
      <c r="E26" s="53"/>
    </row>
    <row r="27" spans="1:5" ht="15.75" customHeight="1" x14ac:dyDescent="0.3">
      <c r="C27" s="95">
        <v>828.71</v>
      </c>
      <c r="D27" s="88">
        <f t="shared" si="0"/>
        <v>6.2215724890905596E-3</v>
      </c>
      <c r="E27" s="53"/>
    </row>
    <row r="28" spans="1:5" ht="15.75" customHeight="1" x14ac:dyDescent="0.3">
      <c r="C28" s="95">
        <v>817.75</v>
      </c>
      <c r="D28" s="88">
        <f t="shared" si="0"/>
        <v>-7.0860845133354621E-3</v>
      </c>
      <c r="E28" s="53"/>
    </row>
    <row r="29" spans="1:5" ht="15.75" customHeight="1" x14ac:dyDescent="0.3">
      <c r="C29" s="95">
        <v>822.57</v>
      </c>
      <c r="D29" s="88">
        <f t="shared" si="0"/>
        <v>-1.2336295177429548E-3</v>
      </c>
      <c r="E29" s="53"/>
    </row>
    <row r="30" spans="1:5" ht="15.75" customHeight="1" x14ac:dyDescent="0.3">
      <c r="C30" s="95">
        <v>825.86</v>
      </c>
      <c r="D30" s="88">
        <f t="shared" si="0"/>
        <v>2.7610959875472808E-3</v>
      </c>
      <c r="E30" s="53"/>
    </row>
    <row r="31" spans="1:5" ht="15.75" customHeight="1" x14ac:dyDescent="0.3">
      <c r="C31" s="95">
        <v>842.47</v>
      </c>
      <c r="D31" s="88">
        <f t="shared" si="0"/>
        <v>2.2928995878997615E-2</v>
      </c>
      <c r="E31" s="53"/>
    </row>
    <row r="32" spans="1:5" ht="15.75" customHeight="1" x14ac:dyDescent="0.3">
      <c r="C32" s="95">
        <v>818.21</v>
      </c>
      <c r="D32" s="88">
        <f t="shared" si="0"/>
        <v>-6.5275514639635242E-3</v>
      </c>
      <c r="E32" s="53"/>
    </row>
    <row r="33" spans="1:7" ht="15.75" customHeight="1" x14ac:dyDescent="0.3">
      <c r="C33" s="95">
        <v>819.45</v>
      </c>
      <c r="D33" s="88">
        <f t="shared" si="0"/>
        <v>-5.021940635221888E-3</v>
      </c>
      <c r="E33" s="53"/>
    </row>
    <row r="34" spans="1:7" ht="15.75" customHeight="1" x14ac:dyDescent="0.3">
      <c r="C34" s="95">
        <v>822.75</v>
      </c>
      <c r="D34" s="88">
        <f t="shared" si="0"/>
        <v>-1.0150731071192313E-3</v>
      </c>
      <c r="E34" s="53"/>
    </row>
    <row r="35" spans="1:7" ht="15.75" customHeight="1" x14ac:dyDescent="0.3">
      <c r="C35" s="95">
        <v>825.46</v>
      </c>
      <c r="D35" s="88">
        <f t="shared" si="0"/>
        <v>2.2754150750500099E-3</v>
      </c>
      <c r="E35" s="53"/>
    </row>
    <row r="36" spans="1:7" ht="15.75" customHeight="1" x14ac:dyDescent="0.3">
      <c r="C36" s="95">
        <v>824.41</v>
      </c>
      <c r="D36" s="88">
        <f t="shared" si="0"/>
        <v>1.0005026797445188E-3</v>
      </c>
      <c r="E36" s="53"/>
    </row>
    <row r="37" spans="1:7" ht="15.75" customHeight="1" x14ac:dyDescent="0.3">
      <c r="C37" s="95">
        <v>803.23</v>
      </c>
      <c r="D37" s="88">
        <f t="shared" si="0"/>
        <v>-2.4716301636987376E-2</v>
      </c>
      <c r="E37" s="53"/>
    </row>
    <row r="38" spans="1:7" ht="15.75" customHeight="1" x14ac:dyDescent="0.3">
      <c r="C38" s="95">
        <v>827.26</v>
      </c>
      <c r="D38" s="88">
        <f t="shared" si="0"/>
        <v>4.4609791812877976E-3</v>
      </c>
      <c r="E38" s="53"/>
    </row>
    <row r="39" spans="1:7" ht="15.75" customHeight="1" x14ac:dyDescent="0.3">
      <c r="C39" s="95">
        <v>828.09</v>
      </c>
      <c r="D39" s="88">
        <f t="shared" si="0"/>
        <v>5.4687670747197419E-3</v>
      </c>
      <c r="E39" s="53"/>
    </row>
    <row r="40" spans="1:7" ht="15.75" customHeight="1" x14ac:dyDescent="0.3">
      <c r="C40" s="95">
        <v>822.8</v>
      </c>
      <c r="D40" s="88">
        <f t="shared" si="0"/>
        <v>-9.543629930571241E-4</v>
      </c>
      <c r="E40" s="53"/>
    </row>
    <row r="41" spans="1:7" ht="15.75" customHeight="1" x14ac:dyDescent="0.3">
      <c r="C41" s="95">
        <v>825.75</v>
      </c>
      <c r="D41" s="88">
        <f t="shared" si="0"/>
        <v>2.6275337366105074E-3</v>
      </c>
      <c r="E41" s="53"/>
    </row>
    <row r="42" spans="1:7" ht="15.75" customHeight="1" x14ac:dyDescent="0.3">
      <c r="C42" s="95">
        <v>827.45</v>
      </c>
      <c r="D42" s="88">
        <f t="shared" si="0"/>
        <v>4.6916776147240807E-3</v>
      </c>
      <c r="E42" s="53"/>
    </row>
    <row r="43" spans="1:7" ht="16.5" customHeight="1" x14ac:dyDescent="0.3">
      <c r="C43" s="96">
        <v>819.65</v>
      </c>
      <c r="D43" s="89">
        <f t="shared" si="0"/>
        <v>-4.7791001789733219E-3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16471.719999999998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823.5859999999999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823.5859999999999</v>
      </c>
      <c r="C49" s="93">
        <f>-IF(C46&lt;=80,10%,IF(C46&lt;250,7.5%,5%))</f>
        <v>-0.05</v>
      </c>
      <c r="D49" s="81">
        <f>IF(C46&lt;=80,C46*0.9,IF(C46&lt;250,C46*0.925,C46*0.95))</f>
        <v>782.40669999999989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864.76529999999991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4" zoomScale="55" zoomScaleNormal="40" zoomScalePageLayoutView="55" workbookViewId="0">
      <selection activeCell="C124" sqref="C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0" t="s">
        <v>45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46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x14ac:dyDescent="0.3">
      <c r="A15" s="98"/>
    </row>
    <row r="16" spans="1:9" ht="19.5" customHeight="1" x14ac:dyDescent="0.3">
      <c r="A16" s="293" t="s">
        <v>31</v>
      </c>
      <c r="B16" s="294"/>
      <c r="C16" s="294"/>
      <c r="D16" s="294"/>
      <c r="E16" s="294"/>
      <c r="F16" s="294"/>
      <c r="G16" s="294"/>
      <c r="H16" s="295"/>
    </row>
    <row r="17" spans="1:14" ht="20.25" customHeight="1" x14ac:dyDescent="0.25">
      <c r="A17" s="296" t="s">
        <v>47</v>
      </c>
      <c r="B17" s="296"/>
      <c r="C17" s="296"/>
      <c r="D17" s="296"/>
      <c r="E17" s="296"/>
      <c r="F17" s="296"/>
      <c r="G17" s="296"/>
      <c r="H17" s="296"/>
    </row>
    <row r="18" spans="1:14" ht="26.25" customHeight="1" x14ac:dyDescent="0.4">
      <c r="A18" s="100" t="s">
        <v>33</v>
      </c>
      <c r="B18" s="292" t="s">
        <v>5</v>
      </c>
      <c r="C18" s="292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7" t="s">
        <v>9</v>
      </c>
      <c r="C20" s="29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7" t="s">
        <v>130</v>
      </c>
      <c r="C21" s="297"/>
      <c r="D21" s="297"/>
      <c r="E21" s="297"/>
      <c r="F21" s="297"/>
      <c r="G21" s="297"/>
      <c r="H21" s="297"/>
      <c r="I21" s="104"/>
    </row>
    <row r="22" spans="1:14" ht="26.25" customHeight="1" x14ac:dyDescent="0.4">
      <c r="A22" s="100" t="s">
        <v>37</v>
      </c>
      <c r="B22" s="105">
        <v>42474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42475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2" t="s">
        <v>126</v>
      </c>
      <c r="C26" s="292"/>
    </row>
    <row r="27" spans="1:14" ht="26.25" customHeight="1" x14ac:dyDescent="0.4">
      <c r="A27" s="109" t="s">
        <v>48</v>
      </c>
      <c r="B27" s="298" t="s">
        <v>125</v>
      </c>
      <c r="C27" s="298"/>
    </row>
    <row r="28" spans="1:14" ht="27" customHeight="1" x14ac:dyDescent="0.4">
      <c r="A28" s="109" t="s">
        <v>6</v>
      </c>
      <c r="B28" s="110">
        <v>99.4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572.66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670.74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0.8537734442555982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5" t="s">
        <v>59</v>
      </c>
      <c r="E36" s="306"/>
      <c r="F36" s="305" t="s">
        <v>60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26629229</v>
      </c>
      <c r="E38" s="133">
        <f>IF(ISBLANK(D38),"-",$D$48/$D$45*D38)</f>
        <v>30620099.201876864</v>
      </c>
      <c r="F38" s="132">
        <v>25053151</v>
      </c>
      <c r="G38" s="134">
        <f>IF(ISBLANK(F38),"-",$D$48/$F$45*F38)</f>
        <v>30539124.748345558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26577338</v>
      </c>
      <c r="E39" s="138">
        <f>IF(ISBLANK(D39),"-",$D$48/$D$45*D39)</f>
        <v>30560431.39971539</v>
      </c>
      <c r="F39" s="137">
        <v>25115766</v>
      </c>
      <c r="G39" s="139">
        <f>IF(ISBLANK(F39),"-",$D$48/$F$45*F39)</f>
        <v>30615450.768019397</v>
      </c>
      <c r="I39" s="309">
        <f>ABS((F43/D43*D42)-F42)/D42</f>
        <v>7.7103427165282476E-3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26332509</v>
      </c>
      <c r="E40" s="138">
        <f>IF(ISBLANK(D40),"-",$D$48/$D$45*D40)</f>
        <v>30278910.358775891</v>
      </c>
      <c r="F40" s="137">
        <v>25474247</v>
      </c>
      <c r="G40" s="139">
        <f>IF(ISBLANK(F40),"-",$D$48/$F$45*F40)</f>
        <v>31052429.572757836</v>
      </c>
      <c r="I40" s="309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26513025.333333332</v>
      </c>
      <c r="E42" s="148">
        <f>AVERAGE(E38:E41)</f>
        <v>30486480.320122719</v>
      </c>
      <c r="F42" s="147">
        <f>AVERAGE(F38:F41)</f>
        <v>25214388</v>
      </c>
      <c r="G42" s="149">
        <f>AVERAGE(G38:G41)</f>
        <v>30735668.363040928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21.52</v>
      </c>
      <c r="E43" s="140"/>
      <c r="F43" s="152">
        <v>20.3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18.373204520380472</v>
      </c>
      <c r="E44" s="155"/>
      <c r="F44" s="154">
        <f>F43*$B$34</f>
        <v>17.331600918388645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18.262965293258191</v>
      </c>
      <c r="E45" s="158"/>
      <c r="F45" s="157">
        <f>F44*$B$30/100</f>
        <v>17.227611312878313</v>
      </c>
      <c r="H45" s="150"/>
    </row>
    <row r="46" spans="1:14" ht="19.5" customHeight="1" x14ac:dyDescent="0.3">
      <c r="A46" s="310" t="s">
        <v>78</v>
      </c>
      <c r="B46" s="311"/>
      <c r="C46" s="153" t="s">
        <v>79</v>
      </c>
      <c r="D46" s="159">
        <f>D45/$B$45</f>
        <v>0.1826296529325819</v>
      </c>
      <c r="E46" s="160"/>
      <c r="F46" s="161">
        <f>F45/$B$45</f>
        <v>0.17227611312878313</v>
      </c>
      <c r="H46" s="150"/>
    </row>
    <row r="47" spans="1:14" ht="27" customHeight="1" x14ac:dyDescent="0.4">
      <c r="A47" s="312"/>
      <c r="B47" s="313"/>
      <c r="C47" s="162" t="s">
        <v>80</v>
      </c>
      <c r="D47" s="163">
        <v>0.21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21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24.596689134914261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30611074.341581825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8.1731104394425838E-3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Abacavir  300mg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 xml:space="preserve">Abacavir Sulfate </v>
      </c>
      <c r="H56" s="179"/>
    </row>
    <row r="57" spans="1:12" ht="18.75" x14ac:dyDescent="0.3">
      <c r="A57" s="176" t="s">
        <v>88</v>
      </c>
      <c r="B57" s="268">
        <f>Uniformity!C46</f>
        <v>823.5859999999999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10</v>
      </c>
      <c r="C60" s="314" t="s">
        <v>94</v>
      </c>
      <c r="D60" s="317">
        <v>493.76</v>
      </c>
      <c r="E60" s="182">
        <v>1</v>
      </c>
      <c r="F60" s="183">
        <v>25795579</v>
      </c>
      <c r="G60" s="269">
        <f>IF(ISBLANK(F60),"-",(F60/$D$50*$D$47*$B$68)*($B$57/$D$60))</f>
        <v>295.17464809177716</v>
      </c>
      <c r="H60" s="184">
        <f t="shared" ref="H60:H71" si="0">IF(ISBLANK(F60),"-",G60/$B$56)</f>
        <v>0.98391549363925723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5"/>
      <c r="D61" s="318"/>
      <c r="E61" s="185">
        <v>2</v>
      </c>
      <c r="F61" s="137">
        <v>25472164</v>
      </c>
      <c r="G61" s="270">
        <f>IF(ISBLANK(F61),"-",(F61/$D$50*$D$47*$B$68)*($B$57/$D$60))</f>
        <v>291.4738624334052</v>
      </c>
      <c r="H61" s="186">
        <f t="shared" si="0"/>
        <v>0.97157954144468406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5"/>
      <c r="D62" s="318"/>
      <c r="E62" s="185">
        <v>3</v>
      </c>
      <c r="F62" s="187">
        <v>25409556</v>
      </c>
      <c r="G62" s="270">
        <f>IF(ISBLANK(F62),"-",(F62/$D$50*$D$47*$B$68)*($B$57/$D$60))</f>
        <v>290.75744919190635</v>
      </c>
      <c r="H62" s="186">
        <f t="shared" si="0"/>
        <v>0.96919149730635445</v>
      </c>
      <c r="L62" s="112"/>
    </row>
    <row r="63" spans="1:12" ht="27" customHeight="1" x14ac:dyDescent="0.4">
      <c r="A63" s="124" t="s">
        <v>97</v>
      </c>
      <c r="B63" s="125">
        <v>1</v>
      </c>
      <c r="C63" s="316"/>
      <c r="D63" s="319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4" t="s">
        <v>99</v>
      </c>
      <c r="D64" s="317">
        <v>494.47</v>
      </c>
      <c r="E64" s="182">
        <v>1</v>
      </c>
      <c r="F64" s="183">
        <v>25647001</v>
      </c>
      <c r="G64" s="271">
        <f>IF(ISBLANK(F64),"-",(F64/$D$50*$D$47*$B$68)*($B$57/$D$64))</f>
        <v>293.05309960889787</v>
      </c>
      <c r="H64" s="190">
        <f t="shared" si="0"/>
        <v>0.97684366536299294</v>
      </c>
    </row>
    <row r="65" spans="1:8" ht="26.25" customHeight="1" x14ac:dyDescent="0.4">
      <c r="A65" s="124" t="s">
        <v>100</v>
      </c>
      <c r="B65" s="125">
        <v>1</v>
      </c>
      <c r="C65" s="315"/>
      <c r="D65" s="318"/>
      <c r="E65" s="185">
        <v>2</v>
      </c>
      <c r="F65" s="137">
        <v>25679967</v>
      </c>
      <c r="G65" s="272">
        <f>IF(ISBLANK(F65),"-",(F65/$D$50*$D$47*$B$68)*($B$57/$D$64))</f>
        <v>293.429782577862</v>
      </c>
      <c r="H65" s="191">
        <f t="shared" si="0"/>
        <v>0.97809927525953999</v>
      </c>
    </row>
    <row r="66" spans="1:8" ht="26.25" customHeight="1" x14ac:dyDescent="0.4">
      <c r="A66" s="124" t="s">
        <v>101</v>
      </c>
      <c r="B66" s="125">
        <v>1</v>
      </c>
      <c r="C66" s="315"/>
      <c r="D66" s="318"/>
      <c r="E66" s="185">
        <v>3</v>
      </c>
      <c r="F66" s="137">
        <v>25462958</v>
      </c>
      <c r="G66" s="272">
        <f>IF(ISBLANK(F66),"-",(F66/$D$50*$D$47*$B$68)*($B$57/$D$64))</f>
        <v>290.9501491855201</v>
      </c>
      <c r="H66" s="191">
        <f t="shared" si="0"/>
        <v>0.96983383061840034</v>
      </c>
    </row>
    <row r="67" spans="1:8" ht="27" customHeight="1" x14ac:dyDescent="0.4">
      <c r="A67" s="124" t="s">
        <v>102</v>
      </c>
      <c r="B67" s="125">
        <v>1</v>
      </c>
      <c r="C67" s="316"/>
      <c r="D67" s="319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314" t="s">
        <v>104</v>
      </c>
      <c r="D68" s="317">
        <v>496.05</v>
      </c>
      <c r="E68" s="182">
        <v>1</v>
      </c>
      <c r="F68" s="183">
        <v>25584318</v>
      </c>
      <c r="G68" s="271">
        <f>IF(ISBLANK(F68),"-",(F68/$D$50*$D$47*$B$68)*($B$57/$D$68))</f>
        <v>291.40571758953496</v>
      </c>
      <c r="H68" s="186">
        <f t="shared" si="0"/>
        <v>0.97135239196511658</v>
      </c>
    </row>
    <row r="69" spans="1:8" ht="27" customHeight="1" x14ac:dyDescent="0.4">
      <c r="A69" s="172" t="s">
        <v>105</v>
      </c>
      <c r="B69" s="194">
        <f>(D47*B68)/B56*B57</f>
        <v>576.51019999999994</v>
      </c>
      <c r="C69" s="315"/>
      <c r="D69" s="318"/>
      <c r="E69" s="185">
        <v>2</v>
      </c>
      <c r="F69" s="137">
        <v>25730214</v>
      </c>
      <c r="G69" s="272">
        <f>IF(ISBLANK(F69),"-",(F69/$D$50*$D$47*$B$68)*($B$57/$D$68))</f>
        <v>293.0674749431389</v>
      </c>
      <c r="H69" s="186">
        <f t="shared" si="0"/>
        <v>0.97689158314379632</v>
      </c>
    </row>
    <row r="70" spans="1:8" ht="26.25" customHeight="1" x14ac:dyDescent="0.4">
      <c r="A70" s="327" t="s">
        <v>78</v>
      </c>
      <c r="B70" s="328"/>
      <c r="C70" s="315"/>
      <c r="D70" s="318"/>
      <c r="E70" s="185">
        <v>3</v>
      </c>
      <c r="F70" s="137">
        <v>25717839</v>
      </c>
      <c r="G70" s="272">
        <f>IF(ISBLANK(F70),"-",(F70/$D$50*$D$47*$B$68)*($B$57/$D$68))</f>
        <v>292.92652353082565</v>
      </c>
      <c r="H70" s="186">
        <f t="shared" si="0"/>
        <v>0.97642174510275215</v>
      </c>
    </row>
    <row r="71" spans="1:8" ht="27" customHeight="1" x14ac:dyDescent="0.4">
      <c r="A71" s="329"/>
      <c r="B71" s="330"/>
      <c r="C71" s="326"/>
      <c r="D71" s="319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292.47096746142984</v>
      </c>
      <c r="H72" s="199">
        <f>AVERAGE(H60:H71)</f>
        <v>0.97490322487143266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4.9117766154760188E-3</v>
      </c>
      <c r="H73" s="274">
        <f>STDEV(H60:H71)/H72</f>
        <v>4.9117766154760257E-3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322" t="str">
        <f>B20</f>
        <v xml:space="preserve">Abacavir Sulfate </v>
      </c>
      <c r="D76" s="322"/>
      <c r="E76" s="205" t="s">
        <v>108</v>
      </c>
      <c r="F76" s="205"/>
      <c r="G76" s="206">
        <f>H72</f>
        <v>0.97490322487143266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8" t="s">
        <v>129</v>
      </c>
      <c r="C79" s="308"/>
    </row>
    <row r="80" spans="1:8" ht="26.25" customHeight="1" x14ac:dyDescent="0.4">
      <c r="A80" s="109" t="s">
        <v>48</v>
      </c>
      <c r="B80" s="308" t="str">
        <f>B27</f>
        <v>A12-1</v>
      </c>
      <c r="C80" s="308"/>
    </row>
    <row r="81" spans="1:12" ht="27" customHeight="1" x14ac:dyDescent="0.4">
      <c r="A81" s="109" t="s">
        <v>6</v>
      </c>
      <c r="B81" s="208">
        <f>B28</f>
        <v>99.4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572.66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670.74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0.8537734442555982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305" t="s">
        <v>60</v>
      </c>
      <c r="G89" s="307"/>
    </row>
    <row r="90" spans="1:12" ht="27" customHeight="1" x14ac:dyDescent="0.4">
      <c r="A90" s="124" t="s">
        <v>61</v>
      </c>
      <c r="B90" s="125">
        <v>3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132">
        <v>0.36220000000000002</v>
      </c>
      <c r="E91" s="133">
        <f>IF(ISBLANK(D91),"-",$D$101/$D$98*D91)</f>
        <v>0.38243288046532925</v>
      </c>
      <c r="F91" s="132">
        <v>0.3775</v>
      </c>
      <c r="G91" s="134">
        <f>IF(ISBLANK(F91),"-",$D$101/$F$98*F91)</f>
        <v>0.38019120618829505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0.36320000000000002</v>
      </c>
      <c r="E92" s="138">
        <f>IF(ISBLANK(D92),"-",$D$101/$D$98*D92)</f>
        <v>0.38348874153784535</v>
      </c>
      <c r="F92" s="137">
        <v>0.37769999999999998</v>
      </c>
      <c r="G92" s="139">
        <f>IF(ISBLANK(F92),"-",$D$101/$F$98*F92)</f>
        <v>0.38039263199289808</v>
      </c>
      <c r="I92" s="309">
        <f>ABS((F96/D96*D95)-F95)/D95</f>
        <v>5.3456221198155407E-3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0.35959999999999998</v>
      </c>
      <c r="E93" s="138">
        <f>IF(ISBLANK(D93),"-",$D$101/$D$98*D93)</f>
        <v>0.37968764167678737</v>
      </c>
      <c r="F93" s="137">
        <v>0.3765</v>
      </c>
      <c r="G93" s="139">
        <f>IF(ISBLANK(F93),"-",$D$101/$F$98*F93)</f>
        <v>0.37918407716527969</v>
      </c>
      <c r="I93" s="309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0.36166666666666664</v>
      </c>
      <c r="E95" s="148">
        <f>AVERAGE(E91:E94)</f>
        <v>0.38186975455998734</v>
      </c>
      <c r="F95" s="218">
        <f>AVERAGE(F91:F94)</f>
        <v>0.37723333333333331</v>
      </c>
      <c r="G95" s="219">
        <f>AVERAGE(G91:G94)</f>
        <v>0.37992263844882429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18.600000000000001</v>
      </c>
      <c r="E96" s="140"/>
      <c r="F96" s="152">
        <v>19.5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15.880186063154127</v>
      </c>
      <c r="E97" s="155"/>
      <c r="F97" s="154">
        <f>F96*$B$87</f>
        <v>16.648582162984166</v>
      </c>
    </row>
    <row r="98" spans="1:10" ht="19.5" customHeight="1" x14ac:dyDescent="0.3">
      <c r="A98" s="124" t="s">
        <v>76</v>
      </c>
      <c r="B98" s="224">
        <f>(B97/B96)*(B95/B94)*(B93/B92)*(B91/B90)*B89</f>
        <v>1666.6666666666667</v>
      </c>
      <c r="C98" s="222" t="s">
        <v>115</v>
      </c>
      <c r="D98" s="225">
        <f>D97*$B$83/100</f>
        <v>15.784904946775203</v>
      </c>
      <c r="E98" s="158"/>
      <c r="F98" s="157">
        <f>F97*$B$83/100</f>
        <v>16.548690670006263</v>
      </c>
    </row>
    <row r="99" spans="1:10" ht="19.5" customHeight="1" x14ac:dyDescent="0.3">
      <c r="A99" s="310" t="s">
        <v>78</v>
      </c>
      <c r="B99" s="324"/>
      <c r="C99" s="222" t="s">
        <v>116</v>
      </c>
      <c r="D99" s="226">
        <f>D98/$B$98</f>
        <v>9.4709429680651207E-3</v>
      </c>
      <c r="E99" s="158"/>
      <c r="F99" s="161">
        <f>F98/$B$98</f>
        <v>9.9292144020037571E-3</v>
      </c>
      <c r="G99" s="227"/>
      <c r="H99" s="150"/>
    </row>
    <row r="100" spans="1:10" ht="19.5" customHeight="1" x14ac:dyDescent="0.3">
      <c r="A100" s="312"/>
      <c r="B100" s="325"/>
      <c r="C100" s="222" t="s">
        <v>80</v>
      </c>
      <c r="D100" s="228">
        <f>$B$56/$B$116</f>
        <v>9.9999999999999985E-3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19.521181853106555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0.38089619650440582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4.4283104612629675E-3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3</v>
      </c>
      <c r="C108" s="243">
        <v>1</v>
      </c>
      <c r="D108" s="244">
        <v>0.35370000000000001</v>
      </c>
      <c r="E108" s="275">
        <f t="shared" ref="E108:E113" si="1">IF(ISBLANK(D108),"-",D108/$D$103*$D$100*$B$116)</f>
        <v>278.5798361175618</v>
      </c>
      <c r="F108" s="245">
        <f t="shared" ref="F108:F113" si="2">IF(ISBLANK(D108), "-", E108/$B$56)</f>
        <v>0.92859945372520603</v>
      </c>
    </row>
    <row r="109" spans="1:10" ht="26.25" customHeight="1" x14ac:dyDescent="0.4">
      <c r="A109" s="124" t="s">
        <v>95</v>
      </c>
      <c r="B109" s="125">
        <v>100</v>
      </c>
      <c r="C109" s="243">
        <v>2</v>
      </c>
      <c r="D109" s="244">
        <v>0.3745</v>
      </c>
      <c r="E109" s="276">
        <f t="shared" si="1"/>
        <v>294.9622522647071</v>
      </c>
      <c r="F109" s="246">
        <f t="shared" si="2"/>
        <v>0.98320750754902364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0.35649999999999998</v>
      </c>
      <c r="E110" s="276">
        <f t="shared" si="1"/>
        <v>280.78516136813903</v>
      </c>
      <c r="F110" s="246">
        <f t="shared" si="2"/>
        <v>0.93595053789379679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0.39510000000000001</v>
      </c>
      <c r="E111" s="276">
        <f t="shared" si="1"/>
        <v>311.18714517966828</v>
      </c>
      <c r="F111" s="246">
        <f t="shared" si="2"/>
        <v>1.0372904839322277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0.3967</v>
      </c>
      <c r="E112" s="276">
        <f t="shared" si="1"/>
        <v>312.44733103714105</v>
      </c>
      <c r="F112" s="246">
        <f t="shared" si="2"/>
        <v>1.0414911034571368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0.35709999999999997</v>
      </c>
      <c r="E113" s="277">
        <f t="shared" si="1"/>
        <v>281.25773106469131</v>
      </c>
      <c r="F113" s="249">
        <f t="shared" si="2"/>
        <v>0.93752577021563777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293.20324283865148</v>
      </c>
      <c r="F115" s="252">
        <f>AVERAGE(F108:F113)</f>
        <v>0.97734414279550474</v>
      </c>
    </row>
    <row r="116" spans="1:10" ht="27" customHeight="1" x14ac:dyDescent="0.4">
      <c r="A116" s="124" t="s">
        <v>103</v>
      </c>
      <c r="B116" s="156">
        <f>(B115/B114)*(B113/B112)*(B111/B110)*(B109/B108)*B107</f>
        <v>30000.000000000004</v>
      </c>
      <c r="C116" s="253"/>
      <c r="D116" s="216" t="s">
        <v>84</v>
      </c>
      <c r="E116" s="254">
        <f>STDEV(E108:E113)/E115</f>
        <v>5.3003846443691827E-2</v>
      </c>
      <c r="F116" s="254">
        <f>STDEV(F108:F113)/F115</f>
        <v>5.300384644369182E-2</v>
      </c>
      <c r="I116" s="98"/>
    </row>
    <row r="117" spans="1:10" ht="27" customHeight="1" x14ac:dyDescent="0.4">
      <c r="A117" s="310" t="s">
        <v>78</v>
      </c>
      <c r="B117" s="311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312"/>
      <c r="B118" s="313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2" t="str">
        <f>B20</f>
        <v xml:space="preserve">Abacavir Sulfate </v>
      </c>
      <c r="D120" s="322"/>
      <c r="E120" s="205" t="s">
        <v>124</v>
      </c>
      <c r="F120" s="205"/>
      <c r="G120" s="206">
        <f>F115</f>
        <v>0.97734414279550474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23" t="s">
        <v>26</v>
      </c>
      <c r="C122" s="323"/>
      <c r="E122" s="211" t="s">
        <v>27</v>
      </c>
      <c r="F122" s="260"/>
      <c r="G122" s="323" t="s">
        <v>28</v>
      </c>
      <c r="H122" s="323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Abacavir</vt:lpstr>
      <vt:lpstr>Abacavir!Print_Area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2016-04-15T09:49:34Z</cp:lastPrinted>
  <dcterms:created xsi:type="dcterms:W3CDTF">2005-07-05T10:19:27Z</dcterms:created>
  <dcterms:modified xsi:type="dcterms:W3CDTF">2016-04-18T06:00:35Z</dcterms:modified>
  <cp:category/>
</cp:coreProperties>
</file>