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4"/>
  </bookViews>
  <sheets>
    <sheet name="TENO SST" sheetId="9" r:id="rId1"/>
    <sheet name="LAM SST " sheetId="10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42" i="10"/>
  <c r="B39" i="10"/>
  <c r="B32" i="10"/>
  <c r="E30" i="10"/>
  <c r="D30" i="10"/>
  <c r="C30" i="10"/>
  <c r="B30" i="10"/>
  <c r="B31" i="10" s="1"/>
  <c r="B21" i="10"/>
  <c r="B54" i="9"/>
  <c r="F52" i="9"/>
  <c r="E52" i="9"/>
  <c r="D52" i="9"/>
  <c r="C52" i="9"/>
  <c r="B52" i="9"/>
  <c r="B53" i="9" s="1"/>
  <c r="B43" i="9"/>
  <c r="B40" i="9"/>
  <c r="B32" i="9"/>
  <c r="F30" i="9"/>
  <c r="E30" i="9"/>
  <c r="D30" i="9"/>
  <c r="C30" i="9"/>
  <c r="B30" i="9"/>
  <c r="B31" i="9" s="1"/>
  <c r="B21" i="9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I92" i="4" l="1"/>
  <c r="D101" i="4"/>
  <c r="D102" i="4" s="1"/>
  <c r="D97" i="4"/>
  <c r="D98" i="4" s="1"/>
  <c r="D99" i="4" s="1"/>
  <c r="I39" i="4"/>
  <c r="F98" i="4"/>
  <c r="F99" i="4" s="1"/>
  <c r="I92" i="3"/>
  <c r="B69" i="3"/>
  <c r="I39" i="3"/>
  <c r="D45" i="3"/>
  <c r="E41" i="3" s="1"/>
  <c r="F44" i="3"/>
  <c r="F45" i="3" s="1"/>
  <c r="F46" i="3" s="1"/>
  <c r="G94" i="4"/>
  <c r="F97" i="3"/>
  <c r="F98" i="3" s="1"/>
  <c r="F99" i="3" s="1"/>
  <c r="D97" i="3"/>
  <c r="D98" i="3" s="1"/>
  <c r="D99" i="3" s="1"/>
  <c r="D49" i="3"/>
  <c r="D101" i="3"/>
  <c r="D49" i="4"/>
  <c r="D29" i="2"/>
  <c r="D33" i="2"/>
  <c r="D37" i="2"/>
  <c r="D41" i="2"/>
  <c r="C50" i="2"/>
  <c r="B57" i="4"/>
  <c r="B69" i="4" s="1"/>
  <c r="D44" i="4"/>
  <c r="D45" i="4" s="1"/>
  <c r="E38" i="4" s="1"/>
  <c r="F44" i="4"/>
  <c r="F45" i="4" s="1"/>
  <c r="F46" i="4" s="1"/>
  <c r="D26" i="2"/>
  <c r="D30" i="2"/>
  <c r="D34" i="2"/>
  <c r="D38" i="2"/>
  <c r="D42" i="2"/>
  <c r="B49" i="2"/>
  <c r="G92" i="4" l="1"/>
  <c r="G91" i="4"/>
  <c r="E92" i="4"/>
  <c r="E91" i="4"/>
  <c r="G93" i="4"/>
  <c r="G38" i="4"/>
  <c r="E93" i="4"/>
  <c r="E94" i="4"/>
  <c r="G41" i="4"/>
  <c r="E40" i="3"/>
  <c r="G41" i="3"/>
  <c r="D46" i="3"/>
  <c r="E38" i="3"/>
  <c r="E39" i="3"/>
  <c r="E91" i="3"/>
  <c r="D102" i="3"/>
  <c r="G93" i="3"/>
  <c r="E92" i="3"/>
  <c r="E93" i="3"/>
  <c r="G91" i="3"/>
  <c r="G94" i="3"/>
  <c r="G92" i="3"/>
  <c r="E94" i="3"/>
  <c r="G39" i="4"/>
  <c r="D46" i="4"/>
  <c r="E41" i="4"/>
  <c r="E39" i="4"/>
  <c r="G40" i="4"/>
  <c r="E40" i="4"/>
  <c r="G40" i="3"/>
  <c r="G38" i="3"/>
  <c r="G39" i="3"/>
  <c r="G95" i="4" l="1"/>
  <c r="E95" i="4"/>
  <c r="D103" i="4"/>
  <c r="E113" i="4" s="1"/>
  <c r="F113" i="4" s="1"/>
  <c r="D50" i="4"/>
  <c r="G67" i="4" s="1"/>
  <c r="H67" i="4" s="1"/>
  <c r="G42" i="4"/>
  <c r="D52" i="4"/>
  <c r="D105" i="4"/>
  <c r="E42" i="4"/>
  <c r="D50" i="3"/>
  <c r="D51" i="3" s="1"/>
  <c r="E42" i="3"/>
  <c r="G42" i="3"/>
  <c r="G95" i="3"/>
  <c r="E95" i="3"/>
  <c r="D105" i="3"/>
  <c r="D103" i="3"/>
  <c r="D52" i="3"/>
  <c r="D104" i="4" l="1"/>
  <c r="E108" i="4"/>
  <c r="F108" i="4" s="1"/>
  <c r="E110" i="4"/>
  <c r="F110" i="4" s="1"/>
  <c r="E109" i="4"/>
  <c r="F109" i="4" s="1"/>
  <c r="E112" i="4"/>
  <c r="F112" i="4" s="1"/>
  <c r="E111" i="4"/>
  <c r="F111" i="4" s="1"/>
  <c r="G68" i="4"/>
  <c r="H68" i="4" s="1"/>
  <c r="G60" i="4"/>
  <c r="H60" i="4" s="1"/>
  <c r="G69" i="4"/>
  <c r="H69" i="4" s="1"/>
  <c r="G70" i="4"/>
  <c r="H70" i="4" s="1"/>
  <c r="G61" i="4"/>
  <c r="H61" i="4" s="1"/>
  <c r="G66" i="4"/>
  <c r="H66" i="4" s="1"/>
  <c r="G63" i="4"/>
  <c r="H63" i="4" s="1"/>
  <c r="D51" i="4"/>
  <c r="G64" i="4"/>
  <c r="H64" i="4" s="1"/>
  <c r="G65" i="4"/>
  <c r="H65" i="4" s="1"/>
  <c r="G62" i="4"/>
  <c r="H62" i="4" s="1"/>
  <c r="G71" i="4"/>
  <c r="H71" i="4" s="1"/>
  <c r="G66" i="3"/>
  <c r="H66" i="3" s="1"/>
  <c r="G61" i="3"/>
  <c r="H61" i="3" s="1"/>
  <c r="G70" i="3"/>
  <c r="H70" i="3" s="1"/>
  <c r="G69" i="3"/>
  <c r="H69" i="3" s="1"/>
  <c r="G68" i="3"/>
  <c r="H68" i="3" s="1"/>
  <c r="G65" i="3"/>
  <c r="H65" i="3" s="1"/>
  <c r="G60" i="3"/>
  <c r="H60" i="3" s="1"/>
  <c r="G67" i="3"/>
  <c r="H67" i="3" s="1"/>
  <c r="G62" i="3"/>
  <c r="H62" i="3" s="1"/>
  <c r="G71" i="3"/>
  <c r="H71" i="3" s="1"/>
  <c r="G63" i="3"/>
  <c r="H63" i="3" s="1"/>
  <c r="G64" i="3"/>
  <c r="H64" i="3" s="1"/>
  <c r="E112" i="3"/>
  <c r="F112" i="3" s="1"/>
  <c r="E109" i="3"/>
  <c r="F109" i="3" s="1"/>
  <c r="E110" i="3"/>
  <c r="F110" i="3" s="1"/>
  <c r="E108" i="3"/>
  <c r="E111" i="3"/>
  <c r="F111" i="3" s="1"/>
  <c r="D104" i="3"/>
  <c r="E113" i="3"/>
  <c r="F113" i="3" s="1"/>
  <c r="E115" i="4" l="1"/>
  <c r="E116" i="4" s="1"/>
  <c r="E117" i="4"/>
  <c r="G72" i="4"/>
  <c r="G73" i="4" s="1"/>
  <c r="G74" i="4"/>
  <c r="G72" i="3"/>
  <c r="G73" i="3" s="1"/>
  <c r="G74" i="3"/>
  <c r="H72" i="3"/>
  <c r="H74" i="3"/>
  <c r="E115" i="3"/>
  <c r="E116" i="3" s="1"/>
  <c r="E117" i="3"/>
  <c r="F108" i="3"/>
  <c r="F115" i="4"/>
  <c r="F117" i="4"/>
  <c r="H72" i="4"/>
  <c r="H74" i="4"/>
  <c r="G76" i="4" l="1"/>
  <c r="H73" i="4"/>
  <c r="G120" i="4"/>
  <c r="F116" i="4"/>
  <c r="F117" i="3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<sst xmlns="http://schemas.openxmlformats.org/spreadsheetml/2006/main" count="442" uniqueCount="133">
  <si>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</si>
  <si>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</si>
  <si>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</si>
  <si>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</si>
  <si>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</si>
  <si>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LAMIVUDINE 300 mg and TENOFOVIR DISOPROXIL FUMARATE 300 mg TABLETS</t>
  </si>
  <si>
    <t>% age Purity:</t>
  </si>
  <si>
    <t>NDQB201603814</t>
  </si>
  <si>
    <t>Weight (mg):</t>
  </si>
  <si>
    <t xml:space="preserve">Tenofovir Disproxil Fumarate/Lamivudine </t>
  </si>
  <si>
    <t>Standard Conc (mg/mL):</t>
  </si>
  <si>
    <t>Each film coated tablet contains Tenofovir disoproxil fumarate 300 mg equivalent to Tenofovir disoproxil 245 mg and Lamivudine USP 300 mg.</t>
  </si>
  <si>
    <t>2016-03-31 13:56:33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</si>
  <si>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</si>
  <si>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</si>
  <si>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</si>
  <si>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</si>
  <si>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</si>
  <si>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</si>
  <si>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</si>
  <si>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</si>
  <si>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</si>
  <si>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</si>
  <si>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</si>
  <si>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</si>
  <si>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</si>
  <si>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</si>
  <si>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</si>
  <si>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</si>
  <si>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</si>
  <si>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</si>
  <si>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</si>
  <si>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</si>
  <si>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</si>
  <si>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</si>
  <si>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</si>
  <si>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</si>
  <si>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</si>
  <si>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</si>
  <si>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</si>
  <si>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</si>
  <si>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</si>
  <si>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</si>
  <si>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</si>
  <si>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</si>
  <si>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</si>
  <si>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</si>
  <si>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</si>
  <si>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</si>
  <si>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</si>
  <si>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</si>
  <si>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</si>
  <si>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</si>
  <si>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</si>
  <si>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</si>
  <si>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</si>
  <si>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</si>
  <si>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</si>
  <si>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</si>
  <si>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</si>
  <si>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</si>
  <si>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</si>
  <si>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</si>
  <si>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</si>
  <si>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</si>
  <si>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</si>
  <si>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</si>
  <si>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</si>
  <si>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</si>
  <si>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</si>
  <si>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</si>
  <si>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</si>
  <si>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</si>
  <si>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</si>
  <si>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</si>
  <si>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</si>
  <si>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</si>
  <si>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</si>
  <si>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</si>
  <si>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</si>
  <si>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</si>
  <si>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</si>
  <si>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</si>
  <si>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</si>
  <si>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</si>
  <si>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</si>
  <si>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</si>
  <si>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</si>
  <si>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</si>
  <si>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</si>
  <si>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</si>
  <si>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</si>
  <si>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</si>
  <si>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</si>
  <si>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</si>
  <si>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</si>
  <si>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</si>
  <si>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</si>
  <si>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</si>
  <si>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</si>
  <si>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</si>
  <si>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</si>
  <si>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</si>
  <si>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</si>
  <si>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</si>
  <si>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</si>
  <si>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</si>
  <si>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</si>
  <si>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</si>
  <si>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</si>
  <si>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</si>
  <si>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</si>
  <si>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</si>
  <si>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</si>
  <si>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</si>
  <si>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</si>
  <si>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</si>
  <si>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</si>
  <si>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</si>
  <si>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</si>
  <si>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</si>
  <si>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</si>
  <si>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300mg and Tenofovir Disoproxil Fumarate 300mg Tablets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</si>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</sst>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6" fillId="2" borderId="0" xfId="2" applyFont="1" applyFill="1" applyAlignment="1">
      <alignment horizontal="center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left"/>
    </xf>
    <xf numFmtId="0" fontId="24" fillId="2" borderId="0" xfId="2" applyFont="1" applyFill="1" applyAlignment="1">
      <alignment horizontal="center"/>
    </xf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22" fontId="29" fillId="2" borderId="0" xfId="3" applyNumberFormat="1" applyFont="1" applyFill="1"/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2" fontId="28" fillId="2" borderId="0" xfId="3" applyNumberFormat="1" applyFont="1" applyFill="1" applyAlignment="1">
      <alignment horizontal="left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0" workbookViewId="0">
      <selection activeCell="B41" sqref="B4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710937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6" ht="16.5" customHeight="1" x14ac:dyDescent="0.3">
      <c r="A17" s="469" t="s">
        <v>3</v>
      </c>
      <c r="B17" s="469" t="s">
        <v>122</v>
      </c>
      <c r="D17" s="470"/>
      <c r="E17" s="471"/>
    </row>
    <row r="18" spans="1:6" ht="16.5" customHeight="1" x14ac:dyDescent="0.3">
      <c r="A18" s="472" t="s">
        <v>4</v>
      </c>
      <c r="B18" s="473" t="s">
        <v>130</v>
      </c>
      <c r="C18" s="471"/>
      <c r="D18" s="471"/>
      <c r="E18" s="471"/>
    </row>
    <row r="19" spans="1:6" ht="16.5" customHeight="1" x14ac:dyDescent="0.3">
      <c r="A19" s="472" t="s">
        <v>6</v>
      </c>
      <c r="B19" s="474">
        <v>98.8</v>
      </c>
      <c r="C19" s="471"/>
      <c r="D19" s="471"/>
      <c r="E19" s="471"/>
    </row>
    <row r="20" spans="1:6" ht="16.5" customHeight="1" x14ac:dyDescent="0.3">
      <c r="A20" s="469" t="s">
        <v>8</v>
      </c>
      <c r="B20" s="475">
        <v>17</v>
      </c>
      <c r="C20" s="471"/>
      <c r="D20" s="471"/>
      <c r="E20" s="471"/>
    </row>
    <row r="21" spans="1:6" ht="16.5" customHeight="1" x14ac:dyDescent="0.3">
      <c r="A21" s="469" t="s">
        <v>10</v>
      </c>
      <c r="B21" s="476">
        <f>B20/50*10/25</f>
        <v>0.13600000000000001</v>
      </c>
      <c r="C21" s="471"/>
      <c r="D21" s="471"/>
      <c r="E21" s="471"/>
    </row>
    <row r="22" spans="1:6" ht="15.75" customHeight="1" x14ac:dyDescent="0.25">
      <c r="A22" s="471"/>
      <c r="B22" s="477">
        <v>42506.64707175926</v>
      </c>
      <c r="C22" s="471"/>
      <c r="D22" s="471"/>
      <c r="E22" s="471"/>
    </row>
    <row r="23" spans="1:6" ht="16.5" customHeight="1" x14ac:dyDescent="0.3">
      <c r="A23" s="478" t="s">
        <v>13</v>
      </c>
      <c r="B23" s="479" t="s">
        <v>14</v>
      </c>
      <c r="C23" s="478" t="s">
        <v>15</v>
      </c>
      <c r="D23" s="478" t="s">
        <v>16</v>
      </c>
      <c r="E23" s="478" t="s">
        <v>17</v>
      </c>
      <c r="F23" s="478" t="s">
        <v>131</v>
      </c>
    </row>
    <row r="24" spans="1:6" ht="16.5" customHeight="1" x14ac:dyDescent="0.3">
      <c r="A24" s="480">
        <v>1</v>
      </c>
      <c r="B24" s="481">
        <v>28058888</v>
      </c>
      <c r="C24" s="481">
        <v>9434</v>
      </c>
      <c r="D24" s="482">
        <v>1.1000000000000001</v>
      </c>
      <c r="E24" s="483">
        <v>6.3</v>
      </c>
      <c r="F24" s="483">
        <v>17</v>
      </c>
    </row>
    <row r="25" spans="1:6" ht="16.5" customHeight="1" x14ac:dyDescent="0.3">
      <c r="A25" s="480">
        <v>2</v>
      </c>
      <c r="B25" s="481">
        <v>28147179</v>
      </c>
      <c r="C25" s="481">
        <v>9388.9</v>
      </c>
      <c r="D25" s="482">
        <v>1.1000000000000001</v>
      </c>
      <c r="E25" s="482">
        <v>6.3</v>
      </c>
      <c r="F25" s="482">
        <v>16.899999999999999</v>
      </c>
    </row>
    <row r="26" spans="1:6" ht="16.5" customHeight="1" x14ac:dyDescent="0.3">
      <c r="A26" s="480">
        <v>3</v>
      </c>
      <c r="B26" s="481">
        <v>28096999</v>
      </c>
      <c r="C26" s="481">
        <v>9414.5</v>
      </c>
      <c r="D26" s="482">
        <v>1.1000000000000001</v>
      </c>
      <c r="E26" s="482">
        <v>6.3</v>
      </c>
      <c r="F26" s="482">
        <v>17</v>
      </c>
    </row>
    <row r="27" spans="1:6" ht="16.5" customHeight="1" x14ac:dyDescent="0.3">
      <c r="A27" s="480">
        <v>4</v>
      </c>
      <c r="B27" s="481">
        <v>27951053</v>
      </c>
      <c r="C27" s="481">
        <v>9420.6</v>
      </c>
      <c r="D27" s="482">
        <v>1.1000000000000001</v>
      </c>
      <c r="E27" s="482">
        <v>6.3</v>
      </c>
      <c r="F27" s="482">
        <v>17</v>
      </c>
    </row>
    <row r="28" spans="1:6" ht="16.5" customHeight="1" x14ac:dyDescent="0.3">
      <c r="A28" s="480">
        <v>5</v>
      </c>
      <c r="B28" s="481">
        <v>28095182</v>
      </c>
      <c r="C28" s="481">
        <v>9502.1</v>
      </c>
      <c r="D28" s="482">
        <v>1.1000000000000001</v>
      </c>
      <c r="E28" s="482">
        <v>6.3</v>
      </c>
      <c r="F28" s="482">
        <v>17</v>
      </c>
    </row>
    <row r="29" spans="1:6" ht="16.5" customHeight="1" x14ac:dyDescent="0.3">
      <c r="A29" s="480">
        <v>6</v>
      </c>
      <c r="B29" s="484">
        <v>28077619</v>
      </c>
      <c r="C29" s="484">
        <v>9487.2999999999993</v>
      </c>
      <c r="D29" s="485">
        <v>1.1000000000000001</v>
      </c>
      <c r="E29" s="485">
        <v>6.3</v>
      </c>
      <c r="F29" s="485">
        <v>17</v>
      </c>
    </row>
    <row r="30" spans="1:6" ht="16.5" customHeight="1" x14ac:dyDescent="0.3">
      <c r="A30" s="486" t="s">
        <v>18</v>
      </c>
      <c r="B30" s="487">
        <f>AVERAGE(B24:B29)</f>
        <v>28071153.333333332</v>
      </c>
      <c r="C30" s="488">
        <f>AVERAGE(C24:C29)</f>
        <v>9441.2333333333318</v>
      </c>
      <c r="D30" s="489">
        <f>AVERAGE(D24:D29)</f>
        <v>1.0999999999999999</v>
      </c>
      <c r="E30" s="489">
        <f>AVERAGE(E24:E29)</f>
        <v>6.3</v>
      </c>
      <c r="F30" s="489">
        <f>AVERAGE(F24:F29)</f>
        <v>16.983333333333334</v>
      </c>
    </row>
    <row r="31" spans="1:6" ht="16.5" customHeight="1" x14ac:dyDescent="0.3">
      <c r="A31" s="490" t="s">
        <v>19</v>
      </c>
      <c r="B31" s="491">
        <f>(STDEV(B24:B29)/B30)</f>
        <v>2.3436865664604625E-3</v>
      </c>
      <c r="C31" s="492"/>
      <c r="D31" s="492"/>
      <c r="E31" s="493"/>
      <c r="F31" s="493"/>
    </row>
    <row r="32" spans="1:6" s="464" customFormat="1" ht="16.5" customHeight="1" x14ac:dyDescent="0.3">
      <c r="A32" s="494" t="s">
        <v>20</v>
      </c>
      <c r="B32" s="495">
        <f>COUNT(B24:B29)</f>
        <v>6</v>
      </c>
      <c r="C32" s="496"/>
      <c r="D32" s="497"/>
      <c r="E32" s="498"/>
      <c r="F32" s="498"/>
    </row>
    <row r="33" spans="1:6" s="464" customFormat="1" ht="15.75" customHeight="1" x14ac:dyDescent="0.25">
      <c r="A33" s="471"/>
      <c r="B33" s="471"/>
      <c r="C33" s="471"/>
      <c r="D33" s="471"/>
      <c r="E33" s="471"/>
    </row>
    <row r="34" spans="1:6" s="464" customFormat="1" ht="16.5" customHeight="1" x14ac:dyDescent="0.3">
      <c r="A34" s="472" t="s">
        <v>21</v>
      </c>
      <c r="B34" s="499" t="s">
        <v>123</v>
      </c>
      <c r="C34" s="500"/>
      <c r="D34" s="500"/>
      <c r="E34" s="500"/>
    </row>
    <row r="35" spans="1:6" ht="16.5" customHeight="1" x14ac:dyDescent="0.3">
      <c r="A35" s="472"/>
      <c r="B35" s="499" t="s">
        <v>124</v>
      </c>
      <c r="C35" s="500"/>
      <c r="D35" s="500"/>
      <c r="E35" s="500"/>
    </row>
    <row r="36" spans="1:6" ht="16.5" customHeight="1" x14ac:dyDescent="0.3">
      <c r="A36" s="472"/>
      <c r="B36" s="499" t="s">
        <v>125</v>
      </c>
      <c r="C36" s="500"/>
      <c r="D36" s="500"/>
      <c r="E36" s="500"/>
    </row>
    <row r="37" spans="1:6" ht="15.75" customHeight="1" x14ac:dyDescent="0.3">
      <c r="A37" s="471"/>
      <c r="B37" s="471" t="s">
        <v>132</v>
      </c>
      <c r="C37" s="471"/>
      <c r="D37" s="471"/>
      <c r="E37" s="471"/>
    </row>
    <row r="38" spans="1:6" ht="15.75" customHeight="1" x14ac:dyDescent="0.25">
      <c r="A38" s="471"/>
      <c r="B38" s="471"/>
      <c r="C38" s="471"/>
      <c r="D38" s="471"/>
      <c r="E38" s="471"/>
    </row>
    <row r="39" spans="1:6" ht="16.5" customHeight="1" x14ac:dyDescent="0.3">
      <c r="A39" s="467" t="s">
        <v>1</v>
      </c>
      <c r="B39" s="468" t="s">
        <v>22</v>
      </c>
    </row>
    <row r="40" spans="1:6" ht="16.5" customHeight="1" x14ac:dyDescent="0.3">
      <c r="A40" s="472" t="s">
        <v>4</v>
      </c>
      <c r="B40" s="473" t="str">
        <f>B18</f>
        <v>Tenofovir Disoproxil Fumarate</v>
      </c>
      <c r="C40" s="471"/>
      <c r="D40" s="471"/>
      <c r="E40" s="471"/>
    </row>
    <row r="41" spans="1:6" ht="16.5" customHeight="1" x14ac:dyDescent="0.3">
      <c r="A41" s="472" t="s">
        <v>6</v>
      </c>
      <c r="B41" s="475">
        <v>98.8</v>
      </c>
      <c r="C41" s="471"/>
      <c r="D41" s="471"/>
      <c r="E41" s="471"/>
    </row>
    <row r="42" spans="1:6" ht="16.5" customHeight="1" x14ac:dyDescent="0.3">
      <c r="A42" s="469" t="s">
        <v>8</v>
      </c>
      <c r="B42" s="475">
        <v>17</v>
      </c>
      <c r="C42" s="471"/>
      <c r="D42" s="471"/>
      <c r="E42" s="471"/>
    </row>
    <row r="43" spans="1:6" ht="16.5" customHeight="1" x14ac:dyDescent="0.3">
      <c r="A43" s="469" t="s">
        <v>10</v>
      </c>
      <c r="B43" s="476">
        <f>B42/50</f>
        <v>0.34</v>
      </c>
      <c r="C43" s="471"/>
      <c r="D43" s="471"/>
      <c r="E43" s="471"/>
    </row>
    <row r="44" spans="1:6" ht="15.75" customHeight="1" x14ac:dyDescent="0.25">
      <c r="A44" s="471"/>
      <c r="B44" s="471"/>
      <c r="C44" s="471"/>
      <c r="D44" s="471"/>
      <c r="E44" s="471"/>
    </row>
    <row r="45" spans="1:6" ht="16.5" customHeight="1" x14ac:dyDescent="0.3">
      <c r="A45" s="478" t="s">
        <v>13</v>
      </c>
      <c r="B45" s="479" t="s">
        <v>14</v>
      </c>
      <c r="C45" s="478" t="s">
        <v>15</v>
      </c>
      <c r="D45" s="478" t="s">
        <v>16</v>
      </c>
      <c r="E45" s="478" t="s">
        <v>17</v>
      </c>
      <c r="F45" s="478" t="s">
        <v>131</v>
      </c>
    </row>
    <row r="46" spans="1:6" ht="16.5" customHeight="1" x14ac:dyDescent="0.3">
      <c r="A46" s="480">
        <v>1</v>
      </c>
      <c r="B46" s="481">
        <v>89609824</v>
      </c>
      <c r="C46" s="481">
        <v>8450.11</v>
      </c>
      <c r="D46" s="482">
        <v>1.1299999999999999</v>
      </c>
      <c r="E46" s="483">
        <v>4.96</v>
      </c>
      <c r="F46" s="483">
        <v>13.44</v>
      </c>
    </row>
    <row r="47" spans="1:6" ht="16.5" customHeight="1" x14ac:dyDescent="0.3">
      <c r="A47" s="480">
        <v>2</v>
      </c>
      <c r="B47" s="481">
        <v>89798514</v>
      </c>
      <c r="C47" s="481">
        <v>8446.69</v>
      </c>
      <c r="D47" s="482">
        <v>1.1200000000000001</v>
      </c>
      <c r="E47" s="482">
        <v>4.96</v>
      </c>
      <c r="F47" s="482">
        <v>13.45</v>
      </c>
    </row>
    <row r="48" spans="1:6" ht="16.5" customHeight="1" x14ac:dyDescent="0.3">
      <c r="A48" s="480">
        <v>3</v>
      </c>
      <c r="B48" s="481">
        <v>90280958</v>
      </c>
      <c r="C48" s="481">
        <v>8399.2199999999993</v>
      </c>
      <c r="D48" s="482">
        <v>1.1200000000000001</v>
      </c>
      <c r="E48" s="482">
        <v>4.96</v>
      </c>
      <c r="F48" s="482">
        <v>13.46</v>
      </c>
    </row>
    <row r="49" spans="1:7" ht="16.5" customHeight="1" x14ac:dyDescent="0.3">
      <c r="A49" s="480">
        <v>4</v>
      </c>
      <c r="B49" s="481">
        <v>88989886</v>
      </c>
      <c r="C49" s="481">
        <v>8458.7900000000009</v>
      </c>
      <c r="D49" s="482">
        <v>1.1100000000000001</v>
      </c>
      <c r="E49" s="482">
        <v>4.96</v>
      </c>
      <c r="F49" s="482">
        <v>13.47</v>
      </c>
    </row>
    <row r="50" spans="1:7" ht="16.5" customHeight="1" x14ac:dyDescent="0.3">
      <c r="A50" s="480">
        <v>5</v>
      </c>
      <c r="B50" s="481">
        <v>89358910</v>
      </c>
      <c r="C50" s="481">
        <v>8420.44</v>
      </c>
      <c r="D50" s="482">
        <v>1.1399999999999999</v>
      </c>
      <c r="E50" s="482">
        <v>4.96</v>
      </c>
      <c r="F50" s="482">
        <v>13.45</v>
      </c>
    </row>
    <row r="51" spans="1:7" ht="16.5" customHeight="1" x14ac:dyDescent="0.3">
      <c r="A51" s="480">
        <v>6</v>
      </c>
      <c r="B51" s="484">
        <v>89519098</v>
      </c>
      <c r="C51" s="484">
        <v>8420.9599999999991</v>
      </c>
      <c r="D51" s="485">
        <v>1.1299999999999999</v>
      </c>
      <c r="E51" s="485">
        <v>4.96</v>
      </c>
      <c r="F51" s="485">
        <v>13.46</v>
      </c>
    </row>
    <row r="52" spans="1:7" ht="16.5" customHeight="1" x14ac:dyDescent="0.3">
      <c r="A52" s="486" t="s">
        <v>18</v>
      </c>
      <c r="B52" s="487">
        <f>AVERAGE(B46:B51)</f>
        <v>89592865</v>
      </c>
      <c r="C52" s="488">
        <f>AVERAGE(C46:C51)</f>
        <v>8432.7016666666677</v>
      </c>
      <c r="D52" s="489">
        <f>AVERAGE(D46:D51)</f>
        <v>1.125</v>
      </c>
      <c r="E52" s="489">
        <f>AVERAGE(E46:E51)</f>
        <v>4.96</v>
      </c>
      <c r="F52" s="489">
        <f>AVERAGE(F46:F51)</f>
        <v>13.454999999999998</v>
      </c>
    </row>
    <row r="53" spans="1:7" ht="16.5" customHeight="1" x14ac:dyDescent="0.3">
      <c r="A53" s="490" t="s">
        <v>19</v>
      </c>
      <c r="B53" s="491">
        <f>(STDEV(B46:B51)/B52)</f>
        <v>4.8390699537698197E-3</v>
      </c>
      <c r="C53" s="492"/>
      <c r="D53" s="492"/>
      <c r="E53" s="493"/>
      <c r="F53" s="493"/>
    </row>
    <row r="54" spans="1:7" s="464" customFormat="1" ht="16.5" customHeight="1" x14ac:dyDescent="0.3">
      <c r="A54" s="494" t="s">
        <v>20</v>
      </c>
      <c r="B54" s="495">
        <f>COUNT(B46:B51)</f>
        <v>6</v>
      </c>
      <c r="C54" s="496"/>
      <c r="D54" s="497"/>
      <c r="E54" s="498"/>
      <c r="F54" s="498"/>
    </row>
    <row r="55" spans="1:7" s="464" customFormat="1" ht="15.75" customHeight="1" x14ac:dyDescent="0.25">
      <c r="A55" s="471"/>
      <c r="B55" s="471"/>
      <c r="C55" s="471"/>
      <c r="D55" s="471"/>
      <c r="E55" s="471"/>
    </row>
    <row r="56" spans="1:7" s="464" customFormat="1" ht="16.5" customHeight="1" x14ac:dyDescent="0.3">
      <c r="A56" s="472" t="s">
        <v>21</v>
      </c>
      <c r="B56" s="499" t="s">
        <v>123</v>
      </c>
      <c r="C56" s="500"/>
      <c r="D56" s="500"/>
      <c r="E56" s="500"/>
    </row>
    <row r="57" spans="1:7" ht="16.5" customHeight="1" x14ac:dyDescent="0.3">
      <c r="A57" s="472"/>
      <c r="B57" s="499" t="s">
        <v>124</v>
      </c>
      <c r="C57" s="500"/>
      <c r="D57" s="500"/>
      <c r="E57" s="500"/>
    </row>
    <row r="58" spans="1:7" ht="16.5" customHeight="1" x14ac:dyDescent="0.3">
      <c r="A58" s="472"/>
      <c r="B58" s="499" t="s">
        <v>125</v>
      </c>
      <c r="C58" s="500"/>
      <c r="D58" s="500"/>
      <c r="E58" s="500"/>
    </row>
    <row r="59" spans="1:7" ht="14.25" customHeight="1" thickBot="1" x14ac:dyDescent="0.35">
      <c r="A59" s="501"/>
      <c r="B59" s="471" t="s">
        <v>132</v>
      </c>
      <c r="D59" s="502"/>
      <c r="F59" s="503"/>
      <c r="G59" s="503"/>
    </row>
    <row r="60" spans="1:7" ht="15" customHeight="1" x14ac:dyDescent="0.3">
      <c r="B60" s="504" t="s">
        <v>23</v>
      </c>
      <c r="C60" s="504"/>
      <c r="E60" s="505" t="s">
        <v>24</v>
      </c>
      <c r="F60" s="506"/>
      <c r="G60" s="505" t="s">
        <v>25</v>
      </c>
    </row>
    <row r="61" spans="1:7" ht="15" customHeight="1" x14ac:dyDescent="0.3">
      <c r="A61" s="507" t="s">
        <v>26</v>
      </c>
      <c r="B61" s="508"/>
      <c r="C61" s="508"/>
      <c r="E61" s="508"/>
      <c r="G61" s="508"/>
    </row>
    <row r="62" spans="1:7" ht="15" customHeight="1" x14ac:dyDescent="0.3">
      <c r="A62" s="507" t="s">
        <v>27</v>
      </c>
      <c r="B62" s="509"/>
      <c r="C62" s="509"/>
      <c r="E62" s="509"/>
      <c r="G62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122</v>
      </c>
      <c r="D17" s="518"/>
      <c r="E17" s="519"/>
    </row>
    <row r="18" spans="1:5" ht="16.5" customHeight="1" x14ac:dyDescent="0.3">
      <c r="A18" s="520" t="s">
        <v>4</v>
      </c>
      <c r="B18" s="521" t="s">
        <v>126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123</v>
      </c>
      <c r="C34" s="547"/>
      <c r="D34" s="547"/>
      <c r="E34" s="547"/>
    </row>
    <row r="35" spans="1:5" ht="16.5" customHeight="1" x14ac:dyDescent="0.3">
      <c r="A35" s="520"/>
      <c r="B35" s="546" t="s">
        <v>124</v>
      </c>
      <c r="C35" s="547"/>
      <c r="D35" s="547"/>
      <c r="E35" s="547"/>
    </row>
    <row r="36" spans="1:5" ht="16.5" customHeight="1" x14ac:dyDescent="0.3">
      <c r="A36" s="520"/>
      <c r="B36" s="546" t="s">
        <v>125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22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123</v>
      </c>
      <c r="C55" s="547"/>
      <c r="D55" s="547"/>
      <c r="E55" s="547"/>
    </row>
    <row r="56" spans="1:7" ht="16.5" customHeight="1" x14ac:dyDescent="0.3">
      <c r="A56" s="520"/>
      <c r="B56" s="546" t="s">
        <v>124</v>
      </c>
      <c r="C56" s="547"/>
      <c r="D56" s="547"/>
      <c r="E56" s="547"/>
    </row>
    <row r="57" spans="1:7" ht="16.5" customHeight="1" x14ac:dyDescent="0.3">
      <c r="A57" s="520"/>
      <c r="B57" s="546" t="s">
        <v>125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23</v>
      </c>
      <c r="C59" s="553"/>
      <c r="E59" s="554" t="s">
        <v>24</v>
      </c>
      <c r="F59" s="555"/>
      <c r="G59" s="554" t="s">
        <v>25</v>
      </c>
    </row>
    <row r="60" spans="1:7" ht="15" customHeight="1" x14ac:dyDescent="0.3">
      <c r="A60" s="556" t="s">
        <v>26</v>
      </c>
      <c r="B60" s="557"/>
      <c r="C60" s="557"/>
      <c r="E60" s="557"/>
      <c r="G60" s="557"/>
    </row>
    <row r="61" spans="1:7" ht="15" customHeight="1" x14ac:dyDescent="0.3">
      <c r="A61" s="556" t="s">
        <v>27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28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29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30</v>
      </c>
      <c r="B14" s="423"/>
      <c r="C14" s="12" t="s">
        <v>5</v>
      </c>
    </row>
    <row r="15" spans="1:7" ht="16.5" customHeight="1" x14ac:dyDescent="0.3">
      <c r="A15" s="423" t="s">
        <v>31</v>
      </c>
      <c r="B15" s="423"/>
      <c r="C15" s="12" t="s">
        <v>7</v>
      </c>
    </row>
    <row r="16" spans="1:7" ht="16.5" customHeight="1" x14ac:dyDescent="0.3">
      <c r="A16" s="423" t="s">
        <v>32</v>
      </c>
      <c r="B16" s="423"/>
      <c r="C16" s="12" t="s">
        <v>9</v>
      </c>
    </row>
    <row r="17" spans="1:5" ht="16.5" customHeight="1" x14ac:dyDescent="0.3">
      <c r="A17" s="423" t="s">
        <v>33</v>
      </c>
      <c r="B17" s="423"/>
      <c r="C17" s="12" t="s">
        <v>11</v>
      </c>
    </row>
    <row r="18" spans="1:5" ht="16.5" customHeight="1" x14ac:dyDescent="0.3">
      <c r="A18" s="423" t="s">
        <v>34</v>
      </c>
      <c r="B18" s="423"/>
      <c r="C18" s="49" t="s">
        <v>12</v>
      </c>
    </row>
    <row r="19" spans="1:5" ht="16.5" customHeight="1" x14ac:dyDescent="0.3">
      <c r="A19" s="423" t="s">
        <v>35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36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866.61</v>
      </c>
      <c r="D24" s="39">
        <f t="shared" ref="D24:D43" si="0">(C24-$C$46)/$C$46</f>
        <v>-3.2452240343258951E-3</v>
      </c>
      <c r="E24" s="5"/>
    </row>
    <row r="25" spans="1:5" ht="15.75" customHeight="1" x14ac:dyDescent="0.3">
      <c r="C25" s="47">
        <v>866.94</v>
      </c>
      <c r="D25" s="40">
        <f t="shared" si="0"/>
        <v>-2.8656656677380258E-3</v>
      </c>
      <c r="E25" s="5"/>
    </row>
    <row r="26" spans="1:5" ht="15.75" customHeight="1" x14ac:dyDescent="0.3">
      <c r="C26" s="47">
        <v>866.8</v>
      </c>
      <c r="D26" s="40">
        <f t="shared" si="0"/>
        <v>-3.0266904293208535E-3</v>
      </c>
      <c r="E26" s="5"/>
    </row>
    <row r="27" spans="1:5" ht="15.75" customHeight="1" x14ac:dyDescent="0.3">
      <c r="C27" s="47">
        <v>866.58</v>
      </c>
      <c r="D27" s="40">
        <f t="shared" si="0"/>
        <v>-3.2797293403793019E-3</v>
      </c>
      <c r="E27" s="5"/>
    </row>
    <row r="28" spans="1:5" ht="15.75" customHeight="1" x14ac:dyDescent="0.3">
      <c r="C28" s="47">
        <v>873.87</v>
      </c>
      <c r="D28" s="40">
        <f t="shared" si="0"/>
        <v>5.1050600306061789E-3</v>
      </c>
      <c r="E28" s="5"/>
    </row>
    <row r="29" spans="1:5" ht="15.75" customHeight="1" x14ac:dyDescent="0.3">
      <c r="C29" s="47">
        <v>874.61</v>
      </c>
      <c r="D29" s="40">
        <f t="shared" si="0"/>
        <v>5.9561909132576692E-3</v>
      </c>
      <c r="E29" s="5"/>
    </row>
    <row r="30" spans="1:5" ht="15.75" customHeight="1" x14ac:dyDescent="0.3">
      <c r="C30" s="47">
        <v>865.61</v>
      </c>
      <c r="D30" s="40">
        <f t="shared" si="0"/>
        <v>-4.3954009027738408E-3</v>
      </c>
      <c r="E30" s="5"/>
    </row>
    <row r="31" spans="1:5" ht="15.75" customHeight="1" x14ac:dyDescent="0.3">
      <c r="C31" s="47">
        <v>872.06</v>
      </c>
      <c r="D31" s="40">
        <f t="shared" si="0"/>
        <v>3.0232398987153296E-3</v>
      </c>
      <c r="E31" s="5"/>
    </row>
    <row r="32" spans="1:5" ht="15.75" customHeight="1" x14ac:dyDescent="0.3">
      <c r="C32" s="47">
        <v>870.57</v>
      </c>
      <c r="D32" s="40">
        <f t="shared" si="0"/>
        <v>1.3094763647280112E-3</v>
      </c>
      <c r="E32" s="5"/>
    </row>
    <row r="33" spans="1:7" ht="15.75" customHeight="1" x14ac:dyDescent="0.3">
      <c r="C33" s="47">
        <v>869.93</v>
      </c>
      <c r="D33" s="40">
        <f t="shared" si="0"/>
        <v>5.7336316892121091E-4</v>
      </c>
      <c r="E33" s="5"/>
    </row>
    <row r="34" spans="1:7" ht="15.75" customHeight="1" x14ac:dyDescent="0.3">
      <c r="C34" s="47">
        <v>869.62</v>
      </c>
      <c r="D34" s="40">
        <f t="shared" si="0"/>
        <v>2.1680833970241054E-4</v>
      </c>
      <c r="E34" s="5"/>
    </row>
    <row r="35" spans="1:7" ht="15.75" customHeight="1" x14ac:dyDescent="0.3">
      <c r="C35" s="47">
        <v>868.14</v>
      </c>
      <c r="D35" s="40">
        <f t="shared" si="0"/>
        <v>-1.4854534256005698E-3</v>
      </c>
      <c r="E35" s="5"/>
    </row>
    <row r="36" spans="1:7" ht="15.75" customHeight="1" x14ac:dyDescent="0.3">
      <c r="C36" s="47">
        <v>871.32</v>
      </c>
      <c r="D36" s="40">
        <f t="shared" si="0"/>
        <v>2.1721090160639702E-3</v>
      </c>
      <c r="E36" s="5"/>
    </row>
    <row r="37" spans="1:7" ht="15.75" customHeight="1" x14ac:dyDescent="0.3">
      <c r="C37" s="47">
        <v>870.98</v>
      </c>
      <c r="D37" s="40">
        <f t="shared" si="0"/>
        <v>1.7810488807916323E-3</v>
      </c>
      <c r="E37" s="5"/>
    </row>
    <row r="38" spans="1:7" ht="15.75" customHeight="1" x14ac:dyDescent="0.3">
      <c r="C38" s="47">
        <v>862.5</v>
      </c>
      <c r="D38" s="40">
        <f t="shared" si="0"/>
        <v>-7.9724509636469668E-3</v>
      </c>
      <c r="E38" s="5"/>
    </row>
    <row r="39" spans="1:7" ht="15.75" customHeight="1" x14ac:dyDescent="0.3">
      <c r="C39" s="47">
        <v>877.12</v>
      </c>
      <c r="D39" s="40">
        <f t="shared" si="0"/>
        <v>8.843134853062002E-3</v>
      </c>
      <c r="E39" s="5"/>
    </row>
    <row r="40" spans="1:7" ht="15.75" customHeight="1" x14ac:dyDescent="0.3">
      <c r="C40" s="47">
        <v>873.87</v>
      </c>
      <c r="D40" s="40">
        <f t="shared" si="0"/>
        <v>5.1050600306061789E-3</v>
      </c>
      <c r="E40" s="5"/>
    </row>
    <row r="41" spans="1:7" ht="15.75" customHeight="1" x14ac:dyDescent="0.3">
      <c r="C41" s="47">
        <v>871.01</v>
      </c>
      <c r="D41" s="40">
        <f t="shared" si="0"/>
        <v>1.815554186845039E-3</v>
      </c>
      <c r="E41" s="5"/>
    </row>
    <row r="42" spans="1:7" ht="15.75" customHeight="1" x14ac:dyDescent="0.3">
      <c r="C42" s="47">
        <v>864.74</v>
      </c>
      <c r="D42" s="40">
        <f t="shared" si="0"/>
        <v>-5.3960547783235583E-3</v>
      </c>
      <c r="E42" s="5"/>
    </row>
    <row r="43" spans="1:7" ht="16.5" customHeight="1" x14ac:dyDescent="0.3">
      <c r="C43" s="48">
        <v>865.75</v>
      </c>
      <c r="D43" s="41">
        <f t="shared" si="0"/>
        <v>-4.2343761411911436E-3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17388.63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869.43150000000003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16">
        <f>C46</f>
        <v>869.43150000000003</v>
      </c>
      <c r="C49" s="45">
        <f>-IF(C46&lt;=80,10%,IF(C46&lt;250,7.5%,5%))</f>
        <v>-0.05</v>
      </c>
      <c r="D49" s="33">
        <f>IF(C46&lt;=80,C46*0.9,IF(C46&lt;250,C46*0.925,C46*0.95))</f>
        <v>825.959925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912.90307500000006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C56" sqref="C5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42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43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28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44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30</v>
      </c>
      <c r="B18" s="424" t="s">
        <v>5</v>
      </c>
      <c r="C18" s="424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29" t="s">
        <v>9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29" t="s">
        <v>11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4" t="s">
        <v>126</v>
      </c>
      <c r="C26" s="424"/>
    </row>
    <row r="27" spans="1:14" ht="26.25" customHeight="1" x14ac:dyDescent="0.4">
      <c r="A27" s="61" t="s">
        <v>45</v>
      </c>
      <c r="B27" s="430" t="s">
        <v>127</v>
      </c>
      <c r="C27" s="430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431" t="s">
        <v>47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34" t="s">
        <v>50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34" t="s">
        <v>52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37" t="s">
        <v>56</v>
      </c>
      <c r="E36" s="438"/>
      <c r="F36" s="437" t="s">
        <v>57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441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441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42" t="s">
        <v>75</v>
      </c>
      <c r="B46" s="443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44"/>
      <c r="B47" s="445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Tenofovir Disproxil Fumarate/Lamivudine </v>
      </c>
      <c r="H56" s="131"/>
    </row>
    <row r="57" spans="1:12" ht="18.75" x14ac:dyDescent="0.3">
      <c r="A57" s="128" t="s">
        <v>85</v>
      </c>
      <c r="B57" s="220">
        <f>Uniformity!C46</f>
        <v>869.43150000000003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46" t="s">
        <v>91</v>
      </c>
      <c r="D60" s="449">
        <v>146.54</v>
      </c>
      <c r="E60" s="134">
        <v>1</v>
      </c>
      <c r="F60" s="135">
        <v>34430025</v>
      </c>
      <c r="G60" s="221">
        <f>IF(ISBLANK(F60),"-",(F60/$D$50*$D$47*$B$68)*($B$57/$D$60))</f>
        <v>298.27777641865629</v>
      </c>
      <c r="H60" s="136">
        <f t="shared" ref="H60:H71" si="0">IF(ISBLANK(F60),"-",G60/$B$56)</f>
        <v>0.99425925472885435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47"/>
      <c r="D61" s="450"/>
      <c r="E61" s="137">
        <v>2</v>
      </c>
      <c r="F61" s="89">
        <v>34649040</v>
      </c>
      <c r="G61" s="222">
        <f>IF(ISBLANK(F61),"-",(F61/$D$50*$D$47*$B$68)*($B$57/$D$60))</f>
        <v>300.17516996403799</v>
      </c>
      <c r="H61" s="138">
        <f t="shared" si="0"/>
        <v>1.0005838998801266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7"/>
      <c r="D62" s="450"/>
      <c r="E62" s="137">
        <v>3</v>
      </c>
      <c r="F62" s="139">
        <v>34246550</v>
      </c>
      <c r="G62" s="222">
        <f>IF(ISBLANK(F62),"-",(F62/$D$50*$D$47*$B$68)*($B$57/$D$60))</f>
        <v>296.68827670065104</v>
      </c>
      <c r="H62" s="138">
        <f t="shared" si="0"/>
        <v>0.98896092233550348</v>
      </c>
      <c r="L62" s="64"/>
    </row>
    <row r="63" spans="1:12" ht="27" customHeight="1" x14ac:dyDescent="0.4">
      <c r="A63" s="76" t="s">
        <v>94</v>
      </c>
      <c r="B63" s="77">
        <v>1</v>
      </c>
      <c r="C63" s="448"/>
      <c r="D63" s="4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46" t="s">
        <v>96</v>
      </c>
      <c r="D64" s="449">
        <v>144.35</v>
      </c>
      <c r="E64" s="134">
        <v>1</v>
      </c>
      <c r="F64" s="135">
        <v>33912708</v>
      </c>
      <c r="G64" s="223">
        <f>IF(ISBLANK(F64),"-",(F64/$D$50*$D$47*$B$68)*($B$57/$D$64))</f>
        <v>298.25341723429284</v>
      </c>
      <c r="H64" s="142">
        <f t="shared" si="0"/>
        <v>0.99417805744764276</v>
      </c>
    </row>
    <row r="65" spans="1:8" ht="26.25" customHeight="1" x14ac:dyDescent="0.4">
      <c r="A65" s="76" t="s">
        <v>97</v>
      </c>
      <c r="B65" s="77">
        <v>1</v>
      </c>
      <c r="C65" s="447"/>
      <c r="D65" s="450"/>
      <c r="E65" s="137">
        <v>2</v>
      </c>
      <c r="F65" s="89">
        <v>34162612</v>
      </c>
      <c r="G65" s="224">
        <f>IF(ISBLANK(F65),"-",(F65/$D$50*$D$47*$B$68)*($B$57/$D$64))</f>
        <v>300.45125770107359</v>
      </c>
      <c r="H65" s="143">
        <f t="shared" si="0"/>
        <v>1.0015041923369119</v>
      </c>
    </row>
    <row r="66" spans="1:8" ht="26.25" customHeight="1" x14ac:dyDescent="0.4">
      <c r="A66" s="76" t="s">
        <v>98</v>
      </c>
      <c r="B66" s="77">
        <v>1</v>
      </c>
      <c r="C66" s="447"/>
      <c r="D66" s="450"/>
      <c r="E66" s="137">
        <v>3</v>
      </c>
      <c r="F66" s="89">
        <v>34136448</v>
      </c>
      <c r="G66" s="224">
        <f>IF(ISBLANK(F66),"-",(F66/$D$50*$D$47*$B$68)*($B$57/$D$64))</f>
        <v>300.22115214865005</v>
      </c>
      <c r="H66" s="143">
        <f t="shared" si="0"/>
        <v>1.0007371738288335</v>
      </c>
    </row>
    <row r="67" spans="1:8" ht="27" customHeight="1" x14ac:dyDescent="0.4">
      <c r="A67" s="76" t="s">
        <v>99</v>
      </c>
      <c r="B67" s="77">
        <v>1</v>
      </c>
      <c r="C67" s="448"/>
      <c r="D67" s="4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446" t="s">
        <v>101</v>
      </c>
      <c r="D68" s="449">
        <v>146.06</v>
      </c>
      <c r="E68" s="134">
        <v>1</v>
      </c>
      <c r="F68" s="135">
        <v>34452828</v>
      </c>
      <c r="G68" s="223">
        <f>IF(ISBLANK(F68),"-",(F68/$D$50*$D$47*$B$68)*($B$57/$D$68))</f>
        <v>299.45621138030987</v>
      </c>
      <c r="H68" s="138">
        <f t="shared" si="0"/>
        <v>0.99818737126769952</v>
      </c>
    </row>
    <row r="69" spans="1:8" ht="27" customHeight="1" x14ac:dyDescent="0.4">
      <c r="A69" s="124" t="s">
        <v>102</v>
      </c>
      <c r="B69" s="146">
        <f>(D47*B68)/B56*B57</f>
        <v>144.90525</v>
      </c>
      <c r="C69" s="447"/>
      <c r="D69" s="450"/>
      <c r="E69" s="137">
        <v>2</v>
      </c>
      <c r="F69" s="89">
        <v>33777007</v>
      </c>
      <c r="G69" s="224">
        <f>IF(ISBLANK(F69),"-",(F69/$D$50*$D$47*$B$68)*($B$57/$D$68))</f>
        <v>293.58212765541936</v>
      </c>
      <c r="H69" s="138">
        <f t="shared" si="0"/>
        <v>0.97860709218473119</v>
      </c>
    </row>
    <row r="70" spans="1:8" ht="26.25" customHeight="1" x14ac:dyDescent="0.4">
      <c r="A70" s="459" t="s">
        <v>75</v>
      </c>
      <c r="B70" s="460"/>
      <c r="C70" s="447"/>
      <c r="D70" s="450"/>
      <c r="E70" s="137">
        <v>3</v>
      </c>
      <c r="F70" s="89">
        <v>33963928</v>
      </c>
      <c r="G70" s="224">
        <f>IF(ISBLANK(F70),"-",(F70/$D$50*$D$47*$B$68)*($B$57/$D$68))</f>
        <v>295.20680283411355</v>
      </c>
      <c r="H70" s="138">
        <f t="shared" si="0"/>
        <v>0.98402267611371186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298.0346880041339</v>
      </c>
      <c r="H72" s="151">
        <f>AVERAGE(H60:H71)</f>
        <v>0.99344896001377947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8.1296994061199127E-3</v>
      </c>
      <c r="H73" s="226">
        <f>STDEV(H60:H71)/H72</f>
        <v>8.129699406119904E-3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54" t="str">
        <f>B20</f>
        <v xml:space="preserve">Tenofovir Disproxil Fumarate/Lamivudine </v>
      </c>
      <c r="D76" s="454"/>
      <c r="E76" s="157" t="s">
        <v>105</v>
      </c>
      <c r="F76" s="157"/>
      <c r="G76" s="158">
        <f>H72</f>
        <v>0.99344896001377947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0" t="str">
        <f>B26</f>
        <v>Lamivudine</v>
      </c>
      <c r="C79" s="440"/>
    </row>
    <row r="80" spans="1:8" ht="26.25" customHeight="1" x14ac:dyDescent="0.4">
      <c r="A80" s="61" t="s">
        <v>45</v>
      </c>
      <c r="B80" s="440" t="str">
        <f>B27</f>
        <v>L3-9</v>
      </c>
      <c r="C80" s="440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431" t="s">
        <v>47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34" t="s">
        <v>108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34" t="s">
        <v>109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37" t="s">
        <v>57</v>
      </c>
      <c r="G89" s="439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41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41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42" t="s">
        <v>75</v>
      </c>
      <c r="B99" s="456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44"/>
      <c r="B100" s="457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103543712</v>
      </c>
      <c r="E108" s="227">
        <f t="shared" ref="E108:E113" si="1">IF(ISBLANK(D108),"-",D108/$D$103*$D$100*$B$116)</f>
        <v>294.4382937781134</v>
      </c>
      <c r="F108" s="197">
        <f t="shared" ref="F108:F113" si="2">IF(ISBLANK(D108), "-", E108/$B$56)</f>
        <v>0.98146097926037801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103467189</v>
      </c>
      <c r="E109" s="228">
        <f t="shared" si="1"/>
        <v>294.22069194484334</v>
      </c>
      <c r="F109" s="198">
        <f t="shared" si="2"/>
        <v>0.98073563981614442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105295304</v>
      </c>
      <c r="E110" s="228">
        <f t="shared" si="1"/>
        <v>299.41914437650985</v>
      </c>
      <c r="F110" s="198">
        <f t="shared" si="2"/>
        <v>0.99806381458836613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103954048</v>
      </c>
      <c r="E111" s="228">
        <f t="shared" si="1"/>
        <v>295.60513075335854</v>
      </c>
      <c r="F111" s="198">
        <f t="shared" si="2"/>
        <v>0.98535043584452842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105793330</v>
      </c>
      <c r="E112" s="228">
        <f t="shared" si="1"/>
        <v>300.83533781660157</v>
      </c>
      <c r="F112" s="198">
        <f t="shared" si="2"/>
        <v>1.0027844593886719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104776124</v>
      </c>
      <c r="E113" s="229">
        <f t="shared" si="1"/>
        <v>297.94279713715531</v>
      </c>
      <c r="F113" s="201">
        <f t="shared" si="2"/>
        <v>0.99314265712385108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297.076899301097</v>
      </c>
      <c r="F115" s="204">
        <f>AVERAGE(F108:F113)</f>
        <v>0.99025633100365662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9.2367065732525261E-3</v>
      </c>
      <c r="F116" s="206">
        <f>STDEV(F108:F113)/F115</f>
        <v>9.2367065732525382E-3</v>
      </c>
      <c r="I116" s="50"/>
    </row>
    <row r="117" spans="1:10" ht="27" customHeight="1" x14ac:dyDescent="0.4">
      <c r="A117" s="442" t="s">
        <v>75</v>
      </c>
      <c r="B117" s="44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54" t="str">
        <f>B20</f>
        <v xml:space="preserve">Tenofovir Disproxil Fumarate/Lamivudine </v>
      </c>
      <c r="D120" s="454"/>
      <c r="E120" s="157" t="s">
        <v>121</v>
      </c>
      <c r="F120" s="157"/>
      <c r="G120" s="158">
        <f>F115</f>
        <v>0.99025633100365662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55" t="s">
        <v>23</v>
      </c>
      <c r="C122" s="455"/>
      <c r="E122" s="163" t="s">
        <v>24</v>
      </c>
      <c r="F122" s="212"/>
      <c r="G122" s="455" t="s">
        <v>25</v>
      </c>
      <c r="H122" s="455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0" zoomScale="60" zoomScaleNormal="40" zoomScalePageLayoutView="50" workbookViewId="0">
      <selection activeCell="G78" sqref="G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42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43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3"/>
    </row>
    <row r="16" spans="1:9" ht="19.5" customHeight="1" x14ac:dyDescent="0.3">
      <c r="A16" s="425" t="s">
        <v>28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44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5" t="s">
        <v>30</v>
      </c>
      <c r="B18" s="424" t="s">
        <v>5</v>
      </c>
      <c r="C18" s="424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429" t="s">
        <v>9</v>
      </c>
      <c r="C20" s="429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429" t="s">
        <v>11</v>
      </c>
      <c r="C21" s="429"/>
      <c r="D21" s="429"/>
      <c r="E21" s="429"/>
      <c r="F21" s="429"/>
      <c r="G21" s="429"/>
      <c r="H21" s="429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24" t="s">
        <v>128</v>
      </c>
      <c r="C26" s="424"/>
    </row>
    <row r="27" spans="1:14" ht="26.25" customHeight="1" x14ac:dyDescent="0.4">
      <c r="A27" s="244" t="s">
        <v>45</v>
      </c>
      <c r="B27" s="430" t="s">
        <v>129</v>
      </c>
      <c r="C27" s="430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431" t="s">
        <v>47</v>
      </c>
      <c r="D29" s="432"/>
      <c r="E29" s="432"/>
      <c r="F29" s="432"/>
      <c r="G29" s="433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34" t="s">
        <v>50</v>
      </c>
      <c r="D31" s="435"/>
      <c r="E31" s="435"/>
      <c r="F31" s="435"/>
      <c r="G31" s="435"/>
      <c r="H31" s="436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34" t="s">
        <v>52</v>
      </c>
      <c r="D32" s="435"/>
      <c r="E32" s="435"/>
      <c r="F32" s="435"/>
      <c r="G32" s="435"/>
      <c r="H32" s="43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437" t="s">
        <v>56</v>
      </c>
      <c r="E36" s="438"/>
      <c r="F36" s="437" t="s">
        <v>57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41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41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42" t="s">
        <v>75</v>
      </c>
      <c r="B46" s="443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44"/>
      <c r="B47" s="445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film coated tablet contains Tenofovir disoproxil fumarate 300 mg equivalent to Tenofovir disoproxil 245 mg and Lamivudine USP 300 mg.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 xml:space="preserve">Tenofovir Disproxil Fumarate/Lamivudine </v>
      </c>
      <c r="H56" s="314"/>
    </row>
    <row r="57" spans="1:12" ht="18.75" x14ac:dyDescent="0.3">
      <c r="A57" s="311" t="s">
        <v>85</v>
      </c>
      <c r="B57" s="403">
        <f>Uniformity!C46</f>
        <v>869.43150000000003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446" t="s">
        <v>91</v>
      </c>
      <c r="D60" s="449">
        <v>146.54</v>
      </c>
      <c r="E60" s="317">
        <v>1</v>
      </c>
      <c r="F60" s="318">
        <v>26645128</v>
      </c>
      <c r="G60" s="404">
        <f>IF(ISBLANK(F60),"-",(F60/$D$50*$D$47*$B$68)*($B$57/$D$60))</f>
        <v>283.15359864264349</v>
      </c>
      <c r="H60" s="319">
        <f t="shared" ref="H60:H71" si="0">IF(ISBLANK(F60),"-",G60/$B$56)</f>
        <v>0.94384532880881167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447"/>
      <c r="D61" s="450"/>
      <c r="E61" s="320">
        <v>2</v>
      </c>
      <c r="F61" s="272">
        <v>26812694</v>
      </c>
      <c r="G61" s="405">
        <f>IF(ISBLANK(F61),"-",(F61/$D$50*$D$47*$B$68)*($B$57/$D$60))</f>
        <v>284.93429625873881</v>
      </c>
      <c r="H61" s="321">
        <f t="shared" si="0"/>
        <v>0.94978098752912932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47"/>
      <c r="D62" s="450"/>
      <c r="E62" s="320">
        <v>3</v>
      </c>
      <c r="F62" s="322">
        <v>26500033</v>
      </c>
      <c r="G62" s="405">
        <f>IF(ISBLANK(F62),"-",(F62/$D$50*$D$47*$B$68)*($B$57/$D$60))</f>
        <v>281.61169682122789</v>
      </c>
      <c r="H62" s="321">
        <f t="shared" si="0"/>
        <v>0.93870565607075962</v>
      </c>
      <c r="L62" s="247"/>
    </row>
    <row r="63" spans="1:12" ht="27" customHeight="1" x14ac:dyDescent="0.4">
      <c r="A63" s="259" t="s">
        <v>94</v>
      </c>
      <c r="B63" s="260">
        <v>1</v>
      </c>
      <c r="C63" s="448"/>
      <c r="D63" s="4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46" t="s">
        <v>96</v>
      </c>
      <c r="D64" s="449">
        <v>144.35</v>
      </c>
      <c r="E64" s="317">
        <v>1</v>
      </c>
      <c r="F64" s="318">
        <v>26046155</v>
      </c>
      <c r="G64" s="406">
        <f>IF(ISBLANK(F64),"-",(F64/$D$50*$D$47*$B$68)*($B$57/$D$64))</f>
        <v>280.98769021621649</v>
      </c>
      <c r="H64" s="325">
        <f t="shared" si="0"/>
        <v>0.93662563405405497</v>
      </c>
    </row>
    <row r="65" spans="1:8" ht="26.25" customHeight="1" x14ac:dyDescent="0.4">
      <c r="A65" s="259" t="s">
        <v>97</v>
      </c>
      <c r="B65" s="260">
        <v>1</v>
      </c>
      <c r="C65" s="447"/>
      <c r="D65" s="450"/>
      <c r="E65" s="320">
        <v>2</v>
      </c>
      <c r="F65" s="272">
        <v>26246833</v>
      </c>
      <c r="G65" s="407">
        <f>IF(ISBLANK(F65),"-",(F65/$D$50*$D$47*$B$68)*($B$57/$D$64))</f>
        <v>283.15261811813565</v>
      </c>
      <c r="H65" s="326">
        <f t="shared" si="0"/>
        <v>0.94384206039378549</v>
      </c>
    </row>
    <row r="66" spans="1:8" ht="26.25" customHeight="1" x14ac:dyDescent="0.4">
      <c r="A66" s="259" t="s">
        <v>98</v>
      </c>
      <c r="B66" s="260">
        <v>1</v>
      </c>
      <c r="C66" s="447"/>
      <c r="D66" s="450"/>
      <c r="E66" s="320">
        <v>3</v>
      </c>
      <c r="F66" s="272">
        <v>26221565</v>
      </c>
      <c r="G66" s="407">
        <f>IF(ISBLANK(F66),"-",(F66/$D$50*$D$47*$B$68)*($B$57/$D$64))</f>
        <v>282.88002521694227</v>
      </c>
      <c r="H66" s="326">
        <f t="shared" si="0"/>
        <v>0.94293341738980763</v>
      </c>
    </row>
    <row r="67" spans="1:8" ht="27" customHeight="1" x14ac:dyDescent="0.4">
      <c r="A67" s="259" t="s">
        <v>99</v>
      </c>
      <c r="B67" s="260">
        <v>1</v>
      </c>
      <c r="C67" s="448"/>
      <c r="D67" s="4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446" t="s">
        <v>101</v>
      </c>
      <c r="D68" s="449">
        <v>146.06</v>
      </c>
      <c r="E68" s="317">
        <v>1</v>
      </c>
      <c r="F68" s="318">
        <v>27126226</v>
      </c>
      <c r="G68" s="406">
        <f>IF(ISBLANK(F68),"-",(F68/$D$50*$D$47*$B$68)*($B$57/$D$68))</f>
        <v>289.21348669523945</v>
      </c>
      <c r="H68" s="321">
        <f t="shared" si="0"/>
        <v>0.96404495565079817</v>
      </c>
    </row>
    <row r="69" spans="1:8" ht="27" customHeight="1" x14ac:dyDescent="0.4">
      <c r="A69" s="307" t="s">
        <v>102</v>
      </c>
      <c r="B69" s="329">
        <f>(D47*B68)/B56*B57</f>
        <v>144.90525</v>
      </c>
      <c r="C69" s="447"/>
      <c r="D69" s="450"/>
      <c r="E69" s="320">
        <v>2</v>
      </c>
      <c r="F69" s="272">
        <v>26589435</v>
      </c>
      <c r="G69" s="407">
        <f>IF(ISBLANK(F69),"-",(F69/$D$50*$D$47*$B$68)*($B$57/$D$68))</f>
        <v>283.4903464125984</v>
      </c>
      <c r="H69" s="321">
        <f t="shared" si="0"/>
        <v>0.94496782137532798</v>
      </c>
    </row>
    <row r="70" spans="1:8" ht="26.25" customHeight="1" x14ac:dyDescent="0.4">
      <c r="A70" s="459" t="s">
        <v>75</v>
      </c>
      <c r="B70" s="460"/>
      <c r="C70" s="447"/>
      <c r="D70" s="450"/>
      <c r="E70" s="320">
        <v>3</v>
      </c>
      <c r="F70" s="272">
        <v>26742535</v>
      </c>
      <c r="G70" s="407">
        <f>IF(ISBLANK(F70),"-",(F70/$D$50*$D$47*$B$68)*($B$57/$D$68))</f>
        <v>285.12266285842617</v>
      </c>
      <c r="H70" s="321">
        <f t="shared" si="0"/>
        <v>0.95040887619475389</v>
      </c>
    </row>
    <row r="71" spans="1:8" ht="27" customHeight="1" x14ac:dyDescent="0.4">
      <c r="A71" s="461"/>
      <c r="B71" s="462"/>
      <c r="C71" s="458"/>
      <c r="D71" s="4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283.83849124890764</v>
      </c>
      <c r="H72" s="334">
        <f>AVERAGE(H60:H71)</f>
        <v>0.94612830416302529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8.5218164522063398E-3</v>
      </c>
      <c r="H73" s="409">
        <f>STDEV(H60:H71)/H72</f>
        <v>8.5218164522063364E-3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454" t="str">
        <f>B20</f>
        <v xml:space="preserve">Tenofovir Disproxil Fumarate/Lamivudine </v>
      </c>
      <c r="D76" s="454"/>
      <c r="E76" s="340" t="s">
        <v>105</v>
      </c>
      <c r="F76" s="340"/>
      <c r="G76" s="341">
        <f>H72</f>
        <v>0.94612830416302529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40" t="str">
        <f>B26</f>
        <v>Tenofovir Disoproxil Fumurate</v>
      </c>
      <c r="C79" s="440"/>
    </row>
    <row r="80" spans="1:8" ht="26.25" customHeight="1" x14ac:dyDescent="0.4">
      <c r="A80" s="244" t="s">
        <v>45</v>
      </c>
      <c r="B80" s="440" t="str">
        <f>B27</f>
        <v>T11-6</v>
      </c>
      <c r="C80" s="440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431" t="s">
        <v>47</v>
      </c>
      <c r="D82" s="432"/>
      <c r="E82" s="432"/>
      <c r="F82" s="432"/>
      <c r="G82" s="433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34" t="s">
        <v>108</v>
      </c>
      <c r="D84" s="435"/>
      <c r="E84" s="435"/>
      <c r="F84" s="435"/>
      <c r="G84" s="435"/>
      <c r="H84" s="436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34" t="s">
        <v>109</v>
      </c>
      <c r="D85" s="435"/>
      <c r="E85" s="435"/>
      <c r="F85" s="435"/>
      <c r="G85" s="435"/>
      <c r="H85" s="43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437" t="s">
        <v>57</v>
      </c>
      <c r="G89" s="439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41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41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42" t="s">
        <v>75</v>
      </c>
      <c r="B99" s="456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44"/>
      <c r="B100" s="457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82875193</v>
      </c>
      <c r="E108" s="410">
        <f t="shared" ref="E108:E113" si="1">IF(ISBLANK(D108),"-",D108/$D$103*$D$100*$B$116)</f>
        <v>280.25691644588255</v>
      </c>
      <c r="F108" s="380">
        <f t="shared" ref="F108:F113" si="2">IF(ISBLANK(D108), "-", E108/$B$56)</f>
        <v>0.93418972148627522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84645619</v>
      </c>
      <c r="E109" s="411">
        <f t="shared" si="1"/>
        <v>286.24392068194652</v>
      </c>
      <c r="F109" s="381">
        <f t="shared" si="2"/>
        <v>0.95414640227315506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84765589</v>
      </c>
      <c r="E110" s="411">
        <f t="shared" si="1"/>
        <v>286.64962015664958</v>
      </c>
      <c r="F110" s="381">
        <f t="shared" si="2"/>
        <v>0.95549873385549855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85257007</v>
      </c>
      <c r="E111" s="411">
        <f t="shared" si="1"/>
        <v>288.31143581439414</v>
      </c>
      <c r="F111" s="381">
        <f t="shared" si="2"/>
        <v>0.96103811938131378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84524603</v>
      </c>
      <c r="E112" s="411">
        <f t="shared" si="1"/>
        <v>285.83468397584784</v>
      </c>
      <c r="F112" s="381">
        <f t="shared" si="2"/>
        <v>0.95278227991949282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83501575</v>
      </c>
      <c r="E113" s="412">
        <f t="shared" si="1"/>
        <v>282.37513640390074</v>
      </c>
      <c r="F113" s="384">
        <f t="shared" si="2"/>
        <v>0.94125045467966917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284.9452855797702</v>
      </c>
      <c r="F115" s="387">
        <f>AVERAGE(F108:F113)</f>
        <v>0.94981761859923408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1.0563335677092596E-2</v>
      </c>
      <c r="F116" s="389">
        <f>STDEV(F108:F113)/F115</f>
        <v>1.0563335677092566E-2</v>
      </c>
      <c r="I116" s="233"/>
    </row>
    <row r="117" spans="1:10" ht="27" customHeight="1" x14ac:dyDescent="0.4">
      <c r="A117" s="442" t="s">
        <v>75</v>
      </c>
      <c r="B117" s="44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44"/>
      <c r="B118" s="44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454" t="str">
        <f>B20</f>
        <v xml:space="preserve">Tenofovir Disproxil Fumarate/Lamivudine </v>
      </c>
      <c r="D120" s="454"/>
      <c r="E120" s="340" t="s">
        <v>121</v>
      </c>
      <c r="F120" s="340"/>
      <c r="G120" s="341">
        <f>F115</f>
        <v>0.94981761859923408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5" t="s">
        <v>23</v>
      </c>
      <c r="C122" s="455"/>
      <c r="E122" s="346" t="s">
        <v>24</v>
      </c>
      <c r="F122" s="395"/>
      <c r="G122" s="455" t="s">
        <v>25</v>
      </c>
      <c r="H122" s="455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2016-05-18T07:25:42Z</cp:lastPrinted>
  <dcterms:created xsi:type="dcterms:W3CDTF">2005-07-05T10:19:27Z</dcterms:created>
  <dcterms:modified xsi:type="dcterms:W3CDTF">2016-05-26T07:39:30Z</dcterms:modified>
</cp:coreProperties>
</file>