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6"/>
  </bookViews>
  <sheets>
    <sheet name="SST LAMIVUDINE" sheetId="1" r:id="rId1"/>
    <sheet name="SST TENOFOVIR" sheetId="8" r:id="rId2"/>
    <sheet name="SST EFAVIRENZ" sheetId="9" r:id="rId3"/>
    <sheet name="Uniformity" sheetId="2" r:id="rId4"/>
    <sheet name="Lamivudine" sheetId="6" r:id="rId5"/>
    <sheet name="Tenofovir Disoproxil Fumarate" sheetId="4" r:id="rId6"/>
    <sheet name="Efavirenz" sheetId="7" r:id="rId7"/>
  </sheets>
  <definedNames>
    <definedName name="_xlnm.Print_Area" localSheetId="6">Efavirenz!$A$1:$I$124</definedName>
    <definedName name="_xlnm.Print_Area" localSheetId="4">Lamivudine!$A$1:$I$124</definedName>
    <definedName name="_xlnm.Print_Area" localSheetId="2">'SST EFAVIRENZ'!$A$15:$G$61</definedName>
    <definedName name="_xlnm.Print_Area" localSheetId="0">'SST LAMIVUDINE'!$A$15:$G$61</definedName>
    <definedName name="_xlnm.Print_Area" localSheetId="1">'SST TENOFOVIR'!$A$15:$G$61</definedName>
    <definedName name="_xlnm.Print_Area" localSheetId="5">'Tenofovir Disoproxil Fumarate'!$A$1:$I$124</definedName>
    <definedName name="_xlnm.Print_Area" localSheetId="3">Uniformity!$A$12:$F$54</definedName>
  </definedNames>
  <calcPr calcId="145621"/>
</workbook>
</file>

<file path=xl/calcChain.xml><?xml version="1.0" encoding="utf-8"?>
<calcChain xmlns="http://schemas.openxmlformats.org/spreadsheetml/2006/main">
  <c r="B57" i="7" l="1"/>
  <c r="B57" i="6"/>
  <c r="B53" i="9" l="1"/>
  <c r="E51" i="9"/>
  <c r="D51" i="9"/>
  <c r="C51" i="9"/>
  <c r="B51" i="9"/>
  <c r="B52" i="9" s="1"/>
  <c r="B32" i="9"/>
  <c r="E30" i="9"/>
  <c r="D30" i="9"/>
  <c r="C30" i="9"/>
  <c r="B30" i="9"/>
  <c r="B31" i="9" s="1"/>
  <c r="B53" i="8"/>
  <c r="E51" i="8"/>
  <c r="D51" i="8"/>
  <c r="C51" i="8"/>
  <c r="B51" i="8"/>
  <c r="B52" i="8" s="1"/>
  <c r="B32" i="8"/>
  <c r="E30" i="8"/>
  <c r="D30" i="8"/>
  <c r="C30" i="8"/>
  <c r="B30" i="8"/>
  <c r="B31" i="8" s="1"/>
  <c r="C120" i="7"/>
  <c r="B116" i="7"/>
  <c r="D100" i="7" s="1"/>
  <c r="B98" i="7"/>
  <c r="F95" i="7"/>
  <c r="D95" i="7"/>
  <c r="G94" i="7"/>
  <c r="E94" i="7"/>
  <c r="B87" i="7"/>
  <c r="F97" i="7" s="1"/>
  <c r="B81" i="7"/>
  <c r="B83" i="7" s="1"/>
  <c r="B80" i="7"/>
  <c r="B79" i="7"/>
  <c r="C76" i="7"/>
  <c r="H71" i="7"/>
  <c r="G71" i="7"/>
  <c r="B68" i="7"/>
  <c r="H63" i="7"/>
  <c r="G63" i="7"/>
  <c r="C56" i="7"/>
  <c r="B55" i="7"/>
  <c r="D48" i="7"/>
  <c r="D49" i="7" s="1"/>
  <c r="B45" i="7"/>
  <c r="F42" i="7"/>
  <c r="D42" i="7"/>
  <c r="G41" i="7"/>
  <c r="E41" i="7"/>
  <c r="B34" i="7"/>
  <c r="F44" i="7" s="1"/>
  <c r="F45" i="7" s="1"/>
  <c r="B30" i="7"/>
  <c r="C120" i="6"/>
  <c r="B116" i="6"/>
  <c r="D101" i="6"/>
  <c r="D102" i="6" s="1"/>
  <c r="D100" i="6"/>
  <c r="B98" i="6"/>
  <c r="D97" i="6"/>
  <c r="D98" i="6" s="1"/>
  <c r="F95" i="6"/>
  <c r="D95" i="6"/>
  <c r="G94" i="6"/>
  <c r="E94" i="6"/>
  <c r="B87" i="6"/>
  <c r="F97" i="6" s="1"/>
  <c r="F98" i="6" s="1"/>
  <c r="B81" i="6"/>
  <c r="B83" i="6" s="1"/>
  <c r="B80" i="6"/>
  <c r="B79" i="6"/>
  <c r="C76" i="6"/>
  <c r="H71" i="6"/>
  <c r="G71" i="6"/>
  <c r="B68" i="6"/>
  <c r="H67" i="6"/>
  <c r="G67" i="6"/>
  <c r="H63" i="6"/>
  <c r="G63" i="6"/>
  <c r="C56" i="6"/>
  <c r="B55" i="6"/>
  <c r="B45" i="6"/>
  <c r="D48" i="6" s="1"/>
  <c r="F42" i="6"/>
  <c r="D42" i="6"/>
  <c r="G41" i="6"/>
  <c r="E41" i="6"/>
  <c r="B34" i="6"/>
  <c r="D44" i="6" s="1"/>
  <c r="D45" i="6" s="1"/>
  <c r="D46" i="6" s="1"/>
  <c r="B30" i="6"/>
  <c r="B69" i="7" l="1"/>
  <c r="D44" i="7"/>
  <c r="D45" i="7" s="1"/>
  <c r="D101" i="7"/>
  <c r="F98" i="7"/>
  <c r="F99" i="7" s="1"/>
  <c r="B69" i="6"/>
  <c r="I92" i="7"/>
  <c r="I92" i="6"/>
  <c r="I39" i="7"/>
  <c r="G39" i="7"/>
  <c r="E40" i="7"/>
  <c r="E38" i="7"/>
  <c r="E39" i="7"/>
  <c r="D46" i="7"/>
  <c r="G38" i="7"/>
  <c r="G40" i="7"/>
  <c r="F46" i="7"/>
  <c r="D102" i="7"/>
  <c r="G93" i="7"/>
  <c r="G91" i="7"/>
  <c r="D97" i="7"/>
  <c r="D98" i="7" s="1"/>
  <c r="D99" i="7" s="1"/>
  <c r="I39" i="6"/>
  <c r="G91" i="6"/>
  <c r="F99" i="6"/>
  <c r="D49" i="6"/>
  <c r="E40" i="6"/>
  <c r="E38" i="6"/>
  <c r="G40" i="6"/>
  <c r="E39" i="6"/>
  <c r="D99" i="6"/>
  <c r="E91" i="6"/>
  <c r="E93" i="6"/>
  <c r="F44" i="6"/>
  <c r="F45" i="6" s="1"/>
  <c r="F46" i="6" s="1"/>
  <c r="G92" i="6"/>
  <c r="E92" i="6"/>
  <c r="G93" i="6"/>
  <c r="G92" i="7" l="1"/>
  <c r="E92" i="7"/>
  <c r="E91" i="7"/>
  <c r="D52" i="7"/>
  <c r="D50" i="7"/>
  <c r="G67" i="7" s="1"/>
  <c r="H67" i="7" s="1"/>
  <c r="E42" i="7"/>
  <c r="G42" i="7"/>
  <c r="G95" i="7"/>
  <c r="E93" i="7"/>
  <c r="E95" i="6"/>
  <c r="D105" i="6"/>
  <c r="D103" i="6"/>
  <c r="E42" i="6"/>
  <c r="G39" i="6"/>
  <c r="G38" i="6"/>
  <c r="G95" i="6"/>
  <c r="D103" i="7" l="1"/>
  <c r="E112" i="7" s="1"/>
  <c r="F112" i="7" s="1"/>
  <c r="E95" i="7"/>
  <c r="D104" i="7"/>
  <c r="G68" i="7"/>
  <c r="H68" i="7" s="1"/>
  <c r="G69" i="7"/>
  <c r="H69" i="7" s="1"/>
  <c r="G66" i="7"/>
  <c r="H66" i="7" s="1"/>
  <c r="G64" i="7"/>
  <c r="H64" i="7" s="1"/>
  <c r="G62" i="7"/>
  <c r="H62" i="7" s="1"/>
  <c r="G60" i="7"/>
  <c r="G70" i="7"/>
  <c r="H70" i="7" s="1"/>
  <c r="G61" i="7"/>
  <c r="H61" i="7" s="1"/>
  <c r="D51" i="7"/>
  <c r="G65" i="7"/>
  <c r="H65" i="7" s="1"/>
  <c r="D105" i="7"/>
  <c r="G42" i="6"/>
  <c r="D52" i="6"/>
  <c r="E112" i="6"/>
  <c r="F112" i="6" s="1"/>
  <c r="E110" i="6"/>
  <c r="F110" i="6" s="1"/>
  <c r="E108" i="6"/>
  <c r="E113" i="6"/>
  <c r="F113" i="6" s="1"/>
  <c r="E111" i="6"/>
  <c r="F111" i="6" s="1"/>
  <c r="E109" i="6"/>
  <c r="F109" i="6" s="1"/>
  <c r="D104" i="6"/>
  <c r="D50" i="6"/>
  <c r="E113" i="7" l="1"/>
  <c r="F113" i="7" s="1"/>
  <c r="E108" i="7"/>
  <c r="F108" i="7" s="1"/>
  <c r="E109" i="7"/>
  <c r="F109" i="7" s="1"/>
  <c r="E110" i="7"/>
  <c r="F110" i="7" s="1"/>
  <c r="E111" i="7"/>
  <c r="F111" i="7" s="1"/>
  <c r="H60" i="7"/>
  <c r="G74" i="7"/>
  <c r="G72" i="7"/>
  <c r="G73" i="7" s="1"/>
  <c r="G68" i="6"/>
  <c r="H68" i="6" s="1"/>
  <c r="G66" i="6"/>
  <c r="H66" i="6" s="1"/>
  <c r="G64" i="6"/>
  <c r="H64" i="6" s="1"/>
  <c r="G62" i="6"/>
  <c r="H62" i="6" s="1"/>
  <c r="G69" i="6"/>
  <c r="H69" i="6" s="1"/>
  <c r="G70" i="6"/>
  <c r="H70" i="6" s="1"/>
  <c r="G65" i="6"/>
  <c r="H65" i="6" s="1"/>
  <c r="G61" i="6"/>
  <c r="H61" i="6" s="1"/>
  <c r="G60" i="6"/>
  <c r="D51" i="6"/>
  <c r="E115" i="6"/>
  <c r="E116" i="6" s="1"/>
  <c r="E117" i="6"/>
  <c r="F108" i="6"/>
  <c r="E117" i="7" l="1"/>
  <c r="E115" i="7"/>
  <c r="E116" i="7" s="1"/>
  <c r="F117" i="7"/>
  <c r="F115" i="7"/>
  <c r="H74" i="7"/>
  <c r="H72" i="7"/>
  <c r="H60" i="6"/>
  <c r="G74" i="6"/>
  <c r="G72" i="6"/>
  <c r="G73" i="6" s="1"/>
  <c r="F117" i="6"/>
  <c r="F115" i="6"/>
  <c r="G120" i="7" l="1"/>
  <c r="F116" i="7"/>
  <c r="G76" i="7"/>
  <c r="H73" i="7"/>
  <c r="G120" i="6"/>
  <c r="F116" i="6"/>
  <c r="H74" i="6"/>
  <c r="H72" i="6"/>
  <c r="G76" i="6" l="1"/>
  <c r="H73" i="6"/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46" i="2"/>
  <c r="D35" i="2" s="1"/>
  <c r="C45" i="2"/>
  <c r="D41" i="2"/>
  <c r="D36" i="2"/>
  <c r="D32" i="2"/>
  <c r="D28" i="2"/>
  <c r="D24" i="2"/>
  <c r="C19" i="2"/>
  <c r="B53" i="1"/>
  <c r="E51" i="1"/>
  <c r="C51" i="1"/>
  <c r="B51" i="1"/>
  <c r="B52" i="1" s="1"/>
  <c r="B32" i="1"/>
  <c r="E30" i="1"/>
  <c r="D30" i="1"/>
  <c r="C30" i="1"/>
  <c r="B30" i="1"/>
  <c r="B31" i="1" s="1"/>
  <c r="I92" i="4" l="1"/>
  <c r="D101" i="4"/>
  <c r="D97" i="4"/>
  <c r="I39" i="4"/>
  <c r="D45" i="4"/>
  <c r="D46" i="4" s="1"/>
  <c r="D98" i="4"/>
  <c r="D99" i="4" s="1"/>
  <c r="F98" i="4"/>
  <c r="F99" i="4" s="1"/>
  <c r="D49" i="4"/>
  <c r="E40" i="4"/>
  <c r="E41" i="4"/>
  <c r="E39" i="4"/>
  <c r="E38" i="4"/>
  <c r="D27" i="2"/>
  <c r="D50" i="2"/>
  <c r="B49" i="2"/>
  <c r="D42" i="2"/>
  <c r="D38" i="2"/>
  <c r="D49" i="2"/>
  <c r="D29" i="2"/>
  <c r="C50" i="2"/>
  <c r="D39" i="2"/>
  <c r="D34" i="2"/>
  <c r="D30" i="2"/>
  <c r="D26" i="2"/>
  <c r="D43" i="2"/>
  <c r="D37" i="2"/>
  <c r="D33" i="2"/>
  <c r="D25" i="2"/>
  <c r="B57" i="4"/>
  <c r="B69" i="4" s="1"/>
  <c r="D102" i="4"/>
  <c r="E92" i="4"/>
  <c r="G94" i="4"/>
  <c r="E94" i="4"/>
  <c r="E93" i="4"/>
  <c r="E91" i="4"/>
  <c r="D31" i="2"/>
  <c r="D40" i="2"/>
  <c r="C49" i="2"/>
  <c r="F44" i="4"/>
  <c r="F45" i="4" s="1"/>
  <c r="F46" i="4" s="1"/>
  <c r="G91" i="4" l="1"/>
  <c r="G93" i="4"/>
  <c r="G92" i="4"/>
  <c r="G39" i="4"/>
  <c r="E42" i="4"/>
  <c r="G41" i="4"/>
  <c r="E95" i="4"/>
  <c r="G40" i="4"/>
  <c r="G38" i="4"/>
  <c r="G42" i="4" l="1"/>
  <c r="G95" i="4"/>
  <c r="D103" i="4"/>
  <c r="E109" i="4" s="1"/>
  <c r="F109" i="4" s="1"/>
  <c r="D50" i="4"/>
  <c r="G62" i="4" s="1"/>
  <c r="H62" i="4" s="1"/>
  <c r="D105" i="4"/>
  <c r="D52" i="4"/>
  <c r="D104" i="4"/>
  <c r="E108" i="4" l="1"/>
  <c r="F108" i="4" s="1"/>
  <c r="E112" i="4"/>
  <c r="F112" i="4" s="1"/>
  <c r="E113" i="4"/>
  <c r="F113" i="4" s="1"/>
  <c r="E111" i="4"/>
  <c r="F111" i="4" s="1"/>
  <c r="E110" i="4"/>
  <c r="F110" i="4" s="1"/>
  <c r="G61" i="4"/>
  <c r="H61" i="4" s="1"/>
  <c r="G69" i="4"/>
  <c r="H69" i="4" s="1"/>
  <c r="G63" i="4"/>
  <c r="H63" i="4" s="1"/>
  <c r="G65" i="4"/>
  <c r="H65" i="4" s="1"/>
  <c r="G70" i="4"/>
  <c r="H70" i="4" s="1"/>
  <c r="G68" i="4"/>
  <c r="H68" i="4" s="1"/>
  <c r="G60" i="4"/>
  <c r="H60" i="4" s="1"/>
  <c r="G66" i="4"/>
  <c r="H66" i="4" s="1"/>
  <c r="D51" i="4"/>
  <c r="G64" i="4"/>
  <c r="H64" i="4" s="1"/>
  <c r="G67" i="4"/>
  <c r="H67" i="4" s="1"/>
  <c r="G71" i="4"/>
  <c r="H71" i="4" s="1"/>
  <c r="E117" i="4" l="1"/>
  <c r="E115" i="4"/>
  <c r="E116" i="4" s="1"/>
  <c r="G72" i="4"/>
  <c r="G73" i="4" s="1"/>
  <c r="G74" i="4"/>
  <c r="H72" i="4"/>
  <c r="H74" i="4"/>
  <c r="F117" i="4"/>
  <c r="F115" i="4"/>
  <c r="G120" i="4" l="1"/>
  <c r="F116" i="4"/>
  <c r="G76" i="4"/>
  <c r="H73" i="4"/>
</calcChain>
</file>

<file path=xl/sharedStrings.xml><?xml version="1.0" encoding="utf-8"?>
<sst xmlns="http://schemas.openxmlformats.org/spreadsheetml/2006/main" count="647" uniqueCount="136">
  <si>
    <t>HPLC System Suitability Report</t>
  </si>
  <si>
    <t>Analysis Data</t>
  </si>
  <si>
    <t>Assay</t>
  </si>
  <si>
    <t>Sample(s)</t>
  </si>
  <si>
    <t>Reference Substance:</t>
  </si>
  <si>
    <t>TENOFOVIR DISOPROXIL FUMARATE/LAMIVUDINE/EFAVIRENZ TABLETS 300 mg/300 mg/ 600 mg</t>
  </si>
  <si>
    <t>% age Purity:</t>
  </si>
  <si>
    <t>NDQB201603815</t>
  </si>
  <si>
    <t>Weight (mg):</t>
  </si>
  <si>
    <t>Tenofovir Disoproxil Fumarate 300mg, Lamivudine 300mg &amp; Efavirenz 600mg tablets</t>
  </si>
  <si>
    <t>Standard Conc (mg/mL):</t>
  </si>
  <si>
    <t xml:space="preserve">Tenofovir Disoproxil Fumarate 300mg, Lamivudine 300mg 
Efavirenz 600mg  </t>
  </si>
  <si>
    <t>2016-03-31 14:22:15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</si>
  <si>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</si>
  <si>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</si>
  <si>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</si>
  <si>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</si>
  <si>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</si>
  <si>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</si>
  <si>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</si>
  <si>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</si>
  <si>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</si>
  <si>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</si>
  <si>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</si>
  <si>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</si>
  <si>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</si>
  <si>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</si>
  <si>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</si>
  <si>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</si>
  <si>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</si>
  <si>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</si>
  <si>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</si>
  <si>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</si>
  <si>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</si>
  <si>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</si>
  <si>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</si>
  <si>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</si>
  <si>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</si>
  <si>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</si>
  <si>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</si>
  <si>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</si>
  <si>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</si>
  <si>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</si>
  <si>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</si>
  <si>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</si>
  <si>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</si>
  <si>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</si>
  <si>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</si>
  <si>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</si>
  <si>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</si>
  <si>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</si>
  <si>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</si>
  <si>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</si>
  <si>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</si>
  <si>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</si>
  <si>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</si>
  <si>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</si>
  <si>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</si>
  <si>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</si>
  <si>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</si>
  <si>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</si>
  <si>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</si>
  <si>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</si>
  <si>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</si>
  <si>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</si>
  <si>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</si>
  <si>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</si>
  <si>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</si>
  <si>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</si>
  <si>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</si>
  <si>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</si>
  <si>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</si>
  <si>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</si>
  <si>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</si>
  <si>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</si>
  <si>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</si>
  <si>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</si>
  <si>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</si>
  <si>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</si>
  <si>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</si>
  <si>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</si>
  <si>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</si>
  <si>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</si>
  <si>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</si>
  <si>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</si>
  <si>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</si>
  <si>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</si>
  <si>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</si>
  <si>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</si>
  <si>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</si>
  <si>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</si>
  <si>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</si>
  <si>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</si>
  <si>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</si>
  <si>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</si>
  <si>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</si>
  <si>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</si>
  <si>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</si>
  <si>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</si>
  <si>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</si>
  <si>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</si>
  <si>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</si>
  <si>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</si>
  <si>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</si>
  <si>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</si>
  <si>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</si>
  <si>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</si>
  <si>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</si>
  <si>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</si>
  <si>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</si>
  <si>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</si>
  <si>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</si>
  <si>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</si>
  <si>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</si>
  <si>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</si>
  <si>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</si>
  <si>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</si>
  <si>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</si>
  <si>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</si>
  <si>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</si>
  <si>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</si>
  <si>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</si>
  <si>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</si>
  <si>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</si>
  <si>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</si>
  <si>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</si>
  <si>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L3-9</t>
  </si>
  <si>
    <t>EFAVIRENZ 600MG, LAMIVUDINE 300MG AND TENOFOVIR DISOPROXIL FUMARATE 300MG TABLETS</t>
  </si>
  <si>
    <t>Efavirenz 600mg, Lamivudine 300mg and Tenofovir Disoproxil Fumarate 300mg Tablets</t>
  </si>
  <si>
    <t>Each film-coated tablet contains Efavirenz 600mg, Lamivudine USP 300mg, Tenofovir Disoproxil Fumarate 300mg euivalent to tenofovir disoproxil 245mg</t>
  </si>
  <si>
    <t>T11-6</t>
  </si>
  <si>
    <t>Efavirenz</t>
  </si>
  <si>
    <t>E15-3</t>
  </si>
  <si>
    <t>LAMIVUDINE</t>
  </si>
  <si>
    <t>TENOFOVIR DISOPROXIL FUMARATE</t>
  </si>
  <si>
    <t xml:space="preserve">EFAVIRENZ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</si>
</sst>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74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2" fillId="2" borderId="0" xfId="1" applyFont="1" applyFill="1"/>
    <xf numFmtId="0" fontId="11" fillId="2" borderId="0" xfId="1" applyFont="1" applyFill="1"/>
    <xf numFmtId="0" fontId="24" fillId="2" borderId="0" xfId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4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0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0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0" fontId="11" fillId="2" borderId="22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/>
    </xf>
    <xf numFmtId="10" fontId="11" fillId="2" borderId="24" xfId="2" applyNumberFormat="1" applyFont="1" applyFill="1" applyBorder="1" applyAlignment="1">
      <alignment horizontal="center" vertical="center"/>
    </xf>
    <xf numFmtId="166" fontId="11" fillId="2" borderId="15" xfId="2" applyNumberFormat="1" applyFont="1" applyFill="1" applyBorder="1" applyAlignment="1">
      <alignment horizontal="center"/>
    </xf>
    <xf numFmtId="10" fontId="11" fillId="2" borderId="44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10" fontId="11" fillId="2" borderId="15" xfId="2" applyNumberFormat="1" applyFont="1" applyFill="1" applyBorder="1" applyAlignment="1">
      <alignment horizontal="center" vertic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0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7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54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1" fillId="2" borderId="23" xfId="2" applyFont="1" applyFill="1" applyBorder="1" applyAlignment="1">
      <alignment horizontal="center"/>
    </xf>
    <xf numFmtId="1" fontId="13" fillId="3" borderId="31" xfId="2" applyNumberFormat="1" applyFont="1" applyFill="1" applyBorder="1" applyAlignment="1" applyProtection="1">
      <alignment horizontal="center"/>
      <protection locked="0"/>
    </xf>
    <xf numFmtId="166" fontId="11" fillId="2" borderId="26" xfId="2" applyNumberFormat="1" applyFont="1" applyFill="1" applyBorder="1" applyAlignment="1">
      <alignment horizontal="center"/>
    </xf>
    <xf numFmtId="10" fontId="11" fillId="2" borderId="30" xfId="2" applyNumberFormat="1" applyFont="1" applyFill="1" applyBorder="1" applyAlignment="1">
      <alignment horizontal="center"/>
    </xf>
    <xf numFmtId="166" fontId="11" fillId="2" borderId="31" xfId="2" applyNumberFormat="1" applyFont="1" applyFill="1" applyBorder="1" applyAlignment="1">
      <alignment horizontal="center"/>
    </xf>
    <xf numFmtId="10" fontId="11" fillId="2" borderId="32" xfId="2" applyNumberFormat="1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1" fontId="13" fillId="3" borderId="35" xfId="2" applyNumberFormat="1" applyFont="1" applyFill="1" applyBorder="1" applyAlignment="1" applyProtection="1">
      <alignment horizontal="center"/>
      <protection locked="0"/>
    </xf>
    <xf numFmtId="166" fontId="11" fillId="2" borderId="35" xfId="2" applyNumberFormat="1" applyFont="1" applyFill="1" applyBorder="1" applyAlignment="1">
      <alignment horizontal="center"/>
    </xf>
    <xf numFmtId="10" fontId="11" fillId="2" borderId="36" xfId="2" applyNumberFormat="1" applyFont="1" applyFill="1" applyBorder="1" applyAlignment="1">
      <alignment horizontal="center"/>
    </xf>
    <xf numFmtId="2" fontId="11" fillId="2" borderId="24" xfId="2" applyNumberFormat="1" applyFont="1" applyFill="1" applyBorder="1" applyAlignment="1">
      <alignment horizontal="center"/>
    </xf>
    <xf numFmtId="171" fontId="11" fillId="2" borderId="2" xfId="2" applyNumberFormat="1" applyFont="1" applyFill="1" applyBorder="1" applyAlignment="1">
      <alignment horizontal="right"/>
    </xf>
    <xf numFmtId="2" fontId="13" fillId="7" borderId="27" xfId="2" applyNumberFormat="1" applyFont="1" applyFill="1" applyBorder="1" applyAlignment="1">
      <alignment horizontal="center"/>
    </xf>
    <xf numFmtId="10" fontId="13" fillId="7" borderId="27" xfId="2" applyNumberFormat="1" applyFont="1" applyFill="1" applyBorder="1" applyAlignment="1">
      <alignment horizontal="center"/>
    </xf>
    <xf numFmtId="0" fontId="11" fillId="2" borderId="23" xfId="2" applyFont="1" applyFill="1" applyBorder="1"/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1" fillId="2" borderId="56" xfId="2" applyFont="1" applyFill="1" applyBorder="1" applyAlignment="1">
      <alignment horizontal="right"/>
    </xf>
    <xf numFmtId="0" fontId="13" fillId="7" borderId="17" xfId="2" applyFont="1" applyFill="1" applyBorder="1" applyAlignment="1">
      <alignment horizontal="center"/>
    </xf>
    <xf numFmtId="0" fontId="19" fillId="2" borderId="0" xfId="2" applyFont="1" applyFill="1" applyAlignment="1">
      <alignment horizontal="righ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10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0" xfId="2" applyFont="1" applyFill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/>
    </xf>
    <xf numFmtId="0" fontId="12" fillId="2" borderId="58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40" xfId="2" applyFont="1" applyFill="1" applyBorder="1" applyAlignment="1">
      <alignment horizontal="center"/>
    </xf>
    <xf numFmtId="0" fontId="14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16" t="s">
        <v>0</v>
      </c>
      <c r="B15" s="616"/>
      <c r="C15" s="616"/>
      <c r="D15" s="616"/>
      <c r="E15" s="61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12" t="s">
        <v>7</v>
      </c>
      <c r="D17" s="9"/>
      <c r="E17" s="10"/>
    </row>
    <row r="18" spans="1:6" ht="16.5" customHeight="1" x14ac:dyDescent="0.3">
      <c r="A18" s="11" t="s">
        <v>4</v>
      </c>
      <c r="B18" s="8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101.74</v>
      </c>
      <c r="C19" s="10"/>
      <c r="D19" s="10"/>
      <c r="E19" s="10"/>
    </row>
    <row r="20" spans="1:6" ht="16.5" customHeight="1" x14ac:dyDescent="0.3">
      <c r="A20" s="7" t="s">
        <v>8</v>
      </c>
      <c r="B20" s="12">
        <v>14.41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0.06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16398460</v>
      </c>
      <c r="C24" s="18">
        <v>10050.700000000001</v>
      </c>
      <c r="D24" s="19">
        <v>1.1000000000000001</v>
      </c>
      <c r="E24" s="20">
        <v>5.5</v>
      </c>
    </row>
    <row r="25" spans="1:6" ht="16.5" customHeight="1" x14ac:dyDescent="0.3">
      <c r="A25" s="17">
        <v>2</v>
      </c>
      <c r="B25" s="18">
        <v>16285159</v>
      </c>
      <c r="C25" s="18">
        <v>10104.700000000001</v>
      </c>
      <c r="D25" s="19">
        <v>1.1000000000000001</v>
      </c>
      <c r="E25" s="19">
        <v>5.5</v>
      </c>
    </row>
    <row r="26" spans="1:6" ht="16.5" customHeight="1" x14ac:dyDescent="0.3">
      <c r="A26" s="17">
        <v>3</v>
      </c>
      <c r="B26" s="18">
        <v>16341001</v>
      </c>
      <c r="C26" s="18">
        <v>10116.9</v>
      </c>
      <c r="D26" s="19">
        <v>1</v>
      </c>
      <c r="E26" s="19">
        <v>5.5</v>
      </c>
    </row>
    <row r="27" spans="1:6" ht="16.5" customHeight="1" x14ac:dyDescent="0.3">
      <c r="A27" s="17">
        <v>4</v>
      </c>
      <c r="B27" s="18">
        <v>16301087</v>
      </c>
      <c r="C27" s="18">
        <v>10119.200000000001</v>
      </c>
      <c r="D27" s="19">
        <v>1</v>
      </c>
      <c r="E27" s="19">
        <v>5.5</v>
      </c>
    </row>
    <row r="28" spans="1:6" ht="16.5" customHeight="1" x14ac:dyDescent="0.3">
      <c r="A28" s="17">
        <v>5</v>
      </c>
      <c r="B28" s="18">
        <v>16302381</v>
      </c>
      <c r="C28" s="18">
        <v>10075.200000000001</v>
      </c>
      <c r="D28" s="19">
        <v>1</v>
      </c>
      <c r="E28" s="19">
        <v>5.5</v>
      </c>
    </row>
    <row r="29" spans="1:6" ht="16.5" customHeight="1" x14ac:dyDescent="0.3">
      <c r="A29" s="17">
        <v>6</v>
      </c>
      <c r="B29" s="21">
        <v>16261740</v>
      </c>
      <c r="C29" s="21">
        <v>10096.200000000001</v>
      </c>
      <c r="D29" s="22">
        <v>1</v>
      </c>
      <c r="E29" s="22">
        <v>5.5</v>
      </c>
    </row>
    <row r="30" spans="1:6" ht="16.5" customHeight="1" x14ac:dyDescent="0.3">
      <c r="A30" s="23" t="s">
        <v>18</v>
      </c>
      <c r="B30" s="24">
        <f>AVERAGE(B24:B29)</f>
        <v>16314971.333333334</v>
      </c>
      <c r="C30" s="25">
        <f>AVERAGE(C24:C29)</f>
        <v>10093.816666666666</v>
      </c>
      <c r="D30" s="26">
        <f>AVERAGE(D24:D29)</f>
        <v>1.0333333333333334</v>
      </c>
      <c r="E30" s="26">
        <f>AVERAGE(E24:E29)</f>
        <v>5.5</v>
      </c>
    </row>
    <row r="31" spans="1:6" ht="16.5" customHeight="1" x14ac:dyDescent="0.3">
      <c r="A31" s="27" t="s">
        <v>19</v>
      </c>
      <c r="B31" s="28">
        <f>(STDEV(B24:B29)/B30)</f>
        <v>2.967707279794981E-3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133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101.74</v>
      </c>
      <c r="C40" s="10"/>
      <c r="D40" s="10"/>
      <c r="E40" s="10"/>
    </row>
    <row r="41" spans="1:6" ht="16.5" customHeight="1" x14ac:dyDescent="0.3">
      <c r="A41" s="7" t="s">
        <v>8</v>
      </c>
      <c r="B41" s="12">
        <v>14.41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79913579</v>
      </c>
      <c r="C45" s="18">
        <v>14025.3</v>
      </c>
      <c r="D45" s="19">
        <v>1.1000000000000001</v>
      </c>
      <c r="E45" s="20">
        <v>5.9</v>
      </c>
    </row>
    <row r="46" spans="1:6" ht="16.5" customHeight="1" x14ac:dyDescent="0.3">
      <c r="A46" s="17">
        <v>2</v>
      </c>
      <c r="B46" s="18">
        <v>79706144</v>
      </c>
      <c r="C46" s="18">
        <v>13984.3</v>
      </c>
      <c r="D46" s="19">
        <v>1.1000000000000001</v>
      </c>
      <c r="E46" s="19">
        <v>5.9</v>
      </c>
    </row>
    <row r="47" spans="1:6" ht="16.5" customHeight="1" x14ac:dyDescent="0.3">
      <c r="A47" s="17">
        <v>3</v>
      </c>
      <c r="B47" s="18">
        <v>79752313</v>
      </c>
      <c r="C47" s="18">
        <v>14119.6</v>
      </c>
      <c r="D47" s="19">
        <v>1.1000000000000001</v>
      </c>
      <c r="E47" s="19">
        <v>5.9</v>
      </c>
    </row>
    <row r="48" spans="1:6" ht="16.5" customHeight="1" x14ac:dyDescent="0.3">
      <c r="A48" s="17">
        <v>4</v>
      </c>
      <c r="B48" s="18">
        <v>80544326</v>
      </c>
      <c r="C48" s="18">
        <v>14185</v>
      </c>
      <c r="D48" s="19">
        <v>1.1000000000000001</v>
      </c>
      <c r="E48" s="19">
        <v>5.9</v>
      </c>
    </row>
    <row r="49" spans="1:7" ht="16.5" customHeight="1" x14ac:dyDescent="0.3">
      <c r="A49" s="17">
        <v>5</v>
      </c>
      <c r="B49" s="18">
        <v>79872559</v>
      </c>
      <c r="C49" s="18">
        <v>14023.3</v>
      </c>
      <c r="D49" s="19">
        <v>1.1000000000000001</v>
      </c>
      <c r="E49" s="19">
        <v>5.9</v>
      </c>
    </row>
    <row r="50" spans="1:7" ht="16.5" customHeight="1" x14ac:dyDescent="0.3">
      <c r="A50" s="17">
        <v>6</v>
      </c>
      <c r="B50" s="21">
        <v>80938458</v>
      </c>
      <c r="C50" s="21">
        <v>14054.4</v>
      </c>
      <c r="D50" s="22">
        <v>1.1000000000000001</v>
      </c>
      <c r="E50" s="22">
        <v>5.9</v>
      </c>
    </row>
    <row r="51" spans="1:7" ht="16.5" customHeight="1" x14ac:dyDescent="0.3">
      <c r="A51" s="23" t="s">
        <v>18</v>
      </c>
      <c r="B51" s="24">
        <f>AVERAGE(B45:B50)</f>
        <v>80121229.833333328</v>
      </c>
      <c r="C51" s="25">
        <f>AVERAGE(C45:C50)</f>
        <v>14065.316666666666</v>
      </c>
      <c r="D51" s="26">
        <v>1.1000000000000001</v>
      </c>
      <c r="E51" s="26">
        <f>AVERAGE(E45:E50)</f>
        <v>5.8999999999999995</v>
      </c>
    </row>
    <row r="52" spans="1:7" ht="16.5" customHeight="1" x14ac:dyDescent="0.3">
      <c r="A52" s="27" t="s">
        <v>19</v>
      </c>
      <c r="B52" s="28">
        <f>(STDEV(B45:B50)/B51)</f>
        <v>6.2660130331766506E-3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17" t="s">
        <v>26</v>
      </c>
      <c r="C59" s="61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282" customWidth="1"/>
    <col min="2" max="2" width="20.42578125" style="282" customWidth="1"/>
    <col min="3" max="3" width="31.85546875" style="282" customWidth="1"/>
    <col min="4" max="4" width="25.85546875" style="282" customWidth="1"/>
    <col min="5" max="5" width="25.7109375" style="282" customWidth="1"/>
    <col min="6" max="6" width="23.140625" style="282" customWidth="1"/>
    <col min="7" max="7" width="28.42578125" style="282" customWidth="1"/>
    <col min="8" max="8" width="21.5703125" style="282" customWidth="1"/>
    <col min="9" max="9" width="9.140625" style="282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16" t="s">
        <v>0</v>
      </c>
      <c r="B15" s="616"/>
      <c r="C15" s="616"/>
      <c r="D15" s="616"/>
      <c r="E15" s="616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12" t="s">
        <v>7</v>
      </c>
      <c r="D17" s="9"/>
      <c r="E17" s="72"/>
    </row>
    <row r="18" spans="1:5" ht="16.5" customHeight="1" x14ac:dyDescent="0.3">
      <c r="A18" s="75" t="s">
        <v>4</v>
      </c>
      <c r="B18" s="8" t="s">
        <v>134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98.8</v>
      </c>
      <c r="C19" s="72"/>
      <c r="D19" s="72"/>
      <c r="E19" s="72"/>
    </row>
    <row r="20" spans="1:5" ht="16.5" customHeight="1" x14ac:dyDescent="0.3">
      <c r="A20" s="8" t="s">
        <v>8</v>
      </c>
      <c r="B20" s="12">
        <v>14.87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0.06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12310642</v>
      </c>
      <c r="C24" s="18">
        <v>169718.9</v>
      </c>
      <c r="D24" s="19">
        <v>1.1000000000000001</v>
      </c>
      <c r="E24" s="20">
        <v>15.1</v>
      </c>
    </row>
    <row r="25" spans="1:5" ht="16.5" customHeight="1" x14ac:dyDescent="0.3">
      <c r="A25" s="17">
        <v>2</v>
      </c>
      <c r="B25" s="18">
        <v>12340448</v>
      </c>
      <c r="C25" s="18">
        <v>168574.2</v>
      </c>
      <c r="D25" s="19">
        <v>1.1000000000000001</v>
      </c>
      <c r="E25" s="19">
        <v>15.1</v>
      </c>
    </row>
    <row r="26" spans="1:5" ht="16.5" customHeight="1" x14ac:dyDescent="0.3">
      <c r="A26" s="17">
        <v>3</v>
      </c>
      <c r="B26" s="18">
        <v>12352120</v>
      </c>
      <c r="C26" s="18">
        <v>169045</v>
      </c>
      <c r="D26" s="19">
        <v>1.1000000000000001</v>
      </c>
      <c r="E26" s="19">
        <v>15.1</v>
      </c>
    </row>
    <row r="27" spans="1:5" ht="16.5" customHeight="1" x14ac:dyDescent="0.3">
      <c r="A27" s="17">
        <v>4</v>
      </c>
      <c r="B27" s="18">
        <v>12300862</v>
      </c>
      <c r="C27" s="18">
        <v>168841.5</v>
      </c>
      <c r="D27" s="19">
        <v>1.1000000000000001</v>
      </c>
      <c r="E27" s="19">
        <v>15.1</v>
      </c>
    </row>
    <row r="28" spans="1:5" ht="16.5" customHeight="1" x14ac:dyDescent="0.3">
      <c r="A28" s="17">
        <v>5</v>
      </c>
      <c r="B28" s="18">
        <v>12306762</v>
      </c>
      <c r="C28" s="18">
        <v>168963</v>
      </c>
      <c r="D28" s="19">
        <v>1.1000000000000001</v>
      </c>
      <c r="E28" s="19">
        <v>15.1</v>
      </c>
    </row>
    <row r="29" spans="1:5" ht="16.5" customHeight="1" x14ac:dyDescent="0.3">
      <c r="A29" s="17">
        <v>6</v>
      </c>
      <c r="B29" s="21">
        <v>12275012</v>
      </c>
      <c r="C29" s="21">
        <v>168370.3</v>
      </c>
      <c r="D29" s="22">
        <v>1</v>
      </c>
      <c r="E29" s="22">
        <v>15.1</v>
      </c>
    </row>
    <row r="30" spans="1:5" ht="16.5" customHeight="1" x14ac:dyDescent="0.3">
      <c r="A30" s="23" t="s">
        <v>18</v>
      </c>
      <c r="B30" s="24">
        <f>AVERAGE(B24:B29)</f>
        <v>12314307.666666666</v>
      </c>
      <c r="C30" s="25">
        <f>AVERAGE(C24:C29)</f>
        <v>168918.81666666665</v>
      </c>
      <c r="D30" s="26">
        <f>AVERAGE(D24:D29)</f>
        <v>1.0833333333333333</v>
      </c>
      <c r="E30" s="26">
        <f>AVERAGE(E24:E29)</f>
        <v>15.1</v>
      </c>
    </row>
    <row r="31" spans="1:5" ht="16.5" customHeight="1" x14ac:dyDescent="0.3">
      <c r="A31" s="27" t="s">
        <v>19</v>
      </c>
      <c r="B31" s="28">
        <f>(STDEV(B24:B29)/B30)</f>
        <v>2.2704108457821106E-3</v>
      </c>
      <c r="C31" s="29"/>
      <c r="D31" s="29"/>
      <c r="E31" s="30"/>
    </row>
    <row r="32" spans="1:5" s="282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282" customFormat="1" ht="15.75" customHeight="1" x14ac:dyDescent="0.25">
      <c r="A33" s="72"/>
      <c r="B33" s="72"/>
      <c r="C33" s="72"/>
      <c r="D33" s="72"/>
      <c r="E33" s="72"/>
    </row>
    <row r="34" spans="1:5" s="282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134</v>
      </c>
      <c r="C39" s="72"/>
      <c r="D39" s="72"/>
      <c r="E39" s="72"/>
    </row>
    <row r="40" spans="1:5" ht="16.5" customHeight="1" x14ac:dyDescent="0.3">
      <c r="A40" s="75" t="s">
        <v>6</v>
      </c>
      <c r="B40" s="12">
        <v>98.8</v>
      </c>
      <c r="C40" s="72"/>
      <c r="D40" s="72"/>
      <c r="E40" s="72"/>
    </row>
    <row r="41" spans="1:5" ht="16.5" customHeight="1" x14ac:dyDescent="0.3">
      <c r="A41" s="8" t="s">
        <v>8</v>
      </c>
      <c r="B41" s="12">
        <v>14.87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0.3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60229549</v>
      </c>
      <c r="C45" s="18">
        <v>151627.20000000001</v>
      </c>
      <c r="D45" s="19">
        <v>1.1000000000000001</v>
      </c>
      <c r="E45" s="20">
        <v>15.4</v>
      </c>
    </row>
    <row r="46" spans="1:5" ht="16.5" customHeight="1" x14ac:dyDescent="0.3">
      <c r="A46" s="17">
        <v>2</v>
      </c>
      <c r="B46" s="18">
        <v>59735916</v>
      </c>
      <c r="C46" s="18">
        <v>152564.6</v>
      </c>
      <c r="D46" s="19">
        <v>1.1000000000000001</v>
      </c>
      <c r="E46" s="19">
        <v>15.4</v>
      </c>
    </row>
    <row r="47" spans="1:5" ht="16.5" customHeight="1" x14ac:dyDescent="0.3">
      <c r="A47" s="17">
        <v>3</v>
      </c>
      <c r="B47" s="18">
        <v>59683412</v>
      </c>
      <c r="C47" s="18">
        <v>151971.29999999999</v>
      </c>
      <c r="D47" s="19">
        <v>1.2</v>
      </c>
      <c r="E47" s="19">
        <v>15.4</v>
      </c>
    </row>
    <row r="48" spans="1:5" ht="16.5" customHeight="1" x14ac:dyDescent="0.3">
      <c r="A48" s="17">
        <v>4</v>
      </c>
      <c r="B48" s="18">
        <v>60364519</v>
      </c>
      <c r="C48" s="18">
        <v>152966.79999999999</v>
      </c>
      <c r="D48" s="19">
        <v>1.1000000000000001</v>
      </c>
      <c r="E48" s="19">
        <v>15.4</v>
      </c>
    </row>
    <row r="49" spans="1:7" ht="16.5" customHeight="1" x14ac:dyDescent="0.3">
      <c r="A49" s="17">
        <v>5</v>
      </c>
      <c r="B49" s="18">
        <v>59843734</v>
      </c>
      <c r="C49" s="18">
        <v>152882.29999999999</v>
      </c>
      <c r="D49" s="19">
        <v>1.1000000000000001</v>
      </c>
      <c r="E49" s="19">
        <v>15.4</v>
      </c>
    </row>
    <row r="50" spans="1:7" ht="16.5" customHeight="1" x14ac:dyDescent="0.3">
      <c r="A50" s="17">
        <v>6</v>
      </c>
      <c r="B50" s="21">
        <v>60643377</v>
      </c>
      <c r="C50" s="21">
        <v>152018.4</v>
      </c>
      <c r="D50" s="22">
        <v>1.2</v>
      </c>
      <c r="E50" s="22">
        <v>15.4</v>
      </c>
    </row>
    <row r="51" spans="1:7" ht="16.5" customHeight="1" x14ac:dyDescent="0.3">
      <c r="A51" s="23" t="s">
        <v>18</v>
      </c>
      <c r="B51" s="24">
        <f>AVERAGE(B45:B50)</f>
        <v>60083417.833333336</v>
      </c>
      <c r="C51" s="25">
        <f>AVERAGE(C45:C50)</f>
        <v>152338.43333333332</v>
      </c>
      <c r="D51" s="26">
        <f>AVERAGE(D45:D50)</f>
        <v>1.1333333333333333</v>
      </c>
      <c r="E51" s="26">
        <f>AVERAGE(E45:E50)</f>
        <v>15.4</v>
      </c>
    </row>
    <row r="52" spans="1:7" ht="16.5" customHeight="1" x14ac:dyDescent="0.3">
      <c r="A52" s="27" t="s">
        <v>19</v>
      </c>
      <c r="B52" s="28">
        <f>(STDEV(B45:B50)/B51)</f>
        <v>6.4551871839107367E-3</v>
      </c>
      <c r="C52" s="29"/>
      <c r="D52" s="29"/>
      <c r="E52" s="30"/>
    </row>
    <row r="53" spans="1:7" s="282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282" customFormat="1" ht="15.75" customHeight="1" x14ac:dyDescent="0.25">
      <c r="A54" s="72"/>
      <c r="B54" s="72"/>
      <c r="C54" s="72"/>
      <c r="D54" s="72"/>
      <c r="E54" s="72"/>
    </row>
    <row r="55" spans="1:7" s="282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281"/>
      <c r="D58" s="43"/>
      <c r="F58" s="44"/>
      <c r="G58" s="44"/>
    </row>
    <row r="59" spans="1:7" ht="15" customHeight="1" x14ac:dyDescent="0.3">
      <c r="B59" s="617" t="s">
        <v>26</v>
      </c>
      <c r="C59" s="617"/>
      <c r="E59" s="283" t="s">
        <v>27</v>
      </c>
      <c r="F59" s="46"/>
      <c r="G59" s="283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282" customWidth="1"/>
    <col min="2" max="2" width="20.42578125" style="282" customWidth="1"/>
    <col min="3" max="3" width="31.85546875" style="282" customWidth="1"/>
    <col min="4" max="4" width="25.85546875" style="282" customWidth="1"/>
    <col min="5" max="5" width="25.7109375" style="282" customWidth="1"/>
    <col min="6" max="6" width="23.140625" style="282" customWidth="1"/>
    <col min="7" max="7" width="28.42578125" style="282" customWidth="1"/>
    <col min="8" max="8" width="21.5703125" style="282" customWidth="1"/>
    <col min="9" max="9" width="9.140625" style="282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16" t="s">
        <v>0</v>
      </c>
      <c r="B15" s="616"/>
      <c r="C15" s="616"/>
      <c r="D15" s="616"/>
      <c r="E15" s="616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12" t="s">
        <v>7</v>
      </c>
      <c r="D17" s="9"/>
      <c r="E17" s="72"/>
    </row>
    <row r="18" spans="1:5" ht="16.5" customHeight="1" x14ac:dyDescent="0.3">
      <c r="A18" s="75" t="s">
        <v>4</v>
      </c>
      <c r="B18" s="8" t="s">
        <v>135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99.3</v>
      </c>
      <c r="C19" s="72"/>
      <c r="D19" s="72"/>
      <c r="E19" s="72"/>
    </row>
    <row r="20" spans="1:5" ht="16.5" customHeight="1" x14ac:dyDescent="0.3">
      <c r="A20" s="8" t="s">
        <v>8</v>
      </c>
      <c r="B20" s="12">
        <v>29.47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0.12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45243234</v>
      </c>
      <c r="C24" s="18">
        <v>153620.9</v>
      </c>
      <c r="D24" s="19">
        <v>1.1000000000000001</v>
      </c>
      <c r="E24" s="20">
        <v>21.9</v>
      </c>
    </row>
    <row r="25" spans="1:5" ht="16.5" customHeight="1" x14ac:dyDescent="0.3">
      <c r="A25" s="17">
        <v>2</v>
      </c>
      <c r="B25" s="18">
        <v>45386498</v>
      </c>
      <c r="C25" s="18">
        <v>153712.1</v>
      </c>
      <c r="D25" s="19">
        <v>1</v>
      </c>
      <c r="E25" s="19">
        <v>21.9</v>
      </c>
    </row>
    <row r="26" spans="1:5" ht="16.5" customHeight="1" x14ac:dyDescent="0.3">
      <c r="A26" s="17">
        <v>3</v>
      </c>
      <c r="B26" s="18">
        <v>45438019</v>
      </c>
      <c r="C26" s="18">
        <v>153663</v>
      </c>
      <c r="D26" s="19">
        <v>1.1000000000000001</v>
      </c>
      <c r="E26" s="19">
        <v>21.9</v>
      </c>
    </row>
    <row r="27" spans="1:5" ht="16.5" customHeight="1" x14ac:dyDescent="0.3">
      <c r="A27" s="17">
        <v>4</v>
      </c>
      <c r="B27" s="18">
        <v>45275333</v>
      </c>
      <c r="C27" s="18">
        <v>153023.6</v>
      </c>
      <c r="D27" s="19">
        <v>1.1000000000000001</v>
      </c>
      <c r="E27" s="19">
        <v>21.9</v>
      </c>
    </row>
    <row r="28" spans="1:5" ht="16.5" customHeight="1" x14ac:dyDescent="0.3">
      <c r="A28" s="17">
        <v>5</v>
      </c>
      <c r="B28" s="18">
        <v>45286046</v>
      </c>
      <c r="C28" s="18">
        <v>153301.79999999999</v>
      </c>
      <c r="D28" s="19">
        <v>1.1000000000000001</v>
      </c>
      <c r="E28" s="19">
        <v>21.9</v>
      </c>
    </row>
    <row r="29" spans="1:5" ht="16.5" customHeight="1" x14ac:dyDescent="0.3">
      <c r="A29" s="17">
        <v>6</v>
      </c>
      <c r="B29" s="21">
        <v>45181301</v>
      </c>
      <c r="C29" s="21">
        <v>153148.70000000001</v>
      </c>
      <c r="D29" s="22">
        <v>1.1000000000000001</v>
      </c>
      <c r="E29" s="22">
        <v>21.9</v>
      </c>
    </row>
    <row r="30" spans="1:5" ht="16.5" customHeight="1" x14ac:dyDescent="0.3">
      <c r="A30" s="23" t="s">
        <v>18</v>
      </c>
      <c r="B30" s="24">
        <f>AVERAGE(B24:B29)</f>
        <v>45301738.5</v>
      </c>
      <c r="C30" s="25">
        <f>AVERAGE(C24:C29)</f>
        <v>153411.68333333332</v>
      </c>
      <c r="D30" s="26">
        <f>AVERAGE(D24:D29)</f>
        <v>1.0833333333333333</v>
      </c>
      <c r="E30" s="26">
        <f>AVERAGE(E24:E29)</f>
        <v>21.900000000000002</v>
      </c>
    </row>
    <row r="31" spans="1:5" ht="16.5" customHeight="1" x14ac:dyDescent="0.3">
      <c r="A31" s="27" t="s">
        <v>19</v>
      </c>
      <c r="B31" s="28">
        <f>(STDEV(B24:B29)/B30)</f>
        <v>2.0854699704341822E-3</v>
      </c>
      <c r="C31" s="29"/>
      <c r="D31" s="29"/>
      <c r="E31" s="30"/>
    </row>
    <row r="32" spans="1:5" s="282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282" customFormat="1" ht="15.75" customHeight="1" x14ac:dyDescent="0.25">
      <c r="A33" s="72"/>
      <c r="B33" s="72"/>
      <c r="C33" s="72"/>
      <c r="D33" s="72"/>
      <c r="E33" s="72"/>
    </row>
    <row r="34" spans="1:5" s="282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135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99.3</v>
      </c>
      <c r="C40" s="72"/>
      <c r="D40" s="72"/>
      <c r="E40" s="72"/>
    </row>
    <row r="41" spans="1:5" ht="16.5" customHeight="1" x14ac:dyDescent="0.3">
      <c r="A41" s="8" t="s">
        <v>8</v>
      </c>
      <c r="B41" s="12">
        <v>29.47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0.6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192843237</v>
      </c>
      <c r="C45" s="18">
        <v>138077.5</v>
      </c>
      <c r="D45" s="19">
        <v>1.1000000000000001</v>
      </c>
      <c r="E45" s="20">
        <v>21.5</v>
      </c>
    </row>
    <row r="46" spans="1:5" ht="16.5" customHeight="1" x14ac:dyDescent="0.3">
      <c r="A46" s="17">
        <v>2</v>
      </c>
      <c r="B46" s="18">
        <v>193155761</v>
      </c>
      <c r="C46" s="18">
        <v>137894.29999999999</v>
      </c>
      <c r="D46" s="19">
        <v>1.1000000000000001</v>
      </c>
      <c r="E46" s="19">
        <v>21.5</v>
      </c>
    </row>
    <row r="47" spans="1:5" ht="16.5" customHeight="1" x14ac:dyDescent="0.3">
      <c r="A47" s="17">
        <v>3</v>
      </c>
      <c r="B47" s="18">
        <v>192979529</v>
      </c>
      <c r="C47" s="18">
        <v>138949.79999999999</v>
      </c>
      <c r="D47" s="19">
        <v>1.1000000000000001</v>
      </c>
      <c r="E47" s="19">
        <v>21.5</v>
      </c>
    </row>
    <row r="48" spans="1:5" ht="16.5" customHeight="1" x14ac:dyDescent="0.3">
      <c r="A48" s="17">
        <v>4</v>
      </c>
      <c r="B48" s="18">
        <v>195040305</v>
      </c>
      <c r="C48" s="18">
        <v>138603.4</v>
      </c>
      <c r="D48" s="19">
        <v>1.1000000000000001</v>
      </c>
      <c r="E48" s="19">
        <v>21.5</v>
      </c>
    </row>
    <row r="49" spans="1:7" ht="16.5" customHeight="1" x14ac:dyDescent="0.3">
      <c r="A49" s="17">
        <v>5</v>
      </c>
      <c r="B49" s="18">
        <v>193410962</v>
      </c>
      <c r="C49" s="18">
        <v>139101.70000000001</v>
      </c>
      <c r="D49" s="19">
        <v>1.1000000000000001</v>
      </c>
      <c r="E49" s="19">
        <v>21.5</v>
      </c>
    </row>
    <row r="50" spans="1:7" ht="16.5" customHeight="1" x14ac:dyDescent="0.3">
      <c r="A50" s="17">
        <v>6</v>
      </c>
      <c r="B50" s="21">
        <v>195734157</v>
      </c>
      <c r="C50" s="21">
        <v>138793.79999999999</v>
      </c>
      <c r="D50" s="22">
        <v>1.2</v>
      </c>
      <c r="E50" s="22">
        <v>21.5</v>
      </c>
    </row>
    <row r="51" spans="1:7" ht="16.5" customHeight="1" x14ac:dyDescent="0.3">
      <c r="A51" s="23" t="s">
        <v>18</v>
      </c>
      <c r="B51" s="24">
        <f>AVERAGE(B45:B50)</f>
        <v>193860658.5</v>
      </c>
      <c r="C51" s="25">
        <f>AVERAGE(C45:C50)</f>
        <v>138570.08333333334</v>
      </c>
      <c r="D51" s="26">
        <f>AVERAGE(D45:D50)</f>
        <v>1.1166666666666667</v>
      </c>
      <c r="E51" s="26">
        <f>AVERAGE(E45:E50)</f>
        <v>21.5</v>
      </c>
    </row>
    <row r="52" spans="1:7" ht="16.5" customHeight="1" x14ac:dyDescent="0.3">
      <c r="A52" s="27" t="s">
        <v>19</v>
      </c>
      <c r="B52" s="28">
        <f>(STDEV(B45:B50)/B51)</f>
        <v>6.2805697578308724E-3</v>
      </c>
      <c r="C52" s="29"/>
      <c r="D52" s="29"/>
      <c r="E52" s="30"/>
    </row>
    <row r="53" spans="1:7" s="282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282" customFormat="1" ht="15.75" customHeight="1" x14ac:dyDescent="0.25">
      <c r="A54" s="72"/>
      <c r="B54" s="72"/>
      <c r="C54" s="72"/>
      <c r="D54" s="72"/>
      <c r="E54" s="72"/>
    </row>
    <row r="55" spans="1:7" s="282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281"/>
      <c r="D58" s="43"/>
      <c r="F58" s="44"/>
      <c r="G58" s="44"/>
    </row>
    <row r="59" spans="1:7" ht="15" customHeight="1" x14ac:dyDescent="0.3">
      <c r="B59" s="617" t="s">
        <v>26</v>
      </c>
      <c r="C59" s="617"/>
      <c r="E59" s="283" t="s">
        <v>27</v>
      </c>
      <c r="F59" s="46"/>
      <c r="G59" s="283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21" t="s">
        <v>31</v>
      </c>
      <c r="B11" s="622"/>
      <c r="C11" s="622"/>
      <c r="D11" s="622"/>
      <c r="E11" s="622"/>
      <c r="F11" s="623"/>
      <c r="G11" s="91"/>
    </row>
    <row r="12" spans="1:7" ht="16.5" customHeight="1" x14ac:dyDescent="0.3">
      <c r="A12" s="620" t="s">
        <v>32</v>
      </c>
      <c r="B12" s="620"/>
      <c r="C12" s="620"/>
      <c r="D12" s="620"/>
      <c r="E12" s="620"/>
      <c r="F12" s="620"/>
      <c r="G12" s="90"/>
    </row>
    <row r="14" spans="1:7" ht="16.5" customHeight="1" x14ac:dyDescent="0.3">
      <c r="A14" s="625" t="s">
        <v>33</v>
      </c>
      <c r="B14" s="625"/>
      <c r="C14" s="60" t="s">
        <v>5</v>
      </c>
    </row>
    <row r="15" spans="1:7" ht="16.5" customHeight="1" x14ac:dyDescent="0.3">
      <c r="A15" s="625" t="s">
        <v>34</v>
      </c>
      <c r="B15" s="625"/>
      <c r="C15" s="60" t="s">
        <v>7</v>
      </c>
    </row>
    <row r="16" spans="1:7" ht="16.5" customHeight="1" x14ac:dyDescent="0.3">
      <c r="A16" s="625" t="s">
        <v>35</v>
      </c>
      <c r="B16" s="625"/>
      <c r="C16" s="60" t="s">
        <v>9</v>
      </c>
    </row>
    <row r="17" spans="1:5" ht="16.5" customHeight="1" x14ac:dyDescent="0.3">
      <c r="A17" s="625" t="s">
        <v>36</v>
      </c>
      <c r="B17" s="625"/>
      <c r="C17" s="60" t="s">
        <v>11</v>
      </c>
    </row>
    <row r="18" spans="1:5" ht="16.5" customHeight="1" x14ac:dyDescent="0.3">
      <c r="A18" s="625" t="s">
        <v>37</v>
      </c>
      <c r="B18" s="625"/>
      <c r="C18" s="97" t="s">
        <v>12</v>
      </c>
    </row>
    <row r="19" spans="1:5" ht="16.5" customHeight="1" x14ac:dyDescent="0.3">
      <c r="A19" s="625" t="s">
        <v>38</v>
      </c>
      <c r="B19" s="62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20" t="s">
        <v>1</v>
      </c>
      <c r="B21" s="620"/>
      <c r="C21" s="59" t="s">
        <v>39</v>
      </c>
      <c r="D21" s="66"/>
    </row>
    <row r="22" spans="1:5" ht="15.75" customHeight="1" x14ac:dyDescent="0.3">
      <c r="A22" s="624"/>
      <c r="B22" s="624"/>
      <c r="C22" s="57"/>
      <c r="D22" s="624"/>
      <c r="E22" s="62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1873.04</v>
      </c>
      <c r="D24" s="87">
        <f t="shared" ref="D24:D43" si="0">(C24-$C$46)/$C$46</f>
        <v>-2.3297736346601552E-2</v>
      </c>
      <c r="E24" s="53"/>
    </row>
    <row r="25" spans="1:5" ht="15.75" customHeight="1" x14ac:dyDescent="0.3">
      <c r="C25" s="95">
        <v>1893.68</v>
      </c>
      <c r="D25" s="88">
        <f t="shared" si="0"/>
        <v>-1.2534947125972926E-2</v>
      </c>
      <c r="E25" s="53"/>
    </row>
    <row r="26" spans="1:5" ht="15.75" customHeight="1" x14ac:dyDescent="0.3">
      <c r="C26" s="95">
        <v>1931.51</v>
      </c>
      <c r="D26" s="88">
        <f t="shared" si="0"/>
        <v>7.1916185821849317E-3</v>
      </c>
      <c r="E26" s="53"/>
    </row>
    <row r="27" spans="1:5" ht="15.75" customHeight="1" x14ac:dyDescent="0.3">
      <c r="C27" s="95">
        <v>1915.83</v>
      </c>
      <c r="D27" s="88">
        <f t="shared" si="0"/>
        <v>-9.8476392650967762E-4</v>
      </c>
      <c r="E27" s="53"/>
    </row>
    <row r="28" spans="1:5" ht="15.75" customHeight="1" x14ac:dyDescent="0.3">
      <c r="C28" s="95">
        <v>1884.47</v>
      </c>
      <c r="D28" s="88">
        <f t="shared" si="0"/>
        <v>-1.7337528943898776E-2</v>
      </c>
      <c r="E28" s="53"/>
    </row>
    <row r="29" spans="1:5" ht="15.75" customHeight="1" x14ac:dyDescent="0.3">
      <c r="C29" s="95">
        <v>1898.62</v>
      </c>
      <c r="D29" s="88">
        <f t="shared" si="0"/>
        <v>-9.9589694733613326E-3</v>
      </c>
      <c r="E29" s="53"/>
    </row>
    <row r="30" spans="1:5" ht="15.75" customHeight="1" x14ac:dyDescent="0.3">
      <c r="C30" s="95">
        <v>1953.23</v>
      </c>
      <c r="D30" s="88">
        <f t="shared" si="0"/>
        <v>1.8517577006218502E-2</v>
      </c>
      <c r="E30" s="53"/>
    </row>
    <row r="31" spans="1:5" ht="15.75" customHeight="1" x14ac:dyDescent="0.3">
      <c r="C31" s="95">
        <v>1957.65</v>
      </c>
      <c r="D31" s="88">
        <f t="shared" si="0"/>
        <v>2.0822399116450049E-2</v>
      </c>
      <c r="E31" s="53"/>
    </row>
    <row r="32" spans="1:5" ht="15.75" customHeight="1" x14ac:dyDescent="0.3">
      <c r="C32" s="95">
        <v>1914.83</v>
      </c>
      <c r="D32" s="88">
        <f t="shared" si="0"/>
        <v>-1.506216892625403E-3</v>
      </c>
      <c r="E32" s="53"/>
    </row>
    <row r="33" spans="1:7" ht="15.75" customHeight="1" x14ac:dyDescent="0.3">
      <c r="C33" s="95">
        <v>1946.49</v>
      </c>
      <c r="D33" s="88">
        <f t="shared" si="0"/>
        <v>1.5002984014598509E-2</v>
      </c>
      <c r="E33" s="53"/>
    </row>
    <row r="34" spans="1:7" ht="15.75" customHeight="1" x14ac:dyDescent="0.3">
      <c r="C34" s="95">
        <v>1930.76</v>
      </c>
      <c r="D34" s="88">
        <f t="shared" si="0"/>
        <v>6.8005288575981376E-3</v>
      </c>
      <c r="E34" s="53"/>
    </row>
    <row r="35" spans="1:7" ht="15.75" customHeight="1" x14ac:dyDescent="0.3">
      <c r="C35" s="95">
        <v>1879.75</v>
      </c>
      <c r="D35" s="88">
        <f t="shared" si="0"/>
        <v>-1.9798786943965016E-2</v>
      </c>
      <c r="E35" s="53"/>
    </row>
    <row r="36" spans="1:7" ht="15.75" customHeight="1" x14ac:dyDescent="0.3">
      <c r="C36" s="95">
        <v>1895.65</v>
      </c>
      <c r="D36" s="88">
        <f t="shared" si="0"/>
        <v>-1.1507684782724932E-2</v>
      </c>
      <c r="E36" s="53"/>
    </row>
    <row r="37" spans="1:7" ht="15.75" customHeight="1" x14ac:dyDescent="0.3">
      <c r="C37" s="95">
        <v>1889.68</v>
      </c>
      <c r="D37" s="88">
        <f t="shared" si="0"/>
        <v>-1.4620758990435828E-2</v>
      </c>
      <c r="E37" s="53"/>
    </row>
    <row r="38" spans="1:7" ht="15.75" customHeight="1" x14ac:dyDescent="0.3">
      <c r="C38" s="95">
        <v>1940.41</v>
      </c>
      <c r="D38" s="88">
        <f t="shared" si="0"/>
        <v>1.1832549980614936E-2</v>
      </c>
      <c r="E38" s="53"/>
    </row>
    <row r="39" spans="1:7" ht="15.75" customHeight="1" x14ac:dyDescent="0.3">
      <c r="C39" s="95">
        <v>1921.59</v>
      </c>
      <c r="D39" s="88">
        <f t="shared" si="0"/>
        <v>2.0188051583168967E-3</v>
      </c>
      <c r="E39" s="53"/>
    </row>
    <row r="40" spans="1:7" ht="15.75" customHeight="1" x14ac:dyDescent="0.3">
      <c r="C40" s="95">
        <v>1962.01</v>
      </c>
      <c r="D40" s="88">
        <f t="shared" si="0"/>
        <v>2.3095934048714559E-2</v>
      </c>
      <c r="E40" s="53"/>
    </row>
    <row r="41" spans="1:7" ht="15.75" customHeight="1" x14ac:dyDescent="0.3">
      <c r="C41" s="95">
        <v>1918.3</v>
      </c>
      <c r="D41" s="88">
        <f t="shared" si="0"/>
        <v>3.0322489979617864E-4</v>
      </c>
      <c r="E41" s="53"/>
    </row>
    <row r="42" spans="1:7" ht="15.75" customHeight="1" x14ac:dyDescent="0.3">
      <c r="C42" s="95">
        <v>1919.51</v>
      </c>
      <c r="D42" s="88">
        <f t="shared" si="0"/>
        <v>9.3418298879622544E-4</v>
      </c>
      <c r="E42" s="53"/>
    </row>
    <row r="43" spans="1:7" ht="16.5" customHeight="1" x14ac:dyDescent="0.3">
      <c r="C43" s="96">
        <v>1927.36</v>
      </c>
      <c r="D43" s="89">
        <f t="shared" si="0"/>
        <v>5.0275887728046227E-3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38354.370000000003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1917.7185000000002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18">
        <f>C46</f>
        <v>1917.7185000000002</v>
      </c>
      <c r="C49" s="93">
        <f>-IF(C46&lt;=80,10%,IF(C46&lt;250,7.5%,5%))</f>
        <v>-0.05</v>
      </c>
      <c r="D49" s="81">
        <f>IF(C46&lt;=80,C46*0.9,IF(C46&lt;250,C46*0.925,C46*0.95))</f>
        <v>1821.8325750000001</v>
      </c>
    </row>
    <row r="50" spans="1:6" ht="17.25" customHeight="1" x14ac:dyDescent="0.3">
      <c r="B50" s="619"/>
      <c r="C50" s="94">
        <f>IF(C46&lt;=80, 10%, IF(C46&lt;250, 7.5%, 5%))</f>
        <v>0.05</v>
      </c>
      <c r="D50" s="81">
        <f>IF(C46&lt;=80, C46*1.1, IF(C46&lt;250, C46*1.075, C46*1.05))</f>
        <v>2013.6044250000002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9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84" customWidth="1"/>
    <col min="2" max="2" width="33.7109375" style="284" customWidth="1"/>
    <col min="3" max="3" width="42.28515625" style="284" customWidth="1"/>
    <col min="4" max="4" width="30.5703125" style="284" customWidth="1"/>
    <col min="5" max="5" width="39.85546875" style="284" customWidth="1"/>
    <col min="6" max="6" width="30.7109375" style="284" customWidth="1"/>
    <col min="7" max="7" width="39.85546875" style="284" customWidth="1"/>
    <col min="8" max="8" width="30" style="284" customWidth="1"/>
    <col min="9" max="9" width="30.28515625" style="284" hidden="1" customWidth="1"/>
    <col min="10" max="10" width="30.42578125" style="284" customWidth="1"/>
    <col min="11" max="11" width="21.28515625" style="284" customWidth="1"/>
    <col min="12" max="12" width="9.140625" style="284"/>
    <col min="13" max="16384" width="9.140625" style="286"/>
  </cols>
  <sheetData>
    <row r="1" spans="1:9" ht="18.75" customHeight="1" x14ac:dyDescent="0.25">
      <c r="A1" s="659" t="s">
        <v>45</v>
      </c>
      <c r="B1" s="659"/>
      <c r="C1" s="659"/>
      <c r="D1" s="659"/>
      <c r="E1" s="659"/>
      <c r="F1" s="659"/>
      <c r="G1" s="659"/>
      <c r="H1" s="659"/>
      <c r="I1" s="659"/>
    </row>
    <row r="2" spans="1:9" ht="18.75" customHeight="1" x14ac:dyDescent="0.25">
      <c r="A2" s="659"/>
      <c r="B2" s="659"/>
      <c r="C2" s="659"/>
      <c r="D2" s="659"/>
      <c r="E2" s="659"/>
      <c r="F2" s="659"/>
      <c r="G2" s="659"/>
      <c r="H2" s="659"/>
      <c r="I2" s="659"/>
    </row>
    <row r="3" spans="1:9" ht="18.75" customHeight="1" x14ac:dyDescent="0.25">
      <c r="A3" s="659"/>
      <c r="B3" s="659"/>
      <c r="C3" s="659"/>
      <c r="D3" s="659"/>
      <c r="E3" s="659"/>
      <c r="F3" s="659"/>
      <c r="G3" s="659"/>
      <c r="H3" s="659"/>
      <c r="I3" s="659"/>
    </row>
    <row r="4" spans="1:9" ht="18.75" customHeight="1" x14ac:dyDescent="0.25">
      <c r="A4" s="659"/>
      <c r="B4" s="659"/>
      <c r="C4" s="659"/>
      <c r="D4" s="659"/>
      <c r="E4" s="659"/>
      <c r="F4" s="659"/>
      <c r="G4" s="659"/>
      <c r="H4" s="659"/>
      <c r="I4" s="659"/>
    </row>
    <row r="5" spans="1:9" ht="18.75" customHeight="1" x14ac:dyDescent="0.25">
      <c r="A5" s="659"/>
      <c r="B5" s="659"/>
      <c r="C5" s="659"/>
      <c r="D5" s="659"/>
      <c r="E5" s="659"/>
      <c r="F5" s="659"/>
      <c r="G5" s="659"/>
      <c r="H5" s="659"/>
      <c r="I5" s="659"/>
    </row>
    <row r="6" spans="1:9" ht="18.75" customHeight="1" x14ac:dyDescent="0.25">
      <c r="A6" s="659"/>
      <c r="B6" s="659"/>
      <c r="C6" s="659"/>
      <c r="D6" s="659"/>
      <c r="E6" s="659"/>
      <c r="F6" s="659"/>
      <c r="G6" s="659"/>
      <c r="H6" s="659"/>
      <c r="I6" s="659"/>
    </row>
    <row r="7" spans="1:9" ht="18.75" customHeight="1" x14ac:dyDescent="0.25">
      <c r="A7" s="659"/>
      <c r="B7" s="659"/>
      <c r="C7" s="659"/>
      <c r="D7" s="659"/>
      <c r="E7" s="659"/>
      <c r="F7" s="659"/>
      <c r="G7" s="659"/>
      <c r="H7" s="659"/>
      <c r="I7" s="659"/>
    </row>
    <row r="8" spans="1:9" x14ac:dyDescent="0.25">
      <c r="A8" s="660" t="s">
        <v>46</v>
      </c>
      <c r="B8" s="660"/>
      <c r="C8" s="660"/>
      <c r="D8" s="660"/>
      <c r="E8" s="660"/>
      <c r="F8" s="660"/>
      <c r="G8" s="660"/>
      <c r="H8" s="660"/>
      <c r="I8" s="660"/>
    </row>
    <row r="9" spans="1:9" x14ac:dyDescent="0.25">
      <c r="A9" s="660"/>
      <c r="B9" s="660"/>
      <c r="C9" s="660"/>
      <c r="D9" s="660"/>
      <c r="E9" s="660"/>
      <c r="F9" s="660"/>
      <c r="G9" s="660"/>
      <c r="H9" s="660"/>
      <c r="I9" s="660"/>
    </row>
    <row r="10" spans="1:9" x14ac:dyDescent="0.25">
      <c r="A10" s="660"/>
      <c r="B10" s="660"/>
      <c r="C10" s="660"/>
      <c r="D10" s="660"/>
      <c r="E10" s="660"/>
      <c r="F10" s="660"/>
      <c r="G10" s="660"/>
      <c r="H10" s="660"/>
      <c r="I10" s="660"/>
    </row>
    <row r="11" spans="1:9" x14ac:dyDescent="0.25">
      <c r="A11" s="660"/>
      <c r="B11" s="660"/>
      <c r="C11" s="660"/>
      <c r="D11" s="660"/>
      <c r="E11" s="660"/>
      <c r="F11" s="660"/>
      <c r="G11" s="660"/>
      <c r="H11" s="660"/>
      <c r="I11" s="660"/>
    </row>
    <row r="12" spans="1:9" x14ac:dyDescent="0.25">
      <c r="A12" s="660"/>
      <c r="B12" s="660"/>
      <c r="C12" s="660"/>
      <c r="D12" s="660"/>
      <c r="E12" s="660"/>
      <c r="F12" s="660"/>
      <c r="G12" s="660"/>
      <c r="H12" s="660"/>
      <c r="I12" s="660"/>
    </row>
    <row r="13" spans="1:9" x14ac:dyDescent="0.25">
      <c r="A13" s="660"/>
      <c r="B13" s="660"/>
      <c r="C13" s="660"/>
      <c r="D13" s="660"/>
      <c r="E13" s="660"/>
      <c r="F13" s="660"/>
      <c r="G13" s="660"/>
      <c r="H13" s="660"/>
      <c r="I13" s="660"/>
    </row>
    <row r="14" spans="1:9" x14ac:dyDescent="0.25">
      <c r="A14" s="660"/>
      <c r="B14" s="660"/>
      <c r="C14" s="660"/>
      <c r="D14" s="660"/>
      <c r="E14" s="660"/>
      <c r="F14" s="660"/>
      <c r="G14" s="660"/>
      <c r="H14" s="660"/>
      <c r="I14" s="660"/>
    </row>
    <row r="15" spans="1:9" ht="19.5" customHeight="1" thickBot="1" x14ac:dyDescent="0.35">
      <c r="A15" s="285"/>
    </row>
    <row r="16" spans="1:9" ht="19.5" customHeight="1" thickBot="1" x14ac:dyDescent="0.35">
      <c r="A16" s="661" t="s">
        <v>31</v>
      </c>
      <c r="B16" s="662"/>
      <c r="C16" s="662"/>
      <c r="D16" s="662"/>
      <c r="E16" s="662"/>
      <c r="F16" s="662"/>
      <c r="G16" s="662"/>
      <c r="H16" s="663"/>
    </row>
    <row r="17" spans="1:14" ht="20.25" customHeight="1" x14ac:dyDescent="0.25">
      <c r="A17" s="664" t="s">
        <v>47</v>
      </c>
      <c r="B17" s="664"/>
      <c r="C17" s="664"/>
      <c r="D17" s="664"/>
      <c r="E17" s="664"/>
      <c r="F17" s="664"/>
      <c r="G17" s="664"/>
      <c r="H17" s="664"/>
    </row>
    <row r="18" spans="1:14" ht="26.25" customHeight="1" x14ac:dyDescent="0.4">
      <c r="A18" s="287" t="s">
        <v>33</v>
      </c>
      <c r="B18" s="657" t="s">
        <v>127</v>
      </c>
      <c r="C18" s="657"/>
      <c r="D18" s="288"/>
      <c r="E18" s="289"/>
      <c r="F18" s="290"/>
      <c r="G18" s="290"/>
      <c r="H18" s="290"/>
    </row>
    <row r="19" spans="1:14" ht="26.25" customHeight="1" x14ac:dyDescent="0.4">
      <c r="A19" s="287" t="s">
        <v>34</v>
      </c>
      <c r="B19" s="291" t="s">
        <v>7</v>
      </c>
      <c r="C19" s="290">
        <v>29</v>
      </c>
      <c r="D19" s="290"/>
      <c r="E19" s="290"/>
      <c r="F19" s="290"/>
      <c r="G19" s="290"/>
      <c r="H19" s="290"/>
    </row>
    <row r="20" spans="1:14" ht="26.25" customHeight="1" x14ac:dyDescent="0.4">
      <c r="A20" s="287" t="s">
        <v>35</v>
      </c>
      <c r="B20" s="656" t="s">
        <v>128</v>
      </c>
      <c r="C20" s="656"/>
      <c r="D20" s="290"/>
      <c r="E20" s="290"/>
      <c r="F20" s="290"/>
      <c r="G20" s="290"/>
      <c r="H20" s="290"/>
    </row>
    <row r="21" spans="1:14" ht="26.25" customHeight="1" x14ac:dyDescent="0.4">
      <c r="A21" s="287" t="s">
        <v>36</v>
      </c>
      <c r="B21" s="656" t="s">
        <v>129</v>
      </c>
      <c r="C21" s="656"/>
      <c r="D21" s="656"/>
      <c r="E21" s="656"/>
      <c r="F21" s="656"/>
      <c r="G21" s="656"/>
      <c r="H21" s="656"/>
      <c r="I21" s="292"/>
    </row>
    <row r="22" spans="1:14" ht="26.25" customHeight="1" x14ac:dyDescent="0.4">
      <c r="A22" s="287" t="s">
        <v>37</v>
      </c>
      <c r="B22" s="293">
        <v>42499.469143518516</v>
      </c>
      <c r="C22" s="290"/>
      <c r="D22" s="290"/>
      <c r="E22" s="290"/>
      <c r="F22" s="290"/>
      <c r="G22" s="290"/>
      <c r="H22" s="290"/>
    </row>
    <row r="23" spans="1:14" ht="26.25" customHeight="1" x14ac:dyDescent="0.4">
      <c r="A23" s="287" t="s">
        <v>38</v>
      </c>
      <c r="B23" s="293">
        <v>42510.469143518516</v>
      </c>
      <c r="C23" s="290"/>
      <c r="D23" s="290"/>
      <c r="E23" s="290"/>
      <c r="F23" s="290"/>
      <c r="G23" s="290"/>
      <c r="H23" s="290"/>
    </row>
    <row r="24" spans="1:14" ht="18.75" x14ac:dyDescent="0.3">
      <c r="A24" s="287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296" t="s">
        <v>4</v>
      </c>
      <c r="B26" s="657" t="s">
        <v>125</v>
      </c>
      <c r="C26" s="657"/>
    </row>
    <row r="27" spans="1:14" ht="26.25" customHeight="1" x14ac:dyDescent="0.4">
      <c r="A27" s="297" t="s">
        <v>48</v>
      </c>
      <c r="B27" s="658" t="s">
        <v>126</v>
      </c>
      <c r="C27" s="658"/>
    </row>
    <row r="28" spans="1:14" ht="27" customHeight="1" thickBot="1" x14ac:dyDescent="0.45">
      <c r="A28" s="297" t="s">
        <v>6</v>
      </c>
      <c r="B28" s="298">
        <v>101.74</v>
      </c>
    </row>
    <row r="29" spans="1:14" s="300" customFormat="1" ht="27" customHeight="1" thickBot="1" x14ac:dyDescent="0.45">
      <c r="A29" s="297" t="s">
        <v>49</v>
      </c>
      <c r="B29" s="299">
        <v>0</v>
      </c>
      <c r="C29" s="636" t="s">
        <v>50</v>
      </c>
      <c r="D29" s="637"/>
      <c r="E29" s="637"/>
      <c r="F29" s="637"/>
      <c r="G29" s="638"/>
      <c r="I29" s="301"/>
      <c r="J29" s="301"/>
      <c r="K29" s="301"/>
      <c r="L29" s="301"/>
    </row>
    <row r="30" spans="1:14" s="300" customFormat="1" ht="19.5" customHeight="1" thickBot="1" x14ac:dyDescent="0.35">
      <c r="A30" s="297" t="s">
        <v>51</v>
      </c>
      <c r="B30" s="302">
        <f>B28-B29</f>
        <v>101.74</v>
      </c>
      <c r="C30" s="303"/>
      <c r="D30" s="303"/>
      <c r="E30" s="303"/>
      <c r="F30" s="303"/>
      <c r="G30" s="304"/>
      <c r="I30" s="301"/>
      <c r="J30" s="301"/>
      <c r="K30" s="301"/>
      <c r="L30" s="301"/>
    </row>
    <row r="31" spans="1:14" s="300" customFormat="1" ht="27" customHeight="1" thickBot="1" x14ac:dyDescent="0.45">
      <c r="A31" s="297" t="s">
        <v>52</v>
      </c>
      <c r="B31" s="305">
        <v>1</v>
      </c>
      <c r="C31" s="639" t="s">
        <v>53</v>
      </c>
      <c r="D31" s="640"/>
      <c r="E31" s="640"/>
      <c r="F31" s="640"/>
      <c r="G31" s="640"/>
      <c r="H31" s="641"/>
      <c r="I31" s="301"/>
      <c r="J31" s="301"/>
      <c r="K31" s="301"/>
      <c r="L31" s="301"/>
    </row>
    <row r="32" spans="1:14" s="300" customFormat="1" ht="27" customHeight="1" thickBot="1" x14ac:dyDescent="0.45">
      <c r="A32" s="297" t="s">
        <v>54</v>
      </c>
      <c r="B32" s="305">
        <v>1</v>
      </c>
      <c r="C32" s="639" t="s">
        <v>55</v>
      </c>
      <c r="D32" s="640"/>
      <c r="E32" s="640"/>
      <c r="F32" s="640"/>
      <c r="G32" s="640"/>
      <c r="H32" s="641"/>
      <c r="I32" s="301"/>
      <c r="J32" s="301"/>
      <c r="K32" s="301"/>
      <c r="L32" s="306"/>
      <c r="M32" s="306"/>
      <c r="N32" s="307"/>
    </row>
    <row r="33" spans="1:14" s="300" customFormat="1" ht="17.25" customHeight="1" x14ac:dyDescent="0.3">
      <c r="A33" s="297"/>
      <c r="B33" s="308"/>
      <c r="C33" s="309"/>
      <c r="D33" s="309"/>
      <c r="E33" s="309"/>
      <c r="F33" s="309"/>
      <c r="G33" s="309"/>
      <c r="H33" s="309"/>
      <c r="I33" s="301"/>
      <c r="J33" s="301"/>
      <c r="K33" s="301"/>
      <c r="L33" s="306"/>
      <c r="M33" s="306"/>
      <c r="N33" s="307"/>
    </row>
    <row r="34" spans="1:14" s="300" customFormat="1" ht="18.75" x14ac:dyDescent="0.3">
      <c r="A34" s="297" t="s">
        <v>56</v>
      </c>
      <c r="B34" s="310">
        <f>B31/B32</f>
        <v>1</v>
      </c>
      <c r="C34" s="285" t="s">
        <v>57</v>
      </c>
      <c r="D34" s="285"/>
      <c r="E34" s="285"/>
      <c r="F34" s="285"/>
      <c r="G34" s="285"/>
      <c r="I34" s="301"/>
      <c r="J34" s="301"/>
      <c r="K34" s="301"/>
      <c r="L34" s="306"/>
      <c r="M34" s="306"/>
      <c r="N34" s="307"/>
    </row>
    <row r="35" spans="1:14" s="300" customFormat="1" ht="19.5" customHeight="1" thickBot="1" x14ac:dyDescent="0.35">
      <c r="A35" s="297"/>
      <c r="B35" s="302"/>
      <c r="G35" s="285"/>
      <c r="I35" s="301"/>
      <c r="J35" s="301"/>
      <c r="K35" s="301"/>
      <c r="L35" s="306"/>
      <c r="M35" s="306"/>
      <c r="N35" s="307"/>
    </row>
    <row r="36" spans="1:14" s="300" customFormat="1" ht="27" customHeight="1" thickBot="1" x14ac:dyDescent="0.45">
      <c r="A36" s="311" t="s">
        <v>58</v>
      </c>
      <c r="B36" s="312">
        <v>25</v>
      </c>
      <c r="C36" s="285"/>
      <c r="D36" s="642" t="s">
        <v>59</v>
      </c>
      <c r="E36" s="655"/>
      <c r="F36" s="642" t="s">
        <v>60</v>
      </c>
      <c r="G36" s="643"/>
      <c r="J36" s="301"/>
      <c r="K36" s="301"/>
      <c r="L36" s="306"/>
      <c r="M36" s="306"/>
      <c r="N36" s="307"/>
    </row>
    <row r="37" spans="1:14" s="300" customFormat="1" ht="27" customHeight="1" thickBot="1" x14ac:dyDescent="0.45">
      <c r="A37" s="313" t="s">
        <v>61</v>
      </c>
      <c r="B37" s="314">
        <v>5</v>
      </c>
      <c r="C37" s="315" t="s">
        <v>62</v>
      </c>
      <c r="D37" s="316" t="s">
        <v>63</v>
      </c>
      <c r="E37" s="317" t="s">
        <v>64</v>
      </c>
      <c r="F37" s="316" t="s">
        <v>63</v>
      </c>
      <c r="G37" s="318" t="s">
        <v>64</v>
      </c>
      <c r="I37" s="319" t="s">
        <v>65</v>
      </c>
      <c r="J37" s="301"/>
      <c r="K37" s="301"/>
      <c r="L37" s="306"/>
      <c r="M37" s="306"/>
      <c r="N37" s="307"/>
    </row>
    <row r="38" spans="1:14" s="300" customFormat="1" ht="26.25" customHeight="1" x14ac:dyDescent="0.4">
      <c r="A38" s="313" t="s">
        <v>66</v>
      </c>
      <c r="B38" s="314">
        <v>50</v>
      </c>
      <c r="C38" s="320">
        <v>1</v>
      </c>
      <c r="D38" s="321">
        <v>16343031</v>
      </c>
      <c r="E38" s="322">
        <f>IF(ISBLANK(D38),"-",$D$48/$D$45*D38)</f>
        <v>16721227.259153601</v>
      </c>
      <c r="F38" s="321">
        <v>17496323</v>
      </c>
      <c r="G38" s="323">
        <f>IF(ISBLANK(F38),"-",$D$48/$F$45*F38)</f>
        <v>16440816.034273246</v>
      </c>
      <c r="I38" s="324"/>
      <c r="J38" s="301"/>
      <c r="K38" s="301"/>
      <c r="L38" s="306"/>
      <c r="M38" s="306"/>
      <c r="N38" s="307"/>
    </row>
    <row r="39" spans="1:14" s="300" customFormat="1" ht="26.25" customHeight="1" x14ac:dyDescent="0.4">
      <c r="A39" s="313" t="s">
        <v>67</v>
      </c>
      <c r="B39" s="314">
        <v>1</v>
      </c>
      <c r="C39" s="325">
        <v>2</v>
      </c>
      <c r="D39" s="326">
        <v>16180468</v>
      </c>
      <c r="E39" s="327">
        <f>IF(ISBLANK(D39),"-",$D$48/$D$45*D39)</f>
        <v>16554902.367098402</v>
      </c>
      <c r="F39" s="326">
        <v>17476002</v>
      </c>
      <c r="G39" s="328">
        <f>IF(ISBLANK(F39),"-",$D$48/$F$45*F39)</f>
        <v>16421720.94654353</v>
      </c>
      <c r="I39" s="626">
        <f>ABS((F43/D43*D42)-F42)/D42</f>
        <v>8.1279420791236789E-3</v>
      </c>
      <c r="J39" s="301"/>
      <c r="K39" s="301"/>
      <c r="L39" s="306"/>
      <c r="M39" s="306"/>
      <c r="N39" s="307"/>
    </row>
    <row r="40" spans="1:14" ht="26.25" customHeight="1" x14ac:dyDescent="0.4">
      <c r="A40" s="313" t="s">
        <v>68</v>
      </c>
      <c r="B40" s="314">
        <v>1</v>
      </c>
      <c r="C40" s="325">
        <v>3</v>
      </c>
      <c r="D40" s="326">
        <v>16177269</v>
      </c>
      <c r="E40" s="327">
        <f>IF(ISBLANK(D40),"-",$D$48/$D$45*D40)</f>
        <v>16551629.338612925</v>
      </c>
      <c r="F40" s="326">
        <v>17658559</v>
      </c>
      <c r="G40" s="328">
        <f>IF(ISBLANK(F40),"-",$D$48/$F$45*F40)</f>
        <v>16593264.764794301</v>
      </c>
      <c r="I40" s="626"/>
      <c r="L40" s="306"/>
      <c r="M40" s="306"/>
      <c r="N40" s="285"/>
    </row>
    <row r="41" spans="1:14" ht="27" customHeight="1" thickBot="1" x14ac:dyDescent="0.45">
      <c r="A41" s="313" t="s">
        <v>69</v>
      </c>
      <c r="B41" s="314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6"/>
      <c r="M41" s="306"/>
      <c r="N41" s="285"/>
    </row>
    <row r="42" spans="1:14" ht="27" customHeight="1" thickBot="1" x14ac:dyDescent="0.45">
      <c r="A42" s="313" t="s">
        <v>70</v>
      </c>
      <c r="B42" s="314">
        <v>1</v>
      </c>
      <c r="C42" s="334" t="s">
        <v>71</v>
      </c>
      <c r="D42" s="335">
        <f>AVERAGE(D38:D41)</f>
        <v>16233589.333333334</v>
      </c>
      <c r="E42" s="336">
        <f>AVERAGE(E38:E41)</f>
        <v>16609252.988288308</v>
      </c>
      <c r="F42" s="335">
        <f>AVERAGE(F38:F41)</f>
        <v>17543628</v>
      </c>
      <c r="G42" s="337">
        <f>AVERAGE(G38:G41)</f>
        <v>16485267.248537024</v>
      </c>
      <c r="H42" s="338"/>
    </row>
    <row r="43" spans="1:14" ht="26.25" customHeight="1" x14ac:dyDescent="0.4">
      <c r="A43" s="313" t="s">
        <v>72</v>
      </c>
      <c r="B43" s="314">
        <v>1</v>
      </c>
      <c r="C43" s="339" t="s">
        <v>73</v>
      </c>
      <c r="D43" s="340">
        <v>14.41</v>
      </c>
      <c r="E43" s="285"/>
      <c r="F43" s="340">
        <v>15.69</v>
      </c>
      <c r="H43" s="338"/>
    </row>
    <row r="44" spans="1:14" ht="26.25" customHeight="1" x14ac:dyDescent="0.4">
      <c r="A44" s="313" t="s">
        <v>74</v>
      </c>
      <c r="B44" s="314">
        <v>1</v>
      </c>
      <c r="C44" s="341" t="s">
        <v>75</v>
      </c>
      <c r="D44" s="342">
        <f>D43*$B$34</f>
        <v>14.41</v>
      </c>
      <c r="E44" s="343"/>
      <c r="F44" s="342">
        <f>F43*$B$34</f>
        <v>15.69</v>
      </c>
      <c r="H44" s="338"/>
    </row>
    <row r="45" spans="1:14" ht="19.5" customHeight="1" thickBot="1" x14ac:dyDescent="0.35">
      <c r="A45" s="313" t="s">
        <v>76</v>
      </c>
      <c r="B45" s="325">
        <f>(B44/B43)*(B42/B41)*(B40/B39)*(B38/B37)*B36</f>
        <v>250</v>
      </c>
      <c r="C45" s="341" t="s">
        <v>77</v>
      </c>
      <c r="D45" s="344">
        <f>D44*$B$30/100</f>
        <v>14.660734</v>
      </c>
      <c r="E45" s="345"/>
      <c r="F45" s="344">
        <f>F44*$B$30/100</f>
        <v>15.963005999999998</v>
      </c>
      <c r="H45" s="338"/>
    </row>
    <row r="46" spans="1:14" ht="19.5" customHeight="1" thickBot="1" x14ac:dyDescent="0.35">
      <c r="A46" s="627" t="s">
        <v>78</v>
      </c>
      <c r="B46" s="631"/>
      <c r="C46" s="341" t="s">
        <v>79</v>
      </c>
      <c r="D46" s="346">
        <f>D45/$B$45</f>
        <v>5.8642936E-2</v>
      </c>
      <c r="E46" s="347"/>
      <c r="F46" s="348">
        <f>F45/$B$45</f>
        <v>6.3852023999999993E-2</v>
      </c>
      <c r="H46" s="338"/>
    </row>
    <row r="47" spans="1:14" ht="27" customHeight="1" thickBot="1" x14ac:dyDescent="0.45">
      <c r="A47" s="629"/>
      <c r="B47" s="632"/>
      <c r="C47" s="349" t="s">
        <v>80</v>
      </c>
      <c r="D47" s="350">
        <v>0.06</v>
      </c>
      <c r="E47" s="351"/>
      <c r="F47" s="347"/>
      <c r="H47" s="338"/>
    </row>
    <row r="48" spans="1:14" ht="18.75" x14ac:dyDescent="0.3">
      <c r="C48" s="352" t="s">
        <v>81</v>
      </c>
      <c r="D48" s="344">
        <f>D47*$B$45</f>
        <v>15</v>
      </c>
      <c r="F48" s="353"/>
      <c r="H48" s="338"/>
    </row>
    <row r="49" spans="1:12" ht="19.5" customHeight="1" thickBot="1" x14ac:dyDescent="0.35">
      <c r="C49" s="354" t="s">
        <v>82</v>
      </c>
      <c r="D49" s="355">
        <f>D48/B34</f>
        <v>15</v>
      </c>
      <c r="F49" s="353"/>
      <c r="H49" s="338"/>
    </row>
    <row r="50" spans="1:12" ht="18.75" x14ac:dyDescent="0.3">
      <c r="C50" s="311" t="s">
        <v>83</v>
      </c>
      <c r="D50" s="356">
        <f>AVERAGE(E38:E41,G38:G41)</f>
        <v>16547260.118412666</v>
      </c>
      <c r="F50" s="357"/>
      <c r="H50" s="338"/>
    </row>
    <row r="51" spans="1:12" ht="18.75" x14ac:dyDescent="0.3">
      <c r="C51" s="313" t="s">
        <v>84</v>
      </c>
      <c r="D51" s="358">
        <f>STDEV(E38:E41,G38:G41)/D50</f>
        <v>6.5951674679483379E-3</v>
      </c>
      <c r="F51" s="357"/>
      <c r="H51" s="338"/>
    </row>
    <row r="52" spans="1:12" ht="19.5" customHeight="1" thickBot="1" x14ac:dyDescent="0.35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85</v>
      </c>
    </row>
    <row r="55" spans="1:12" ht="18.75" x14ac:dyDescent="0.3">
      <c r="A55" s="285" t="s">
        <v>86</v>
      </c>
      <c r="B55" s="363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363" t="s">
        <v>87</v>
      </c>
      <c r="B56" s="364">
        <v>300</v>
      </c>
      <c r="C56" s="285" t="str">
        <f>B20</f>
        <v>Efavirenz 600mg, Lamivudine 300mg and Tenofovir Disoproxil Fumarate 300mg Tablets</v>
      </c>
      <c r="H56" s="343"/>
    </row>
    <row r="57" spans="1:12" ht="18.75" x14ac:dyDescent="0.3">
      <c r="A57" s="363" t="s">
        <v>88</v>
      </c>
      <c r="B57" s="365">
        <f>Uniformity!C46</f>
        <v>1917.7185000000002</v>
      </c>
      <c r="H57" s="343"/>
    </row>
    <row r="58" spans="1:12" ht="19.5" customHeight="1" thickBot="1" x14ac:dyDescent="0.35">
      <c r="H58" s="343"/>
    </row>
    <row r="59" spans="1:12" s="300" customFormat="1" ht="27" customHeight="1" thickBot="1" x14ac:dyDescent="0.45">
      <c r="A59" s="311" t="s">
        <v>89</v>
      </c>
      <c r="B59" s="312">
        <v>200</v>
      </c>
      <c r="C59" s="285"/>
      <c r="D59" s="366" t="s">
        <v>90</v>
      </c>
      <c r="E59" s="367" t="s">
        <v>62</v>
      </c>
      <c r="F59" s="367" t="s">
        <v>63</v>
      </c>
      <c r="G59" s="367" t="s">
        <v>91</v>
      </c>
      <c r="H59" s="315" t="s">
        <v>92</v>
      </c>
      <c r="L59" s="301"/>
    </row>
    <row r="60" spans="1:12" s="300" customFormat="1" ht="26.25" customHeight="1" x14ac:dyDescent="0.4">
      <c r="A60" s="313" t="s">
        <v>93</v>
      </c>
      <c r="B60" s="314">
        <v>4</v>
      </c>
      <c r="C60" s="644" t="s">
        <v>94</v>
      </c>
      <c r="D60" s="647">
        <v>1914.91</v>
      </c>
      <c r="E60" s="368">
        <v>1</v>
      </c>
      <c r="F60" s="369"/>
      <c r="G60" s="370" t="str">
        <f>IF(ISBLANK(F60),"-",(F60/$D$50*$D$47*$B$68)*($B$57/$D$60))</f>
        <v>-</v>
      </c>
      <c r="H60" s="371" t="str">
        <f t="shared" ref="H60:H71" si="0">IF(ISBLANK(F60),"-",G60/$B$56)</f>
        <v>-</v>
      </c>
      <c r="L60" s="301"/>
    </row>
    <row r="61" spans="1:12" s="300" customFormat="1" ht="26.25" customHeight="1" x14ac:dyDescent="0.4">
      <c r="A61" s="313" t="s">
        <v>95</v>
      </c>
      <c r="B61" s="314">
        <v>100</v>
      </c>
      <c r="C61" s="645"/>
      <c r="D61" s="648"/>
      <c r="E61" s="372">
        <v>2</v>
      </c>
      <c r="F61" s="326">
        <v>18234960</v>
      </c>
      <c r="G61" s="373">
        <f>IF(ISBLANK(F61),"-",(F61/$D$50*$D$47*$B$68)*($B$57/$D$60))</f>
        <v>331.08268342676496</v>
      </c>
      <c r="H61" s="374">
        <f t="shared" si="0"/>
        <v>1.1036089447558832</v>
      </c>
      <c r="L61" s="301"/>
    </row>
    <row r="62" spans="1:12" s="300" customFormat="1" ht="26.25" customHeight="1" x14ac:dyDescent="0.4">
      <c r="A62" s="313" t="s">
        <v>96</v>
      </c>
      <c r="B62" s="314">
        <v>1</v>
      </c>
      <c r="C62" s="645"/>
      <c r="D62" s="648"/>
      <c r="E62" s="372">
        <v>3</v>
      </c>
      <c r="F62" s="375">
        <v>18229076</v>
      </c>
      <c r="G62" s="373">
        <f>IF(ISBLANK(F62),"-",(F62/$D$50*$D$47*$B$68)*($B$57/$D$60))</f>
        <v>330.97585069944978</v>
      </c>
      <c r="H62" s="374">
        <f t="shared" si="0"/>
        <v>1.1032528356648326</v>
      </c>
      <c r="L62" s="301"/>
    </row>
    <row r="63" spans="1:12" ht="27" customHeight="1" thickBot="1" x14ac:dyDescent="0.45">
      <c r="A63" s="313" t="s">
        <v>97</v>
      </c>
      <c r="B63" s="314">
        <v>1</v>
      </c>
      <c r="C63" s="646"/>
      <c r="D63" s="649"/>
      <c r="E63" s="376">
        <v>4</v>
      </c>
      <c r="F63" s="377"/>
      <c r="G63" s="373" t="str">
        <f>IF(ISBLANK(F63),"-",(F63/$D$50*$D$47*$B$68)*($B$57/$D$60))</f>
        <v>-</v>
      </c>
      <c r="H63" s="374" t="str">
        <f t="shared" si="0"/>
        <v>-</v>
      </c>
    </row>
    <row r="64" spans="1:12" ht="26.25" customHeight="1" x14ac:dyDescent="0.4">
      <c r="A64" s="313" t="s">
        <v>98</v>
      </c>
      <c r="B64" s="314">
        <v>1</v>
      </c>
      <c r="C64" s="644" t="s">
        <v>99</v>
      </c>
      <c r="D64" s="647">
        <v>1917.53</v>
      </c>
      <c r="E64" s="368">
        <v>1</v>
      </c>
      <c r="F64" s="369">
        <v>17845125</v>
      </c>
      <c r="G64" s="378">
        <f>IF(ISBLANK(F64),"-",(F64/$D$50*$D$47*$B$68)*($B$57/$D$64))</f>
        <v>323.56195124812672</v>
      </c>
      <c r="H64" s="379">
        <f t="shared" si="0"/>
        <v>1.0785398374937558</v>
      </c>
    </row>
    <row r="65" spans="1:8" ht="26.25" customHeight="1" x14ac:dyDescent="0.4">
      <c r="A65" s="313" t="s">
        <v>100</v>
      </c>
      <c r="B65" s="314">
        <v>1</v>
      </c>
      <c r="C65" s="645"/>
      <c r="D65" s="648"/>
      <c r="E65" s="372">
        <v>2</v>
      </c>
      <c r="F65" s="326">
        <v>17903638</v>
      </c>
      <c r="G65" s="380">
        <f>IF(ISBLANK(F65),"-",(F65/$D$50*$D$47*$B$68)*($B$57/$D$64))</f>
        <v>324.62288976513804</v>
      </c>
      <c r="H65" s="381">
        <f t="shared" si="0"/>
        <v>1.0820762992171269</v>
      </c>
    </row>
    <row r="66" spans="1:8" ht="26.25" customHeight="1" x14ac:dyDescent="0.4">
      <c r="A66" s="313" t="s">
        <v>101</v>
      </c>
      <c r="B66" s="314">
        <v>1</v>
      </c>
      <c r="C66" s="645"/>
      <c r="D66" s="648"/>
      <c r="E66" s="372">
        <v>3</v>
      </c>
      <c r="F66" s="326">
        <v>17806969</v>
      </c>
      <c r="G66" s="380">
        <f>IF(ISBLANK(F66),"-",(F66/$D$50*$D$47*$B$68)*($B$57/$D$64))</f>
        <v>322.87011917567986</v>
      </c>
      <c r="H66" s="381">
        <f t="shared" si="0"/>
        <v>1.0762337305855996</v>
      </c>
    </row>
    <row r="67" spans="1:8" ht="27" customHeight="1" thickBot="1" x14ac:dyDescent="0.45">
      <c r="A67" s="313" t="s">
        <v>102</v>
      </c>
      <c r="B67" s="314">
        <v>1</v>
      </c>
      <c r="C67" s="646"/>
      <c r="D67" s="649"/>
      <c r="E67" s="376">
        <v>4</v>
      </c>
      <c r="F67" s="377"/>
      <c r="G67" s="382" t="str">
        <f>IF(ISBLANK(F67),"-",(F67/$D$50*$D$47*$B$68)*($B$57/$D$64))</f>
        <v>-</v>
      </c>
      <c r="H67" s="383" t="str">
        <f t="shared" si="0"/>
        <v>-</v>
      </c>
    </row>
    <row r="68" spans="1:8" ht="26.25" customHeight="1" x14ac:dyDescent="0.4">
      <c r="A68" s="313" t="s">
        <v>103</v>
      </c>
      <c r="B68" s="384">
        <f>(B67/B66)*(B65/B64)*(B63/B62)*(B61/B60)*B59</f>
        <v>5000</v>
      </c>
      <c r="C68" s="644" t="s">
        <v>104</v>
      </c>
      <c r="D68" s="647">
        <v>1913.96</v>
      </c>
      <c r="E68" s="368">
        <v>1</v>
      </c>
      <c r="F68" s="369">
        <v>17404617</v>
      </c>
      <c r="G68" s="378">
        <f>IF(ISBLANK(F68),"-",(F68/$D$50*$D$47*$B$68)*($B$57/$D$68))</f>
        <v>316.1634283437071</v>
      </c>
      <c r="H68" s="374">
        <f t="shared" si="0"/>
        <v>1.0538780944790236</v>
      </c>
    </row>
    <row r="69" spans="1:8" ht="27" customHeight="1" thickBot="1" x14ac:dyDescent="0.45">
      <c r="A69" s="359" t="s">
        <v>105</v>
      </c>
      <c r="B69" s="385">
        <f>(D47*B68)/B56*B57</f>
        <v>1917.7185000000002</v>
      </c>
      <c r="C69" s="645"/>
      <c r="D69" s="648"/>
      <c r="E69" s="372">
        <v>2</v>
      </c>
      <c r="F69" s="326">
        <v>17427800</v>
      </c>
      <c r="G69" s="380">
        <f>IF(ISBLANK(F69),"-",(F69/$D$50*$D$47*$B$68)*($B$57/$D$68))</f>
        <v>316.58455894136938</v>
      </c>
      <c r="H69" s="374">
        <f t="shared" si="0"/>
        <v>1.055281863137898</v>
      </c>
    </row>
    <row r="70" spans="1:8" ht="26.25" customHeight="1" x14ac:dyDescent="0.4">
      <c r="A70" s="651" t="s">
        <v>78</v>
      </c>
      <c r="B70" s="652"/>
      <c r="C70" s="645"/>
      <c r="D70" s="648"/>
      <c r="E70" s="372">
        <v>3</v>
      </c>
      <c r="F70" s="326">
        <v>17407671</v>
      </c>
      <c r="G70" s="380">
        <f>IF(ISBLANK(F70),"-",(F70/$D$50*$D$47*$B$68)*($B$57/$D$68))</f>
        <v>316.21890575583063</v>
      </c>
      <c r="H70" s="374">
        <f t="shared" si="0"/>
        <v>1.054063019186102</v>
      </c>
    </row>
    <row r="71" spans="1:8" ht="27" customHeight="1" thickBot="1" x14ac:dyDescent="0.45">
      <c r="A71" s="653"/>
      <c r="B71" s="654"/>
      <c r="C71" s="650"/>
      <c r="D71" s="649"/>
      <c r="E71" s="376">
        <v>4</v>
      </c>
      <c r="F71" s="377"/>
      <c r="G71" s="382" t="str">
        <f>IF(ISBLANK(F71),"-",(F71/$D$50*$D$47*$B$68)*($B$57/$D$68))</f>
        <v>-</v>
      </c>
      <c r="H71" s="386" t="str">
        <f t="shared" si="0"/>
        <v>-</v>
      </c>
    </row>
    <row r="72" spans="1:8" ht="26.25" customHeight="1" x14ac:dyDescent="0.4">
      <c r="A72" s="343"/>
      <c r="B72" s="343"/>
      <c r="C72" s="343"/>
      <c r="D72" s="343"/>
      <c r="E72" s="343"/>
      <c r="F72" s="387" t="s">
        <v>71</v>
      </c>
      <c r="G72" s="388">
        <f>AVERAGE(G60:G71)</f>
        <v>322.76004841950828</v>
      </c>
      <c r="H72" s="389">
        <f>AVERAGE(H60:H71)</f>
        <v>1.0758668280650276</v>
      </c>
    </row>
    <row r="73" spans="1:8" ht="26.25" customHeight="1" x14ac:dyDescent="0.4">
      <c r="C73" s="343"/>
      <c r="D73" s="343"/>
      <c r="E73" s="343"/>
      <c r="F73" s="390" t="s">
        <v>84</v>
      </c>
      <c r="G73" s="391">
        <f>STDEV(G60:G71)/G72</f>
        <v>1.9074979174561829E-2</v>
      </c>
      <c r="H73" s="391">
        <f>STDEV(H60:H71)/H72</f>
        <v>1.9074979174561853E-2</v>
      </c>
    </row>
    <row r="74" spans="1:8" ht="27" customHeight="1" thickBot="1" x14ac:dyDescent="0.45">
      <c r="A74" s="343"/>
      <c r="B74" s="343"/>
      <c r="C74" s="343"/>
      <c r="D74" s="343"/>
      <c r="E74" s="345"/>
      <c r="F74" s="392" t="s">
        <v>20</v>
      </c>
      <c r="G74" s="393">
        <f>COUNT(G60:G71)</f>
        <v>8</v>
      </c>
      <c r="H74" s="393">
        <f>COUNT(H60:H71)</f>
        <v>8</v>
      </c>
    </row>
    <row r="76" spans="1:8" ht="26.25" customHeight="1" x14ac:dyDescent="0.4">
      <c r="A76" s="296" t="s">
        <v>106</v>
      </c>
      <c r="B76" s="297" t="s">
        <v>107</v>
      </c>
      <c r="C76" s="633" t="str">
        <f>B20</f>
        <v>Efavirenz 600mg, Lamivudine 300mg and Tenofovir Disoproxil Fumarate 300mg Tablets</v>
      </c>
      <c r="D76" s="633"/>
      <c r="E76" s="285" t="s">
        <v>108</v>
      </c>
      <c r="F76" s="285"/>
      <c r="G76" s="394">
        <f>H72</f>
        <v>1.0758668280650276</v>
      </c>
      <c r="H76" s="302"/>
    </row>
    <row r="77" spans="1:8" ht="18.75" x14ac:dyDescent="0.3">
      <c r="A77" s="295" t="s">
        <v>109</v>
      </c>
      <c r="B77" s="295" t="s">
        <v>110</v>
      </c>
    </row>
    <row r="78" spans="1:8" ht="18.75" x14ac:dyDescent="0.3">
      <c r="A78" s="295"/>
      <c r="B78" s="295"/>
    </row>
    <row r="79" spans="1:8" ht="26.25" customHeight="1" x14ac:dyDescent="0.4">
      <c r="A79" s="296" t="s">
        <v>4</v>
      </c>
      <c r="B79" s="635" t="str">
        <f>B26</f>
        <v>Lamivudine</v>
      </c>
      <c r="C79" s="635"/>
    </row>
    <row r="80" spans="1:8" ht="26.25" customHeight="1" x14ac:dyDescent="0.4">
      <c r="A80" s="297" t="s">
        <v>48</v>
      </c>
      <c r="B80" s="635" t="str">
        <f>B27</f>
        <v>L3-9</v>
      </c>
      <c r="C80" s="635"/>
    </row>
    <row r="81" spans="1:12" ht="27" customHeight="1" thickBot="1" x14ac:dyDescent="0.45">
      <c r="A81" s="297" t="s">
        <v>6</v>
      </c>
      <c r="B81" s="298">
        <f>B28</f>
        <v>101.74</v>
      </c>
    </row>
    <row r="82" spans="1:12" s="300" customFormat="1" ht="27" customHeight="1" thickBot="1" x14ac:dyDescent="0.45">
      <c r="A82" s="297" t="s">
        <v>49</v>
      </c>
      <c r="B82" s="299">
        <v>0</v>
      </c>
      <c r="C82" s="636" t="s">
        <v>50</v>
      </c>
      <c r="D82" s="637"/>
      <c r="E82" s="637"/>
      <c r="F82" s="637"/>
      <c r="G82" s="638"/>
      <c r="I82" s="301"/>
      <c r="J82" s="301"/>
      <c r="K82" s="301"/>
      <c r="L82" s="301"/>
    </row>
    <row r="83" spans="1:12" s="300" customFormat="1" ht="19.5" customHeight="1" thickBot="1" x14ac:dyDescent="0.35">
      <c r="A83" s="297" t="s">
        <v>51</v>
      </c>
      <c r="B83" s="302">
        <f>B81-B82</f>
        <v>101.74</v>
      </c>
      <c r="C83" s="303"/>
      <c r="D83" s="303"/>
      <c r="E83" s="303"/>
      <c r="F83" s="303"/>
      <c r="G83" s="304"/>
      <c r="I83" s="301"/>
      <c r="J83" s="301"/>
      <c r="K83" s="301"/>
      <c r="L83" s="301"/>
    </row>
    <row r="84" spans="1:12" s="300" customFormat="1" ht="27" customHeight="1" thickBot="1" x14ac:dyDescent="0.45">
      <c r="A84" s="297" t="s">
        <v>52</v>
      </c>
      <c r="B84" s="305">
        <v>1</v>
      </c>
      <c r="C84" s="639" t="s">
        <v>111</v>
      </c>
      <c r="D84" s="640"/>
      <c r="E84" s="640"/>
      <c r="F84" s="640"/>
      <c r="G84" s="640"/>
      <c r="H84" s="641"/>
      <c r="I84" s="301"/>
      <c r="J84" s="301"/>
      <c r="K84" s="301"/>
      <c r="L84" s="301"/>
    </row>
    <row r="85" spans="1:12" s="300" customFormat="1" ht="27" customHeight="1" thickBot="1" x14ac:dyDescent="0.45">
      <c r="A85" s="297" t="s">
        <v>54</v>
      </c>
      <c r="B85" s="305">
        <v>1</v>
      </c>
      <c r="C85" s="639" t="s">
        <v>112</v>
      </c>
      <c r="D85" s="640"/>
      <c r="E85" s="640"/>
      <c r="F85" s="640"/>
      <c r="G85" s="640"/>
      <c r="H85" s="641"/>
      <c r="I85" s="301"/>
      <c r="J85" s="301"/>
      <c r="K85" s="301"/>
      <c r="L85" s="301"/>
    </row>
    <row r="86" spans="1:12" s="300" customFormat="1" ht="18.75" x14ac:dyDescent="0.3">
      <c r="A86" s="297"/>
      <c r="B86" s="308"/>
      <c r="C86" s="309"/>
      <c r="D86" s="309"/>
      <c r="E86" s="309"/>
      <c r="F86" s="309"/>
      <c r="G86" s="309"/>
      <c r="H86" s="309"/>
      <c r="I86" s="301"/>
      <c r="J86" s="301"/>
      <c r="K86" s="301"/>
      <c r="L86" s="301"/>
    </row>
    <row r="87" spans="1:12" s="300" customFormat="1" ht="18.75" x14ac:dyDescent="0.3">
      <c r="A87" s="297" t="s">
        <v>56</v>
      </c>
      <c r="B87" s="310">
        <f>B84/B85</f>
        <v>1</v>
      </c>
      <c r="C87" s="285" t="s">
        <v>57</v>
      </c>
      <c r="D87" s="285"/>
      <c r="E87" s="285"/>
      <c r="F87" s="285"/>
      <c r="G87" s="285"/>
      <c r="I87" s="301"/>
      <c r="J87" s="301"/>
      <c r="K87" s="301"/>
      <c r="L87" s="301"/>
    </row>
    <row r="88" spans="1:12" ht="19.5" customHeight="1" thickBot="1" x14ac:dyDescent="0.35">
      <c r="A88" s="295"/>
      <c r="B88" s="295"/>
    </row>
    <row r="89" spans="1:12" ht="27" customHeight="1" thickBot="1" x14ac:dyDescent="0.45">
      <c r="A89" s="311" t="s">
        <v>58</v>
      </c>
      <c r="B89" s="312">
        <v>25</v>
      </c>
      <c r="D89" s="395" t="s">
        <v>59</v>
      </c>
      <c r="E89" s="396"/>
      <c r="F89" s="642" t="s">
        <v>60</v>
      </c>
      <c r="G89" s="643"/>
    </row>
    <row r="90" spans="1:12" ht="27" customHeight="1" thickBot="1" x14ac:dyDescent="0.45">
      <c r="A90" s="313" t="s">
        <v>61</v>
      </c>
      <c r="B90" s="314">
        <v>10</v>
      </c>
      <c r="C90" s="397" t="s">
        <v>62</v>
      </c>
      <c r="D90" s="316" t="s">
        <v>63</v>
      </c>
      <c r="E90" s="317" t="s">
        <v>64</v>
      </c>
      <c r="F90" s="316" t="s">
        <v>63</v>
      </c>
      <c r="G90" s="398" t="s">
        <v>64</v>
      </c>
      <c r="I90" s="319" t="s">
        <v>65</v>
      </c>
    </row>
    <row r="91" spans="1:12" ht="26.25" customHeight="1" x14ac:dyDescent="0.4">
      <c r="A91" s="313" t="s">
        <v>66</v>
      </c>
      <c r="B91" s="314">
        <v>20</v>
      </c>
      <c r="C91" s="399">
        <v>1</v>
      </c>
      <c r="D91" s="321">
        <v>79154720</v>
      </c>
      <c r="E91" s="322">
        <f>IF(ISBLANK(D91),"-",$D$101/$D$98*D91)</f>
        <v>80986449.928086832</v>
      </c>
      <c r="F91" s="321">
        <v>88201409</v>
      </c>
      <c r="G91" s="323">
        <f>IF(ISBLANK(F91),"-",$D$101/$F$98*F91)</f>
        <v>82880450.900037259</v>
      </c>
      <c r="I91" s="324"/>
    </row>
    <row r="92" spans="1:12" ht="26.25" customHeight="1" x14ac:dyDescent="0.4">
      <c r="A92" s="313" t="s">
        <v>67</v>
      </c>
      <c r="B92" s="314">
        <v>1</v>
      </c>
      <c r="C92" s="343">
        <v>2</v>
      </c>
      <c r="D92" s="326">
        <v>79101944</v>
      </c>
      <c r="E92" s="327">
        <f>IF(ISBLANK(D92),"-",$D$101/$D$98*D92)</f>
        <v>80932452.631634951</v>
      </c>
      <c r="F92" s="326">
        <v>87202538</v>
      </c>
      <c r="G92" s="328">
        <f>IF(ISBLANK(F92),"-",$D$101/$F$98*F92)</f>
        <v>81941839.149844348</v>
      </c>
      <c r="I92" s="626">
        <f>ABS((F96/D96*D95)-F95)/D95</f>
        <v>1.4044207656651589E-2</v>
      </c>
    </row>
    <row r="93" spans="1:12" ht="26.25" customHeight="1" x14ac:dyDescent="0.4">
      <c r="A93" s="313" t="s">
        <v>68</v>
      </c>
      <c r="B93" s="314">
        <v>1</v>
      </c>
      <c r="C93" s="343">
        <v>3</v>
      </c>
      <c r="D93" s="326">
        <v>80401091</v>
      </c>
      <c r="E93" s="327">
        <f>IF(ISBLANK(D93),"-",$D$101/$D$98*D93)</f>
        <v>82261663.365558654</v>
      </c>
      <c r="F93" s="326">
        <v>87804868</v>
      </c>
      <c r="G93" s="328">
        <f>IF(ISBLANK(F93),"-",$D$101/$F$98*F93)</f>
        <v>82507832.171459451</v>
      </c>
      <c r="I93" s="626"/>
    </row>
    <row r="94" spans="1:12" ht="27" customHeight="1" thickBot="1" x14ac:dyDescent="0.45">
      <c r="A94" s="313" t="s">
        <v>69</v>
      </c>
      <c r="B94" s="314">
        <v>1</v>
      </c>
      <c r="C94" s="400">
        <v>4</v>
      </c>
      <c r="D94" s="330"/>
      <c r="E94" s="331" t="str">
        <f>IF(ISBLANK(D94),"-",$D$101/$D$98*D94)</f>
        <v>-</v>
      </c>
      <c r="F94" s="401"/>
      <c r="G94" s="332" t="str">
        <f>IF(ISBLANK(F94),"-",$D$101/$F$98*F94)</f>
        <v>-</v>
      </c>
      <c r="I94" s="333"/>
    </row>
    <row r="95" spans="1:12" ht="27" customHeight="1" thickBot="1" x14ac:dyDescent="0.45">
      <c r="A95" s="313" t="s">
        <v>70</v>
      </c>
      <c r="B95" s="314">
        <v>1</v>
      </c>
      <c r="C95" s="297" t="s">
        <v>71</v>
      </c>
      <c r="D95" s="402">
        <f>AVERAGE(D91:D94)</f>
        <v>79552585</v>
      </c>
      <c r="E95" s="336">
        <f>AVERAGE(E91:E94)</f>
        <v>81393521.975093469</v>
      </c>
      <c r="F95" s="403">
        <f>AVERAGE(F91:F94)</f>
        <v>87736271.666666672</v>
      </c>
      <c r="G95" s="404">
        <f>AVERAGE(G91:G94)</f>
        <v>82443374.073780358</v>
      </c>
    </row>
    <row r="96" spans="1:12" ht="26.25" customHeight="1" x14ac:dyDescent="0.4">
      <c r="A96" s="313" t="s">
        <v>72</v>
      </c>
      <c r="B96" s="298">
        <v>1</v>
      </c>
      <c r="C96" s="405" t="s">
        <v>113</v>
      </c>
      <c r="D96" s="406">
        <v>14.41</v>
      </c>
      <c r="E96" s="285"/>
      <c r="F96" s="340">
        <v>15.69</v>
      </c>
    </row>
    <row r="97" spans="1:10" ht="26.25" customHeight="1" x14ac:dyDescent="0.4">
      <c r="A97" s="313" t="s">
        <v>74</v>
      </c>
      <c r="B97" s="298">
        <v>1</v>
      </c>
      <c r="C97" s="407" t="s">
        <v>114</v>
      </c>
      <c r="D97" s="408">
        <f>D96*$B$87</f>
        <v>14.41</v>
      </c>
      <c r="E97" s="343"/>
      <c r="F97" s="342">
        <f>F96*$B$87</f>
        <v>15.69</v>
      </c>
    </row>
    <row r="98" spans="1:10" ht="19.5" customHeight="1" thickBot="1" x14ac:dyDescent="0.35">
      <c r="A98" s="313" t="s">
        <v>76</v>
      </c>
      <c r="B98" s="343">
        <f>(B97/B96)*(B95/B94)*(B93/B92)*(B91/B90)*B89</f>
        <v>50</v>
      </c>
      <c r="C98" s="407" t="s">
        <v>115</v>
      </c>
      <c r="D98" s="409">
        <f>D97*$B$83/100</f>
        <v>14.660734</v>
      </c>
      <c r="E98" s="345"/>
      <c r="F98" s="344">
        <f>F97*$B$83/100</f>
        <v>15.963005999999998</v>
      </c>
    </row>
    <row r="99" spans="1:10" ht="19.5" customHeight="1" thickBot="1" x14ac:dyDescent="0.35">
      <c r="A99" s="627" t="s">
        <v>78</v>
      </c>
      <c r="B99" s="628"/>
      <c r="C99" s="407" t="s">
        <v>116</v>
      </c>
      <c r="D99" s="410">
        <f>D98/$B$98</f>
        <v>0.29321468000000001</v>
      </c>
      <c r="E99" s="345"/>
      <c r="F99" s="348">
        <f>F98/$B$98</f>
        <v>0.31926011999999998</v>
      </c>
      <c r="H99" s="338"/>
    </row>
    <row r="100" spans="1:10" ht="19.5" customHeight="1" thickBot="1" x14ac:dyDescent="0.35">
      <c r="A100" s="629"/>
      <c r="B100" s="630"/>
      <c r="C100" s="407" t="s">
        <v>80</v>
      </c>
      <c r="D100" s="411">
        <f>$B$56/$B$116</f>
        <v>0.3</v>
      </c>
      <c r="F100" s="353"/>
      <c r="G100" s="412"/>
      <c r="H100" s="338"/>
    </row>
    <row r="101" spans="1:10" ht="18.75" x14ac:dyDescent="0.3">
      <c r="C101" s="407" t="s">
        <v>81</v>
      </c>
      <c r="D101" s="408">
        <f>D100*$B$98</f>
        <v>15</v>
      </c>
      <c r="F101" s="353"/>
      <c r="H101" s="338"/>
    </row>
    <row r="102" spans="1:10" ht="19.5" customHeight="1" thickBot="1" x14ac:dyDescent="0.35">
      <c r="C102" s="413" t="s">
        <v>82</v>
      </c>
      <c r="D102" s="414">
        <f>D101/B34</f>
        <v>15</v>
      </c>
      <c r="F102" s="357"/>
      <c r="H102" s="338"/>
      <c r="J102" s="415"/>
    </row>
    <row r="103" spans="1:10" ht="18.75" x14ac:dyDescent="0.3">
      <c r="C103" s="416" t="s">
        <v>117</v>
      </c>
      <c r="D103" s="417">
        <f>AVERAGE(E91:E94,G91:G94)</f>
        <v>81918448.024436906</v>
      </c>
      <c r="F103" s="357"/>
      <c r="G103" s="412"/>
      <c r="H103" s="338"/>
      <c r="J103" s="418"/>
    </row>
    <row r="104" spans="1:10" ht="18.75" x14ac:dyDescent="0.3">
      <c r="C104" s="390" t="s">
        <v>84</v>
      </c>
      <c r="D104" s="419">
        <f>STDEV(E91:E94,G91:G94)/D103</f>
        <v>9.8144788597353989E-3</v>
      </c>
      <c r="F104" s="357"/>
      <c r="H104" s="338"/>
      <c r="J104" s="418"/>
    </row>
    <row r="105" spans="1:10" ht="19.5" customHeight="1" thickBot="1" x14ac:dyDescent="0.35">
      <c r="C105" s="392" t="s">
        <v>20</v>
      </c>
      <c r="D105" s="420">
        <f>COUNT(E91:E94,G91:G94)</f>
        <v>6</v>
      </c>
      <c r="F105" s="357"/>
      <c r="H105" s="338"/>
      <c r="J105" s="418"/>
    </row>
    <row r="106" spans="1:10" ht="19.5" customHeight="1" thickBot="1" x14ac:dyDescent="0.35">
      <c r="A106" s="361"/>
      <c r="B106" s="361"/>
      <c r="C106" s="361"/>
      <c r="D106" s="361"/>
      <c r="E106" s="361"/>
    </row>
    <row r="107" spans="1:10" ht="26.25" customHeight="1" x14ac:dyDescent="0.4">
      <c r="A107" s="311" t="s">
        <v>118</v>
      </c>
      <c r="B107" s="312">
        <v>1000</v>
      </c>
      <c r="C107" s="395" t="s">
        <v>119</v>
      </c>
      <c r="D107" s="421" t="s">
        <v>63</v>
      </c>
      <c r="E107" s="422" t="s">
        <v>120</v>
      </c>
      <c r="F107" s="423" t="s">
        <v>121</v>
      </c>
    </row>
    <row r="108" spans="1:10" ht="26.25" customHeight="1" x14ac:dyDescent="0.4">
      <c r="A108" s="313" t="s">
        <v>122</v>
      </c>
      <c r="B108" s="314">
        <v>1</v>
      </c>
      <c r="C108" s="424">
        <v>1</v>
      </c>
      <c r="D108" s="425">
        <v>86202210</v>
      </c>
      <c r="E108" s="426">
        <f t="shared" ref="E108:E113" si="1">IF(ISBLANK(D108),"-",D108/$D$103*$D$100*$B$116)</f>
        <v>315.68790209850613</v>
      </c>
      <c r="F108" s="427">
        <f t="shared" ref="F108:F113" si="2">IF(ISBLANK(D108), "-", E108/$B$56)</f>
        <v>1.0522930069950205</v>
      </c>
    </row>
    <row r="109" spans="1:10" ht="26.25" customHeight="1" x14ac:dyDescent="0.4">
      <c r="A109" s="313" t="s">
        <v>95</v>
      </c>
      <c r="B109" s="314">
        <v>1</v>
      </c>
      <c r="C109" s="424">
        <v>2</v>
      </c>
      <c r="D109" s="425">
        <v>87921898</v>
      </c>
      <c r="E109" s="428">
        <f t="shared" si="1"/>
        <v>321.98570695738357</v>
      </c>
      <c r="F109" s="429">
        <f t="shared" si="2"/>
        <v>1.0732856898579453</v>
      </c>
    </row>
    <row r="110" spans="1:10" ht="26.25" customHeight="1" x14ac:dyDescent="0.4">
      <c r="A110" s="313" t="s">
        <v>96</v>
      </c>
      <c r="B110" s="314">
        <v>1</v>
      </c>
      <c r="C110" s="424">
        <v>3</v>
      </c>
      <c r="D110" s="425">
        <v>86058400</v>
      </c>
      <c r="E110" s="428">
        <f t="shared" si="1"/>
        <v>315.16124417174547</v>
      </c>
      <c r="F110" s="429">
        <f t="shared" si="2"/>
        <v>1.050537480572485</v>
      </c>
    </row>
    <row r="111" spans="1:10" ht="26.25" customHeight="1" x14ac:dyDescent="0.4">
      <c r="A111" s="313" t="s">
        <v>97</v>
      </c>
      <c r="B111" s="314">
        <v>1</v>
      </c>
      <c r="C111" s="424">
        <v>4</v>
      </c>
      <c r="D111" s="425">
        <v>90170117</v>
      </c>
      <c r="E111" s="428">
        <f t="shared" si="1"/>
        <v>330.21908681583506</v>
      </c>
      <c r="F111" s="429">
        <f t="shared" si="2"/>
        <v>1.1007302893861168</v>
      </c>
    </row>
    <row r="112" spans="1:10" ht="26.25" customHeight="1" x14ac:dyDescent="0.4">
      <c r="A112" s="313" t="s">
        <v>98</v>
      </c>
      <c r="B112" s="314">
        <v>1</v>
      </c>
      <c r="C112" s="424">
        <v>5</v>
      </c>
      <c r="D112" s="425">
        <v>90594559</v>
      </c>
      <c r="E112" s="428">
        <f t="shared" si="1"/>
        <v>331.77346929097683</v>
      </c>
      <c r="F112" s="429">
        <f t="shared" si="2"/>
        <v>1.1059115643032562</v>
      </c>
    </row>
    <row r="113" spans="1:10" ht="26.25" customHeight="1" x14ac:dyDescent="0.4">
      <c r="A113" s="313" t="s">
        <v>100</v>
      </c>
      <c r="B113" s="314">
        <v>1</v>
      </c>
      <c r="C113" s="430">
        <v>6</v>
      </c>
      <c r="D113" s="431">
        <v>90456122</v>
      </c>
      <c r="E113" s="432">
        <f t="shared" si="1"/>
        <v>331.26648825066695</v>
      </c>
      <c r="F113" s="433">
        <f t="shared" si="2"/>
        <v>1.1042216275022232</v>
      </c>
    </row>
    <row r="114" spans="1:10" ht="26.25" customHeight="1" x14ac:dyDescent="0.4">
      <c r="A114" s="313" t="s">
        <v>101</v>
      </c>
      <c r="B114" s="314">
        <v>1</v>
      </c>
      <c r="C114" s="424"/>
      <c r="D114" s="343"/>
      <c r="E114" s="285"/>
      <c r="F114" s="434"/>
    </row>
    <row r="115" spans="1:10" ht="26.25" customHeight="1" x14ac:dyDescent="0.4">
      <c r="A115" s="313" t="s">
        <v>102</v>
      </c>
      <c r="B115" s="314">
        <v>1</v>
      </c>
      <c r="C115" s="424"/>
      <c r="D115" s="435" t="s">
        <v>71</v>
      </c>
      <c r="E115" s="436">
        <f>AVERAGE(E108:E113)</f>
        <v>324.34898293085234</v>
      </c>
      <c r="F115" s="437">
        <f>AVERAGE(F108:F113)</f>
        <v>1.0811632764361747</v>
      </c>
    </row>
    <row r="116" spans="1:10" ht="27" customHeight="1" thickBot="1" x14ac:dyDescent="0.45">
      <c r="A116" s="313" t="s">
        <v>103</v>
      </c>
      <c r="B116" s="325">
        <f>(B115/B114)*(B113/B112)*(B111/B110)*(B109/B108)*B107</f>
        <v>1000</v>
      </c>
      <c r="C116" s="438"/>
      <c r="D116" s="297" t="s">
        <v>84</v>
      </c>
      <c r="E116" s="439">
        <f>STDEV(E108:E113)/E115</f>
        <v>2.3978778246586951E-2</v>
      </c>
      <c r="F116" s="439">
        <f>STDEV(F108:F113)/F115</f>
        <v>2.3978778246586934E-2</v>
      </c>
      <c r="I116" s="285"/>
    </row>
    <row r="117" spans="1:10" ht="27" customHeight="1" thickBot="1" x14ac:dyDescent="0.45">
      <c r="A117" s="627" t="s">
        <v>78</v>
      </c>
      <c r="B117" s="631"/>
      <c r="C117" s="440"/>
      <c r="D117" s="441" t="s">
        <v>20</v>
      </c>
      <c r="E117" s="442">
        <f>COUNT(E108:E113)</f>
        <v>6</v>
      </c>
      <c r="F117" s="442">
        <f>COUNT(F108:F113)</f>
        <v>6</v>
      </c>
      <c r="I117" s="285"/>
      <c r="J117" s="418"/>
    </row>
    <row r="118" spans="1:10" ht="19.5" customHeight="1" thickBot="1" x14ac:dyDescent="0.35">
      <c r="A118" s="629"/>
      <c r="B118" s="632"/>
      <c r="C118" s="285"/>
      <c r="D118" s="285"/>
      <c r="E118" s="285"/>
      <c r="F118" s="343"/>
      <c r="G118" s="285"/>
      <c r="H118" s="285"/>
      <c r="I118" s="285"/>
    </row>
    <row r="119" spans="1:10" ht="18.75" x14ac:dyDescent="0.3">
      <c r="A119" s="443"/>
      <c r="B119" s="309"/>
      <c r="C119" s="285"/>
      <c r="D119" s="285"/>
      <c r="E119" s="285"/>
      <c r="F119" s="343"/>
      <c r="G119" s="285"/>
      <c r="H119" s="285"/>
      <c r="I119" s="285"/>
    </row>
    <row r="120" spans="1:10" ht="26.25" customHeight="1" x14ac:dyDescent="0.4">
      <c r="A120" s="296" t="s">
        <v>106</v>
      </c>
      <c r="B120" s="297" t="s">
        <v>123</v>
      </c>
      <c r="C120" s="633" t="str">
        <f>B20</f>
        <v>Efavirenz 600mg, Lamivudine 300mg and Tenofovir Disoproxil Fumarate 300mg Tablets</v>
      </c>
      <c r="D120" s="633"/>
      <c r="E120" s="285" t="s">
        <v>124</v>
      </c>
      <c r="F120" s="285"/>
      <c r="G120" s="394">
        <f>F115</f>
        <v>1.0811632764361747</v>
      </c>
      <c r="H120" s="285"/>
      <c r="I120" s="285"/>
    </row>
    <row r="121" spans="1:10" ht="19.5" customHeight="1" thickBot="1" x14ac:dyDescent="0.35">
      <c r="A121" s="444"/>
      <c r="B121" s="444"/>
      <c r="C121" s="445"/>
      <c r="D121" s="445"/>
      <c r="E121" s="445"/>
      <c r="F121" s="445"/>
      <c r="G121" s="445"/>
      <c r="H121" s="445"/>
    </row>
    <row r="122" spans="1:10" ht="18.75" x14ac:dyDescent="0.3">
      <c r="B122" s="634" t="s">
        <v>26</v>
      </c>
      <c r="C122" s="634"/>
      <c r="E122" s="397" t="s">
        <v>27</v>
      </c>
      <c r="F122" s="446"/>
      <c r="G122" s="634" t="s">
        <v>28</v>
      </c>
      <c r="H122" s="634"/>
    </row>
    <row r="123" spans="1:10" ht="69.95" customHeight="1" x14ac:dyDescent="0.3">
      <c r="A123" s="296" t="s">
        <v>29</v>
      </c>
      <c r="B123" s="447"/>
      <c r="C123" s="447"/>
      <c r="E123" s="447"/>
      <c r="F123" s="285"/>
      <c r="G123" s="447"/>
      <c r="H123" s="447"/>
    </row>
    <row r="124" spans="1:10" ht="69.95" customHeight="1" x14ac:dyDescent="0.3">
      <c r="A124" s="296" t="s">
        <v>30</v>
      </c>
      <c r="B124" s="448"/>
      <c r="C124" s="448"/>
      <c r="E124" s="448"/>
      <c r="F124" s="285"/>
      <c r="G124" s="449"/>
      <c r="H124" s="449"/>
    </row>
    <row r="125" spans="1:10" ht="18.75" x14ac:dyDescent="0.3">
      <c r="A125" s="343"/>
      <c r="B125" s="343"/>
      <c r="C125" s="343"/>
      <c r="D125" s="343"/>
      <c r="E125" s="343"/>
      <c r="F125" s="345"/>
      <c r="G125" s="343"/>
      <c r="H125" s="343"/>
      <c r="I125" s="285"/>
    </row>
    <row r="126" spans="1:10" ht="18.75" x14ac:dyDescent="0.3">
      <c r="A126" s="343"/>
      <c r="B126" s="343"/>
      <c r="C126" s="343"/>
      <c r="D126" s="343"/>
      <c r="E126" s="343"/>
      <c r="F126" s="345"/>
      <c r="G126" s="343"/>
      <c r="H126" s="343"/>
      <c r="I126" s="285"/>
    </row>
    <row r="127" spans="1:10" ht="18.75" x14ac:dyDescent="0.3">
      <c r="A127" s="343"/>
      <c r="B127" s="343"/>
      <c r="C127" s="343"/>
      <c r="D127" s="343"/>
      <c r="E127" s="343"/>
      <c r="F127" s="345"/>
      <c r="G127" s="343"/>
      <c r="H127" s="343"/>
      <c r="I127" s="285"/>
    </row>
    <row r="128" spans="1:10" ht="18.75" x14ac:dyDescent="0.3">
      <c r="A128" s="343"/>
      <c r="B128" s="343"/>
      <c r="C128" s="343"/>
      <c r="D128" s="343"/>
      <c r="E128" s="343"/>
      <c r="F128" s="345"/>
      <c r="G128" s="343"/>
      <c r="H128" s="343"/>
      <c r="I128" s="285"/>
    </row>
    <row r="129" spans="1:9" ht="18.75" x14ac:dyDescent="0.3">
      <c r="A129" s="343"/>
      <c r="B129" s="343"/>
      <c r="C129" s="343"/>
      <c r="D129" s="343"/>
      <c r="E129" s="343"/>
      <c r="F129" s="345"/>
      <c r="G129" s="343"/>
      <c r="H129" s="343"/>
      <c r="I129" s="285"/>
    </row>
    <row r="130" spans="1:9" ht="18.75" x14ac:dyDescent="0.3">
      <c r="A130" s="343"/>
      <c r="B130" s="343"/>
      <c r="C130" s="343"/>
      <c r="D130" s="343"/>
      <c r="E130" s="343"/>
      <c r="F130" s="345"/>
      <c r="G130" s="343"/>
      <c r="H130" s="343"/>
      <c r="I130" s="285"/>
    </row>
    <row r="131" spans="1:9" ht="18.75" x14ac:dyDescent="0.3">
      <c r="A131" s="343"/>
      <c r="B131" s="343"/>
      <c r="C131" s="343"/>
      <c r="D131" s="343"/>
      <c r="E131" s="343"/>
      <c r="F131" s="345"/>
      <c r="G131" s="343"/>
      <c r="H131" s="343"/>
      <c r="I131" s="285"/>
    </row>
    <row r="132" spans="1:9" ht="18.75" x14ac:dyDescent="0.3">
      <c r="A132" s="343"/>
      <c r="B132" s="343"/>
      <c r="C132" s="343"/>
      <c r="D132" s="343"/>
      <c r="E132" s="343"/>
      <c r="F132" s="345"/>
      <c r="G132" s="343"/>
      <c r="H132" s="343"/>
      <c r="I132" s="285"/>
    </row>
    <row r="133" spans="1:9" ht="18.75" x14ac:dyDescent="0.3">
      <c r="A133" s="343"/>
      <c r="B133" s="343"/>
      <c r="C133" s="343"/>
      <c r="D133" s="343"/>
      <c r="E133" s="343"/>
      <c r="F133" s="345"/>
      <c r="G133" s="343"/>
      <c r="H133" s="343"/>
      <c r="I133" s="285"/>
    </row>
    <row r="250" spans="1:1" x14ac:dyDescent="0.25">
      <c r="A250" s="284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6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5" t="s">
        <v>45</v>
      </c>
      <c r="B1" s="665"/>
      <c r="C1" s="665"/>
      <c r="D1" s="665"/>
      <c r="E1" s="665"/>
      <c r="F1" s="665"/>
      <c r="G1" s="665"/>
      <c r="H1" s="665"/>
      <c r="I1" s="665"/>
    </row>
    <row r="2" spans="1:9" ht="18.75" customHeight="1" x14ac:dyDescent="0.25">
      <c r="A2" s="665"/>
      <c r="B2" s="665"/>
      <c r="C2" s="665"/>
      <c r="D2" s="665"/>
      <c r="E2" s="665"/>
      <c r="F2" s="665"/>
      <c r="G2" s="665"/>
      <c r="H2" s="665"/>
      <c r="I2" s="665"/>
    </row>
    <row r="3" spans="1:9" ht="18.75" customHeight="1" x14ac:dyDescent="0.25">
      <c r="A3" s="665"/>
      <c r="B3" s="665"/>
      <c r="C3" s="665"/>
      <c r="D3" s="665"/>
      <c r="E3" s="665"/>
      <c r="F3" s="665"/>
      <c r="G3" s="665"/>
      <c r="H3" s="665"/>
      <c r="I3" s="665"/>
    </row>
    <row r="4" spans="1:9" ht="18.75" customHeight="1" x14ac:dyDescent="0.25">
      <c r="A4" s="665"/>
      <c r="B4" s="665"/>
      <c r="C4" s="665"/>
      <c r="D4" s="665"/>
      <c r="E4" s="665"/>
      <c r="F4" s="665"/>
      <c r="G4" s="665"/>
      <c r="H4" s="665"/>
      <c r="I4" s="665"/>
    </row>
    <row r="5" spans="1:9" ht="18.75" customHeight="1" x14ac:dyDescent="0.25">
      <c r="A5" s="665"/>
      <c r="B5" s="665"/>
      <c r="C5" s="665"/>
      <c r="D5" s="665"/>
      <c r="E5" s="665"/>
      <c r="F5" s="665"/>
      <c r="G5" s="665"/>
      <c r="H5" s="665"/>
      <c r="I5" s="665"/>
    </row>
    <row r="6" spans="1:9" ht="18.75" customHeight="1" x14ac:dyDescent="0.25">
      <c r="A6" s="665"/>
      <c r="B6" s="665"/>
      <c r="C6" s="665"/>
      <c r="D6" s="665"/>
      <c r="E6" s="665"/>
      <c r="F6" s="665"/>
      <c r="G6" s="665"/>
      <c r="H6" s="665"/>
      <c r="I6" s="665"/>
    </row>
    <row r="7" spans="1:9" ht="18.75" customHeight="1" x14ac:dyDescent="0.25">
      <c r="A7" s="665"/>
      <c r="B7" s="665"/>
      <c r="C7" s="665"/>
      <c r="D7" s="665"/>
      <c r="E7" s="665"/>
      <c r="F7" s="665"/>
      <c r="G7" s="665"/>
      <c r="H7" s="665"/>
      <c r="I7" s="665"/>
    </row>
    <row r="8" spans="1:9" x14ac:dyDescent="0.25">
      <c r="A8" s="666" t="s">
        <v>46</v>
      </c>
      <c r="B8" s="666"/>
      <c r="C8" s="666"/>
      <c r="D8" s="666"/>
      <c r="E8" s="666"/>
      <c r="F8" s="666"/>
      <c r="G8" s="666"/>
      <c r="H8" s="666"/>
      <c r="I8" s="666"/>
    </row>
    <row r="9" spans="1:9" x14ac:dyDescent="0.25">
      <c r="A9" s="666"/>
      <c r="B9" s="666"/>
      <c r="C9" s="666"/>
      <c r="D9" s="666"/>
      <c r="E9" s="666"/>
      <c r="F9" s="666"/>
      <c r="G9" s="666"/>
      <c r="H9" s="666"/>
      <c r="I9" s="666"/>
    </row>
    <row r="10" spans="1:9" x14ac:dyDescent="0.25">
      <c r="A10" s="666"/>
      <c r="B10" s="666"/>
      <c r="C10" s="666"/>
      <c r="D10" s="666"/>
      <c r="E10" s="666"/>
      <c r="F10" s="666"/>
      <c r="G10" s="666"/>
      <c r="H10" s="666"/>
      <c r="I10" s="666"/>
    </row>
    <row r="11" spans="1:9" x14ac:dyDescent="0.25">
      <c r="A11" s="666"/>
      <c r="B11" s="666"/>
      <c r="C11" s="666"/>
      <c r="D11" s="666"/>
      <c r="E11" s="666"/>
      <c r="F11" s="666"/>
      <c r="G11" s="666"/>
      <c r="H11" s="666"/>
      <c r="I11" s="666"/>
    </row>
    <row r="12" spans="1:9" x14ac:dyDescent="0.25">
      <c r="A12" s="666"/>
      <c r="B12" s="666"/>
      <c r="C12" s="666"/>
      <c r="D12" s="666"/>
      <c r="E12" s="666"/>
      <c r="F12" s="666"/>
      <c r="G12" s="666"/>
      <c r="H12" s="666"/>
      <c r="I12" s="666"/>
    </row>
    <row r="13" spans="1:9" x14ac:dyDescent="0.25">
      <c r="A13" s="666"/>
      <c r="B13" s="666"/>
      <c r="C13" s="666"/>
      <c r="D13" s="666"/>
      <c r="E13" s="666"/>
      <c r="F13" s="666"/>
      <c r="G13" s="666"/>
      <c r="H13" s="666"/>
      <c r="I13" s="666"/>
    </row>
    <row r="14" spans="1:9" x14ac:dyDescent="0.25">
      <c r="A14" s="666"/>
      <c r="B14" s="666"/>
      <c r="C14" s="666"/>
      <c r="D14" s="666"/>
      <c r="E14" s="666"/>
      <c r="F14" s="666"/>
      <c r="G14" s="666"/>
      <c r="H14" s="666"/>
      <c r="I14" s="666"/>
    </row>
    <row r="15" spans="1:9" ht="19.5" customHeight="1" x14ac:dyDescent="0.3">
      <c r="A15" s="98"/>
    </row>
    <row r="16" spans="1:9" ht="19.5" customHeight="1" x14ac:dyDescent="0.3">
      <c r="A16" s="699" t="s">
        <v>31</v>
      </c>
      <c r="B16" s="700"/>
      <c r="C16" s="700"/>
      <c r="D16" s="700"/>
      <c r="E16" s="700"/>
      <c r="F16" s="700"/>
      <c r="G16" s="700"/>
      <c r="H16" s="701"/>
    </row>
    <row r="17" spans="1:14" ht="20.25" customHeight="1" x14ac:dyDescent="0.25">
      <c r="A17" s="702" t="s">
        <v>47</v>
      </c>
      <c r="B17" s="702"/>
      <c r="C17" s="702"/>
      <c r="D17" s="702"/>
      <c r="E17" s="702"/>
      <c r="F17" s="702"/>
      <c r="G17" s="702"/>
      <c r="H17" s="702"/>
    </row>
    <row r="18" spans="1:14" ht="26.25" customHeight="1" x14ac:dyDescent="0.4">
      <c r="A18" s="100" t="s">
        <v>33</v>
      </c>
      <c r="B18" s="703" t="s">
        <v>5</v>
      </c>
      <c r="C18" s="703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698" t="s">
        <v>9</v>
      </c>
      <c r="C20" s="698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698" t="s">
        <v>11</v>
      </c>
      <c r="C21" s="698"/>
      <c r="D21" s="698"/>
      <c r="E21" s="698"/>
      <c r="F21" s="698"/>
      <c r="G21" s="698"/>
      <c r="H21" s="698"/>
      <c r="I21" s="104"/>
    </row>
    <row r="22" spans="1:14" ht="26.25" customHeight="1" x14ac:dyDescent="0.4">
      <c r="A22" s="100" t="s">
        <v>37</v>
      </c>
      <c r="B22" s="293">
        <v>42499.469143518516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42510.469143518516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698" t="s">
        <v>9</v>
      </c>
      <c r="C26" s="698"/>
    </row>
    <row r="27" spans="1:14" ht="26.25" customHeight="1" x14ac:dyDescent="0.4">
      <c r="A27" s="109" t="s">
        <v>48</v>
      </c>
      <c r="B27" s="696" t="s">
        <v>130</v>
      </c>
      <c r="C27" s="696"/>
    </row>
    <row r="28" spans="1:14" ht="27" customHeight="1" x14ac:dyDescent="0.4">
      <c r="A28" s="109" t="s">
        <v>6</v>
      </c>
      <c r="B28" s="110">
        <v>98.8</v>
      </c>
    </row>
    <row r="29" spans="1:14" s="14" customFormat="1" ht="27" customHeight="1" x14ac:dyDescent="0.4">
      <c r="A29" s="109" t="s">
        <v>49</v>
      </c>
      <c r="B29" s="111">
        <v>0</v>
      </c>
      <c r="C29" s="673" t="s">
        <v>50</v>
      </c>
      <c r="D29" s="674"/>
      <c r="E29" s="674"/>
      <c r="F29" s="674"/>
      <c r="G29" s="67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98.8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676" t="s">
        <v>53</v>
      </c>
      <c r="D31" s="677"/>
      <c r="E31" s="677"/>
      <c r="F31" s="677"/>
      <c r="G31" s="677"/>
      <c r="H31" s="67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676" t="s">
        <v>55</v>
      </c>
      <c r="D32" s="677"/>
      <c r="E32" s="677"/>
      <c r="F32" s="677"/>
      <c r="G32" s="677"/>
      <c r="H32" s="67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679" t="s">
        <v>59</v>
      </c>
      <c r="E36" s="697"/>
      <c r="F36" s="679" t="s">
        <v>60</v>
      </c>
      <c r="G36" s="68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12329252</v>
      </c>
      <c r="E38" s="133">
        <f>IF(ISBLANK(D38),"-",$D$48/$D$45*D38)</f>
        <v>12588096.839273708</v>
      </c>
      <c r="F38" s="132">
        <v>13630872</v>
      </c>
      <c r="G38" s="134">
        <f>IF(ISBLANK(F38),"-",$D$48/$F$45*F38)</f>
        <v>12429215.450268082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12305865</v>
      </c>
      <c r="E39" s="138">
        <f>IF(ISBLANK(D39),"-",$D$48/$D$45*D39)</f>
        <v>12564218.844016567</v>
      </c>
      <c r="F39" s="137">
        <v>13674704</v>
      </c>
      <c r="G39" s="139">
        <f>IF(ISBLANK(F39),"-",$D$48/$F$45*F39)</f>
        <v>12469183.353393881</v>
      </c>
      <c r="I39" s="681">
        <f>ABS((F43/D43*D42)-F42)/D42</f>
        <v>7.9341203811214792E-3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12254770</v>
      </c>
      <c r="E40" s="138">
        <f>IF(ISBLANK(D40),"-",$D$48/$D$45*D40)</f>
        <v>12512051.136843197</v>
      </c>
      <c r="F40" s="137">
        <v>13707493</v>
      </c>
      <c r="G40" s="139">
        <f>IF(ISBLANK(F40),"-",$D$48/$F$45*F40)</f>
        <v>12499081.774081776</v>
      </c>
      <c r="I40" s="681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12296629</v>
      </c>
      <c r="E42" s="148">
        <f>AVERAGE(E38:E41)</f>
        <v>12554788.940044491</v>
      </c>
      <c r="F42" s="147">
        <f>AVERAGE(F38:F41)</f>
        <v>13671023</v>
      </c>
      <c r="G42" s="149">
        <f>AVERAGE(G38:G41)</f>
        <v>12465826.859247914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14.87</v>
      </c>
      <c r="E43" s="140"/>
      <c r="F43" s="152">
        <v>16.649999999999999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14.87</v>
      </c>
      <c r="E44" s="155"/>
      <c r="F44" s="154">
        <f>F43*$B$34</f>
        <v>16.649999999999999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250</v>
      </c>
      <c r="C45" s="153" t="s">
        <v>77</v>
      </c>
      <c r="D45" s="157">
        <f>D44*$B$30/100</f>
        <v>14.691559999999999</v>
      </c>
      <c r="E45" s="158"/>
      <c r="F45" s="157">
        <f>F44*$B$30/100</f>
        <v>16.450199999999999</v>
      </c>
      <c r="H45" s="150"/>
    </row>
    <row r="46" spans="1:14" ht="19.5" customHeight="1" x14ac:dyDescent="0.3">
      <c r="A46" s="667" t="s">
        <v>78</v>
      </c>
      <c r="B46" s="668"/>
      <c r="C46" s="153" t="s">
        <v>79</v>
      </c>
      <c r="D46" s="159">
        <f>D45/$B$45</f>
        <v>5.8766239999999997E-2</v>
      </c>
      <c r="E46" s="160"/>
      <c r="F46" s="161">
        <f>F45/$B$45</f>
        <v>6.5800799999999993E-2</v>
      </c>
      <c r="H46" s="150"/>
    </row>
    <row r="47" spans="1:14" ht="27" customHeight="1" x14ac:dyDescent="0.4">
      <c r="A47" s="669"/>
      <c r="B47" s="670"/>
      <c r="C47" s="162" t="s">
        <v>80</v>
      </c>
      <c r="D47" s="163">
        <v>0.06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12510307.899646202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4.7091674828815136E-3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 xml:space="preserve">Tenofovir Disoproxil Fumarate 300mg, Lamivudine 300mg 
Efavirenz 600mg  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>Tenofovir Disoproxil Fumarate 300mg, Lamivudine 300mg &amp; Efavirenz 600mg tablets</v>
      </c>
      <c r="H56" s="179"/>
    </row>
    <row r="57" spans="1:12" ht="18.75" x14ac:dyDescent="0.3">
      <c r="A57" s="176" t="s">
        <v>88</v>
      </c>
      <c r="B57" s="268">
        <f>Uniformity!C46</f>
        <v>1917.7185000000002</v>
      </c>
      <c r="H57" s="179"/>
    </row>
    <row r="58" spans="1:12" ht="19.5" customHeight="1" x14ac:dyDescent="0.3">
      <c r="H58" s="179"/>
    </row>
    <row r="59" spans="1:12" s="14" customFormat="1" ht="27" customHeight="1" thickBot="1" x14ac:dyDescent="0.45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684" t="s">
        <v>94</v>
      </c>
      <c r="D60" s="647">
        <v>1914.91</v>
      </c>
      <c r="E60" s="182">
        <v>1</v>
      </c>
      <c r="F60" s="183">
        <v>12619692</v>
      </c>
      <c r="G60" s="269">
        <f>IF(ISBLANK(F60),"-",(F60/$D$50*$D$47*$B$68)*($B$57/$D$60))</f>
        <v>303.06689702248343</v>
      </c>
      <c r="H60" s="184">
        <f t="shared" ref="H60:H71" si="0">IF(ISBLANK(F60),"-",G60/$B$56)</f>
        <v>1.0102229900749449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685"/>
      <c r="D61" s="648"/>
      <c r="E61" s="185">
        <v>2</v>
      </c>
      <c r="F61" s="137">
        <v>12609409</v>
      </c>
      <c r="G61" s="270">
        <f>IF(ISBLANK(F61),"-",(F61/$D$50*$D$47*$B$68)*($B$57/$D$60))</f>
        <v>302.81994670847564</v>
      </c>
      <c r="H61" s="186">
        <f t="shared" si="0"/>
        <v>1.0093998223615854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685"/>
      <c r="D62" s="648"/>
      <c r="E62" s="185">
        <v>3</v>
      </c>
      <c r="F62" s="187">
        <v>12600194</v>
      </c>
      <c r="G62" s="270">
        <f>IF(ISBLANK(F62),"-",(F62/$D$50*$D$47*$B$68)*($B$57/$D$60))</f>
        <v>302.59864483707798</v>
      </c>
      <c r="H62" s="186">
        <f t="shared" si="0"/>
        <v>1.0086621494569266</v>
      </c>
      <c r="L62" s="112"/>
    </row>
    <row r="63" spans="1:12" ht="27" customHeight="1" thickBot="1" x14ac:dyDescent="0.45">
      <c r="A63" s="124" t="s">
        <v>97</v>
      </c>
      <c r="B63" s="125">
        <v>1</v>
      </c>
      <c r="C63" s="695"/>
      <c r="D63" s="649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684" t="s">
        <v>99</v>
      </c>
      <c r="D64" s="687">
        <v>1917.53</v>
      </c>
      <c r="E64" s="182">
        <v>1</v>
      </c>
      <c r="F64" s="183">
        <v>12500259</v>
      </c>
      <c r="G64" s="271">
        <f>IF(ISBLANK(F64),"-",(F64/$D$50*$D$47*$B$68)*($B$57/$D$64))</f>
        <v>299.78849249941834</v>
      </c>
      <c r="H64" s="190">
        <f t="shared" si="0"/>
        <v>0.99929497499806108</v>
      </c>
    </row>
    <row r="65" spans="1:8" ht="26.25" customHeight="1" x14ac:dyDescent="0.4">
      <c r="A65" s="124" t="s">
        <v>100</v>
      </c>
      <c r="B65" s="125">
        <v>1</v>
      </c>
      <c r="C65" s="685"/>
      <c r="D65" s="688"/>
      <c r="E65" s="185">
        <v>2</v>
      </c>
      <c r="F65" s="137">
        <v>12510268</v>
      </c>
      <c r="G65" s="272">
        <f>IF(ISBLANK(F65),"-",(F65/$D$50*$D$47*$B$68)*($B$57/$D$64))</f>
        <v>300.0285341674691</v>
      </c>
      <c r="H65" s="191">
        <f t="shared" si="0"/>
        <v>1.0000951138915637</v>
      </c>
    </row>
    <row r="66" spans="1:8" ht="26.25" customHeight="1" x14ac:dyDescent="0.4">
      <c r="A66" s="124" t="s">
        <v>101</v>
      </c>
      <c r="B66" s="125">
        <v>1</v>
      </c>
      <c r="C66" s="685"/>
      <c r="D66" s="688"/>
      <c r="E66" s="185">
        <v>3</v>
      </c>
      <c r="F66" s="137">
        <v>12443040</v>
      </c>
      <c r="G66" s="272">
        <f>IF(ISBLANK(F66),"-",(F66/$D$50*$D$47*$B$68)*($B$57/$D$64))</f>
        <v>298.41623311244683</v>
      </c>
      <c r="H66" s="191">
        <f t="shared" si="0"/>
        <v>0.99472077704148942</v>
      </c>
    </row>
    <row r="67" spans="1:8" ht="27" customHeight="1" x14ac:dyDescent="0.4">
      <c r="A67" s="124" t="s">
        <v>102</v>
      </c>
      <c r="B67" s="125">
        <v>1</v>
      </c>
      <c r="C67" s="695"/>
      <c r="D67" s="689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5000</v>
      </c>
      <c r="C68" s="684" t="s">
        <v>104</v>
      </c>
      <c r="D68" s="687">
        <v>1913.96</v>
      </c>
      <c r="E68" s="182">
        <v>1</v>
      </c>
      <c r="F68" s="183">
        <v>12089888</v>
      </c>
      <c r="G68" s="271">
        <f>IF(ISBLANK(F68),"-",(F68/$D$50*$D$47*$B$68)*($B$57/$D$68))</f>
        <v>290.4875571895617</v>
      </c>
      <c r="H68" s="186">
        <f t="shared" si="0"/>
        <v>0.96829185729853895</v>
      </c>
    </row>
    <row r="69" spans="1:8" ht="27" customHeight="1" x14ac:dyDescent="0.4">
      <c r="A69" s="172" t="s">
        <v>105</v>
      </c>
      <c r="B69" s="194">
        <f>(D47*B68)/B56*B57</f>
        <v>1917.7185000000002</v>
      </c>
      <c r="C69" s="685"/>
      <c r="D69" s="688"/>
      <c r="E69" s="185">
        <v>2</v>
      </c>
      <c r="F69" s="137">
        <v>12119045</v>
      </c>
      <c r="G69" s="272">
        <f>IF(ISBLANK(F69),"-",(F69/$D$50*$D$47*$B$68)*($B$57/$D$68))</f>
        <v>291.18812163688955</v>
      </c>
      <c r="H69" s="186">
        <f t="shared" si="0"/>
        <v>0.97062707212296517</v>
      </c>
    </row>
    <row r="70" spans="1:8" ht="26.25" customHeight="1" x14ac:dyDescent="0.4">
      <c r="A70" s="690" t="s">
        <v>78</v>
      </c>
      <c r="B70" s="691"/>
      <c r="C70" s="685"/>
      <c r="D70" s="688"/>
      <c r="E70" s="185">
        <v>3</v>
      </c>
      <c r="F70" s="137">
        <v>12085015</v>
      </c>
      <c r="G70" s="272">
        <f>IF(ISBLANK(F70),"-",(F70/$D$50*$D$47*$B$68)*($B$57/$D$68))</f>
        <v>290.37047207957687</v>
      </c>
      <c r="H70" s="186">
        <f t="shared" si="0"/>
        <v>0.96790157359858953</v>
      </c>
    </row>
    <row r="71" spans="1:8" ht="27" customHeight="1" x14ac:dyDescent="0.4">
      <c r="A71" s="692"/>
      <c r="B71" s="693"/>
      <c r="C71" s="686"/>
      <c r="D71" s="689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297.64054436148882</v>
      </c>
      <c r="H72" s="199">
        <f>AVERAGE(H60:H71)</f>
        <v>0.99213514787162937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1.8303165653372356E-2</v>
      </c>
      <c r="H73" s="274">
        <f>STDEV(H60:H71)/H72</f>
        <v>1.830316565337237E-2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671" t="str">
        <f>B20</f>
        <v>Tenofovir Disoproxil Fumarate 300mg, Lamivudine 300mg &amp; Efavirenz 600mg tablets</v>
      </c>
      <c r="D76" s="671"/>
      <c r="E76" s="205" t="s">
        <v>108</v>
      </c>
      <c r="F76" s="205"/>
      <c r="G76" s="206">
        <f>H72</f>
        <v>0.99213514787162937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694" t="str">
        <f>B26</f>
        <v>Tenofovir Disoproxil Fumarate 300mg, Lamivudine 300mg &amp; Efavirenz 600mg tablets</v>
      </c>
      <c r="C79" s="694"/>
    </row>
    <row r="80" spans="1:8" ht="26.25" customHeight="1" x14ac:dyDescent="0.4">
      <c r="A80" s="109" t="s">
        <v>48</v>
      </c>
      <c r="B80" s="694" t="str">
        <f>B27</f>
        <v>T11-6</v>
      </c>
      <c r="C80" s="694"/>
    </row>
    <row r="81" spans="1:12" ht="27" customHeight="1" x14ac:dyDescent="0.4">
      <c r="A81" s="109" t="s">
        <v>6</v>
      </c>
      <c r="B81" s="208">
        <f>B28</f>
        <v>98.8</v>
      </c>
    </row>
    <row r="82" spans="1:12" s="14" customFormat="1" ht="27" customHeight="1" x14ac:dyDescent="0.4">
      <c r="A82" s="109" t="s">
        <v>49</v>
      </c>
      <c r="B82" s="111">
        <v>0</v>
      </c>
      <c r="C82" s="673" t="s">
        <v>50</v>
      </c>
      <c r="D82" s="674"/>
      <c r="E82" s="674"/>
      <c r="F82" s="674"/>
      <c r="G82" s="67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98.8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676" t="s">
        <v>111</v>
      </c>
      <c r="D84" s="677"/>
      <c r="E84" s="677"/>
      <c r="F84" s="677"/>
      <c r="G84" s="677"/>
      <c r="H84" s="67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676" t="s">
        <v>112</v>
      </c>
      <c r="D85" s="677"/>
      <c r="E85" s="677"/>
      <c r="F85" s="677"/>
      <c r="G85" s="677"/>
      <c r="H85" s="67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9" t="s">
        <v>59</v>
      </c>
      <c r="E89" s="210"/>
      <c r="F89" s="679" t="s">
        <v>60</v>
      </c>
      <c r="G89" s="680"/>
    </row>
    <row r="90" spans="1:12" ht="27" customHeight="1" x14ac:dyDescent="0.4">
      <c r="A90" s="124" t="s">
        <v>61</v>
      </c>
      <c r="B90" s="125">
        <v>10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13">
        <v>1</v>
      </c>
      <c r="D91" s="132">
        <v>59715027</v>
      </c>
      <c r="E91" s="133">
        <f>IF(ISBLANK(D91),"-",$D$101/$D$98*D91)</f>
        <v>60968706.182325102</v>
      </c>
      <c r="F91" s="132">
        <v>67518214</v>
      </c>
      <c r="G91" s="134">
        <f>IF(ISBLANK(F91),"-",$D$101/$F$98*F91)</f>
        <v>61566011.963380389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59587886</v>
      </c>
      <c r="E92" s="138">
        <f>IF(ISBLANK(D92),"-",$D$101/$D$98*D92)</f>
        <v>60838895.937531494</v>
      </c>
      <c r="F92" s="137">
        <v>66967850</v>
      </c>
      <c r="G92" s="139">
        <f>IF(ISBLANK(F92),"-",$D$101/$F$98*F92)</f>
        <v>61064166.39311377</v>
      </c>
      <c r="I92" s="681">
        <f>ABS((F96/D96*D95)-F95)/D95</f>
        <v>3.8481712936150264E-3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60461015</v>
      </c>
      <c r="E93" s="138">
        <f>IF(ISBLANK(D93),"-",$D$101/$D$98*D93)</f>
        <v>61730355.728050672</v>
      </c>
      <c r="F93" s="137">
        <v>67488106</v>
      </c>
      <c r="G93" s="139">
        <f>IF(ISBLANK(F93),"-",$D$101/$F$98*F93)</f>
        <v>61538558.193821356</v>
      </c>
      <c r="I93" s="681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59921309.333333336</v>
      </c>
      <c r="E95" s="148">
        <f>AVERAGE(E91:E94)</f>
        <v>61179319.282635756</v>
      </c>
      <c r="F95" s="218">
        <f>AVERAGE(F91:F94)</f>
        <v>67324723.333333328</v>
      </c>
      <c r="G95" s="219">
        <f>AVERAGE(G91:G94)</f>
        <v>61389578.850105166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14.87</v>
      </c>
      <c r="E96" s="140"/>
      <c r="F96" s="152">
        <v>16.649999999999999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14.87</v>
      </c>
      <c r="E97" s="155"/>
      <c r="F97" s="154">
        <f>F96*$B$87</f>
        <v>16.649999999999999</v>
      </c>
    </row>
    <row r="98" spans="1:10" ht="19.5" customHeight="1" x14ac:dyDescent="0.3">
      <c r="A98" s="124" t="s">
        <v>76</v>
      </c>
      <c r="B98" s="224">
        <f>(B97/B96)*(B95/B94)*(B93/B92)*(B91/B90)*B89</f>
        <v>50</v>
      </c>
      <c r="C98" s="222" t="s">
        <v>115</v>
      </c>
      <c r="D98" s="225">
        <f>D97*$B$83/100</f>
        <v>14.691559999999999</v>
      </c>
      <c r="E98" s="158"/>
      <c r="F98" s="157">
        <f>F97*$B$83/100</f>
        <v>16.450199999999999</v>
      </c>
    </row>
    <row r="99" spans="1:10" ht="19.5" customHeight="1" x14ac:dyDescent="0.3">
      <c r="A99" s="667" t="s">
        <v>78</v>
      </c>
      <c r="B99" s="682"/>
      <c r="C99" s="222" t="s">
        <v>116</v>
      </c>
      <c r="D99" s="226">
        <f>D98/$B$98</f>
        <v>0.29383119999999996</v>
      </c>
      <c r="E99" s="158"/>
      <c r="F99" s="161">
        <f>F98/$B$98</f>
        <v>0.32900399999999996</v>
      </c>
      <c r="G99" s="227"/>
      <c r="H99" s="150"/>
    </row>
    <row r="100" spans="1:10" ht="19.5" customHeight="1" x14ac:dyDescent="0.3">
      <c r="A100" s="669"/>
      <c r="B100" s="683"/>
      <c r="C100" s="222" t="s">
        <v>80</v>
      </c>
      <c r="D100" s="228">
        <f>$B$56/$B$116</f>
        <v>0.3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15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15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61284449.066370465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6.0590684242348685E-3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1000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59455871</v>
      </c>
      <c r="E108" s="275">
        <f t="shared" ref="E108:E113" si="1">IF(ISBLANK(D108),"-",D108/$D$103*$D$100*$B$116)</f>
        <v>291.04873376087562</v>
      </c>
      <c r="F108" s="245">
        <f t="shared" ref="F108:F113" si="2">IF(ISBLANK(D108), "-", E108/$B$56)</f>
        <v>0.97016244586958544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61190376</v>
      </c>
      <c r="E109" s="276">
        <f t="shared" si="1"/>
        <v>299.5394929653267</v>
      </c>
      <c r="F109" s="246">
        <f t="shared" si="2"/>
        <v>0.99846497655108901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59426033</v>
      </c>
      <c r="E110" s="276">
        <f t="shared" si="1"/>
        <v>290.90267060559938</v>
      </c>
      <c r="F110" s="246">
        <f t="shared" si="2"/>
        <v>0.96967556868533122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62053629</v>
      </c>
      <c r="E111" s="276">
        <f t="shared" si="1"/>
        <v>303.76529419133641</v>
      </c>
      <c r="F111" s="246">
        <f t="shared" si="2"/>
        <v>1.0125509806377879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62042697</v>
      </c>
      <c r="E112" s="276">
        <f t="shared" si="1"/>
        <v>303.71177979983969</v>
      </c>
      <c r="F112" s="246">
        <f t="shared" si="2"/>
        <v>1.012372599332799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62001964</v>
      </c>
      <c r="E113" s="277">
        <f t="shared" si="1"/>
        <v>303.51238337568708</v>
      </c>
      <c r="F113" s="249">
        <f t="shared" si="2"/>
        <v>1.0117079445856236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298.74672578311078</v>
      </c>
      <c r="F115" s="252">
        <f>AVERAGE(F108:F113)</f>
        <v>0.99582241927703607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53"/>
      <c r="D116" s="216" t="s">
        <v>84</v>
      </c>
      <c r="E116" s="254">
        <f>STDEV(E108:E113)/E115</f>
        <v>2.0848494485021851E-2</v>
      </c>
      <c r="F116" s="254">
        <f>STDEV(F108:F113)/F115</f>
        <v>2.0848494485021844E-2</v>
      </c>
      <c r="I116" s="98"/>
    </row>
    <row r="117" spans="1:10" ht="27" customHeight="1" x14ac:dyDescent="0.4">
      <c r="A117" s="667" t="s">
        <v>78</v>
      </c>
      <c r="B117" s="668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669"/>
      <c r="B118" s="670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671" t="str">
        <f>B20</f>
        <v>Tenofovir Disoproxil Fumarate 300mg, Lamivudine 300mg &amp; Efavirenz 600mg tablets</v>
      </c>
      <c r="D120" s="671"/>
      <c r="E120" s="205" t="s">
        <v>124</v>
      </c>
      <c r="F120" s="205"/>
      <c r="G120" s="206">
        <f>F115</f>
        <v>0.99582241927703607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672" t="s">
        <v>26</v>
      </c>
      <c r="C122" s="672"/>
      <c r="E122" s="211" t="s">
        <v>27</v>
      </c>
      <c r="F122" s="260"/>
      <c r="G122" s="672" t="s">
        <v>28</v>
      </c>
      <c r="H122" s="672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22" zoomScale="55" zoomScaleNormal="40" zoomScalePageLayoutView="55" workbookViewId="0">
      <selection activeCell="E25" sqref="E25"/>
    </sheetView>
  </sheetViews>
  <sheetFormatPr defaultColWidth="9.140625" defaultRowHeight="13.5" x14ac:dyDescent="0.25"/>
  <cols>
    <col min="1" max="1" width="55.42578125" style="450" customWidth="1"/>
    <col min="2" max="2" width="33.7109375" style="450" customWidth="1"/>
    <col min="3" max="3" width="42.28515625" style="450" customWidth="1"/>
    <col min="4" max="4" width="30.5703125" style="450" customWidth="1"/>
    <col min="5" max="5" width="39.85546875" style="450" customWidth="1"/>
    <col min="6" max="6" width="30.7109375" style="450" customWidth="1"/>
    <col min="7" max="7" width="39.85546875" style="450" customWidth="1"/>
    <col min="8" max="8" width="30" style="450" customWidth="1"/>
    <col min="9" max="9" width="30.28515625" style="450" hidden="1" customWidth="1"/>
    <col min="10" max="10" width="30.42578125" style="450" customWidth="1"/>
    <col min="11" max="11" width="21.28515625" style="450" customWidth="1"/>
    <col min="12" max="12" width="9.140625" style="450"/>
    <col min="13" max="16384" width="9.140625" style="452"/>
  </cols>
  <sheetData>
    <row r="1" spans="1:9" ht="18.75" customHeight="1" x14ac:dyDescent="0.25">
      <c r="A1" s="737" t="s">
        <v>45</v>
      </c>
      <c r="B1" s="737"/>
      <c r="C1" s="737"/>
      <c r="D1" s="737"/>
      <c r="E1" s="737"/>
      <c r="F1" s="737"/>
      <c r="G1" s="737"/>
      <c r="H1" s="737"/>
      <c r="I1" s="737"/>
    </row>
    <row r="2" spans="1:9" ht="18.75" customHeight="1" x14ac:dyDescent="0.25">
      <c r="A2" s="737"/>
      <c r="B2" s="737"/>
      <c r="C2" s="737"/>
      <c r="D2" s="737"/>
      <c r="E2" s="737"/>
      <c r="F2" s="737"/>
      <c r="G2" s="737"/>
      <c r="H2" s="737"/>
      <c r="I2" s="737"/>
    </row>
    <row r="3" spans="1:9" ht="18.75" customHeight="1" x14ac:dyDescent="0.25">
      <c r="A3" s="737"/>
      <c r="B3" s="737"/>
      <c r="C3" s="737"/>
      <c r="D3" s="737"/>
      <c r="E3" s="737"/>
      <c r="F3" s="737"/>
      <c r="G3" s="737"/>
      <c r="H3" s="737"/>
      <c r="I3" s="737"/>
    </row>
    <row r="4" spans="1:9" ht="18.75" customHeight="1" x14ac:dyDescent="0.25">
      <c r="A4" s="737"/>
      <c r="B4" s="737"/>
      <c r="C4" s="737"/>
      <c r="D4" s="737"/>
      <c r="E4" s="737"/>
      <c r="F4" s="737"/>
      <c r="G4" s="737"/>
      <c r="H4" s="737"/>
      <c r="I4" s="737"/>
    </row>
    <row r="5" spans="1:9" ht="18.75" customHeight="1" x14ac:dyDescent="0.25">
      <c r="A5" s="737"/>
      <c r="B5" s="737"/>
      <c r="C5" s="737"/>
      <c r="D5" s="737"/>
      <c r="E5" s="737"/>
      <c r="F5" s="737"/>
      <c r="G5" s="737"/>
      <c r="H5" s="737"/>
      <c r="I5" s="737"/>
    </row>
    <row r="6" spans="1:9" ht="18.75" customHeight="1" x14ac:dyDescent="0.25">
      <c r="A6" s="737"/>
      <c r="B6" s="737"/>
      <c r="C6" s="737"/>
      <c r="D6" s="737"/>
      <c r="E6" s="737"/>
      <c r="F6" s="737"/>
      <c r="G6" s="737"/>
      <c r="H6" s="737"/>
      <c r="I6" s="737"/>
    </row>
    <row r="7" spans="1:9" ht="18.75" customHeight="1" x14ac:dyDescent="0.25">
      <c r="A7" s="737"/>
      <c r="B7" s="737"/>
      <c r="C7" s="737"/>
      <c r="D7" s="737"/>
      <c r="E7" s="737"/>
      <c r="F7" s="737"/>
      <c r="G7" s="737"/>
      <c r="H7" s="737"/>
      <c r="I7" s="737"/>
    </row>
    <row r="8" spans="1:9" x14ac:dyDescent="0.25">
      <c r="A8" s="738" t="s">
        <v>46</v>
      </c>
      <c r="B8" s="738"/>
      <c r="C8" s="738"/>
      <c r="D8" s="738"/>
      <c r="E8" s="738"/>
      <c r="F8" s="738"/>
      <c r="G8" s="738"/>
      <c r="H8" s="738"/>
      <c r="I8" s="738"/>
    </row>
    <row r="9" spans="1:9" x14ac:dyDescent="0.25">
      <c r="A9" s="738"/>
      <c r="B9" s="738"/>
      <c r="C9" s="738"/>
      <c r="D9" s="738"/>
      <c r="E9" s="738"/>
      <c r="F9" s="738"/>
      <c r="G9" s="738"/>
      <c r="H9" s="738"/>
      <c r="I9" s="738"/>
    </row>
    <row r="10" spans="1:9" x14ac:dyDescent="0.25">
      <c r="A10" s="738"/>
      <c r="B10" s="738"/>
      <c r="C10" s="738"/>
      <c r="D10" s="738"/>
      <c r="E10" s="738"/>
      <c r="F10" s="738"/>
      <c r="G10" s="738"/>
      <c r="H10" s="738"/>
      <c r="I10" s="738"/>
    </row>
    <row r="11" spans="1:9" x14ac:dyDescent="0.25">
      <c r="A11" s="738"/>
      <c r="B11" s="738"/>
      <c r="C11" s="738"/>
      <c r="D11" s="738"/>
      <c r="E11" s="738"/>
      <c r="F11" s="738"/>
      <c r="G11" s="738"/>
      <c r="H11" s="738"/>
      <c r="I11" s="738"/>
    </row>
    <row r="12" spans="1:9" x14ac:dyDescent="0.25">
      <c r="A12" s="738"/>
      <c r="B12" s="738"/>
      <c r="C12" s="738"/>
      <c r="D12" s="738"/>
      <c r="E12" s="738"/>
      <c r="F12" s="738"/>
      <c r="G12" s="738"/>
      <c r="H12" s="738"/>
      <c r="I12" s="738"/>
    </row>
    <row r="13" spans="1:9" x14ac:dyDescent="0.25">
      <c r="A13" s="738"/>
      <c r="B13" s="738"/>
      <c r="C13" s="738"/>
      <c r="D13" s="738"/>
      <c r="E13" s="738"/>
      <c r="F13" s="738"/>
      <c r="G13" s="738"/>
      <c r="H13" s="738"/>
      <c r="I13" s="738"/>
    </row>
    <row r="14" spans="1:9" x14ac:dyDescent="0.25">
      <c r="A14" s="738"/>
      <c r="B14" s="738"/>
      <c r="C14" s="738"/>
      <c r="D14" s="738"/>
      <c r="E14" s="738"/>
      <c r="F14" s="738"/>
      <c r="G14" s="738"/>
      <c r="H14" s="738"/>
      <c r="I14" s="738"/>
    </row>
    <row r="15" spans="1:9" ht="19.5" customHeight="1" thickBot="1" x14ac:dyDescent="0.35">
      <c r="A15" s="451"/>
    </row>
    <row r="16" spans="1:9" ht="19.5" customHeight="1" thickBot="1" x14ac:dyDescent="0.35">
      <c r="A16" s="739" t="s">
        <v>31</v>
      </c>
      <c r="B16" s="740"/>
      <c r="C16" s="740"/>
      <c r="D16" s="740"/>
      <c r="E16" s="740"/>
      <c r="F16" s="740"/>
      <c r="G16" s="740"/>
      <c r="H16" s="741"/>
    </row>
    <row r="17" spans="1:14" ht="20.25" customHeight="1" x14ac:dyDescent="0.25">
      <c r="A17" s="742" t="s">
        <v>47</v>
      </c>
      <c r="B17" s="742"/>
      <c r="C17" s="742"/>
      <c r="D17" s="742"/>
      <c r="E17" s="742"/>
      <c r="F17" s="742"/>
      <c r="G17" s="742"/>
      <c r="H17" s="742"/>
    </row>
    <row r="18" spans="1:14" ht="26.25" customHeight="1" x14ac:dyDescent="0.4">
      <c r="A18" s="453" t="s">
        <v>33</v>
      </c>
      <c r="B18" s="735" t="s">
        <v>127</v>
      </c>
      <c r="C18" s="735"/>
      <c r="D18" s="454"/>
      <c r="E18" s="455"/>
      <c r="F18" s="456"/>
      <c r="G18" s="456"/>
      <c r="H18" s="456"/>
    </row>
    <row r="19" spans="1:14" ht="26.25" customHeight="1" x14ac:dyDescent="0.4">
      <c r="A19" s="453" t="s">
        <v>34</v>
      </c>
      <c r="B19" s="457" t="s">
        <v>7</v>
      </c>
      <c r="C19" s="456">
        <v>29</v>
      </c>
      <c r="D19" s="456"/>
      <c r="E19" s="456"/>
      <c r="F19" s="456"/>
      <c r="G19" s="456"/>
      <c r="H19" s="456"/>
    </row>
    <row r="20" spans="1:14" ht="26.25" customHeight="1" x14ac:dyDescent="0.4">
      <c r="A20" s="453" t="s">
        <v>35</v>
      </c>
      <c r="B20" s="734" t="s">
        <v>128</v>
      </c>
      <c r="C20" s="734"/>
      <c r="D20" s="456"/>
      <c r="E20" s="456"/>
      <c r="F20" s="456"/>
      <c r="G20" s="456"/>
      <c r="H20" s="456"/>
    </row>
    <row r="21" spans="1:14" ht="26.25" customHeight="1" x14ac:dyDescent="0.4">
      <c r="A21" s="453" t="s">
        <v>36</v>
      </c>
      <c r="B21" s="734" t="s">
        <v>129</v>
      </c>
      <c r="C21" s="734"/>
      <c r="D21" s="734"/>
      <c r="E21" s="734"/>
      <c r="F21" s="734"/>
      <c r="G21" s="734"/>
      <c r="H21" s="734"/>
      <c r="I21" s="458"/>
    </row>
    <row r="22" spans="1:14" ht="26.25" customHeight="1" x14ac:dyDescent="0.4">
      <c r="A22" s="453" t="s">
        <v>37</v>
      </c>
      <c r="B22" s="293">
        <v>42499.469143518516</v>
      </c>
      <c r="C22" s="456"/>
      <c r="D22" s="456"/>
      <c r="E22" s="456"/>
      <c r="F22" s="456"/>
      <c r="G22" s="456"/>
      <c r="H22" s="456"/>
    </row>
    <row r="23" spans="1:14" ht="26.25" customHeight="1" x14ac:dyDescent="0.4">
      <c r="A23" s="453" t="s">
        <v>38</v>
      </c>
      <c r="B23" s="459">
        <v>42510.469143518516</v>
      </c>
      <c r="C23" s="456"/>
      <c r="D23" s="456"/>
      <c r="E23" s="456"/>
      <c r="F23" s="456"/>
      <c r="G23" s="456"/>
      <c r="H23" s="456"/>
    </row>
    <row r="24" spans="1:14" ht="18.75" x14ac:dyDescent="0.3">
      <c r="A24" s="453"/>
      <c r="B24" s="460"/>
    </row>
    <row r="25" spans="1:14" ht="18.75" x14ac:dyDescent="0.3">
      <c r="A25" s="461" t="s">
        <v>1</v>
      </c>
      <c r="B25" s="460"/>
    </row>
    <row r="26" spans="1:14" ht="26.25" customHeight="1" x14ac:dyDescent="0.4">
      <c r="A26" s="462" t="s">
        <v>4</v>
      </c>
      <c r="B26" s="735" t="s">
        <v>131</v>
      </c>
      <c r="C26" s="735"/>
    </row>
    <row r="27" spans="1:14" ht="26.25" customHeight="1" x14ac:dyDescent="0.4">
      <c r="A27" s="463" t="s">
        <v>48</v>
      </c>
      <c r="B27" s="736" t="s">
        <v>132</v>
      </c>
      <c r="C27" s="736"/>
    </row>
    <row r="28" spans="1:14" ht="27" customHeight="1" thickBot="1" x14ac:dyDescent="0.45">
      <c r="A28" s="463" t="s">
        <v>6</v>
      </c>
      <c r="B28" s="464">
        <v>99.3</v>
      </c>
    </row>
    <row r="29" spans="1:14" s="466" customFormat="1" ht="27" customHeight="1" thickBot="1" x14ac:dyDescent="0.45">
      <c r="A29" s="463" t="s">
        <v>49</v>
      </c>
      <c r="B29" s="465">
        <v>0</v>
      </c>
      <c r="C29" s="714" t="s">
        <v>50</v>
      </c>
      <c r="D29" s="715"/>
      <c r="E29" s="715"/>
      <c r="F29" s="715"/>
      <c r="G29" s="716"/>
      <c r="I29" s="467"/>
      <c r="J29" s="467"/>
      <c r="K29" s="467"/>
      <c r="L29" s="467"/>
    </row>
    <row r="30" spans="1:14" s="466" customFormat="1" ht="19.5" customHeight="1" thickBot="1" x14ac:dyDescent="0.35">
      <c r="A30" s="463" t="s">
        <v>51</v>
      </c>
      <c r="B30" s="468">
        <f>B28-B29</f>
        <v>99.3</v>
      </c>
      <c r="C30" s="469"/>
      <c r="D30" s="469"/>
      <c r="E30" s="469"/>
      <c r="F30" s="469"/>
      <c r="G30" s="470"/>
      <c r="I30" s="467"/>
      <c r="J30" s="467"/>
      <c r="K30" s="467"/>
      <c r="L30" s="467"/>
    </row>
    <row r="31" spans="1:14" s="466" customFormat="1" ht="27" customHeight="1" thickBot="1" x14ac:dyDescent="0.45">
      <c r="A31" s="463" t="s">
        <v>52</v>
      </c>
      <c r="B31" s="471">
        <v>1</v>
      </c>
      <c r="C31" s="717" t="s">
        <v>53</v>
      </c>
      <c r="D31" s="718"/>
      <c r="E31" s="718"/>
      <c r="F31" s="718"/>
      <c r="G31" s="718"/>
      <c r="H31" s="719"/>
      <c r="I31" s="467"/>
      <c r="J31" s="467"/>
      <c r="K31" s="467"/>
      <c r="L31" s="467"/>
    </row>
    <row r="32" spans="1:14" s="466" customFormat="1" ht="27" customHeight="1" thickBot="1" x14ac:dyDescent="0.45">
      <c r="A32" s="463" t="s">
        <v>54</v>
      </c>
      <c r="B32" s="471">
        <v>1</v>
      </c>
      <c r="C32" s="717" t="s">
        <v>55</v>
      </c>
      <c r="D32" s="718"/>
      <c r="E32" s="718"/>
      <c r="F32" s="718"/>
      <c r="G32" s="718"/>
      <c r="H32" s="719"/>
      <c r="I32" s="467"/>
      <c r="J32" s="467"/>
      <c r="K32" s="467"/>
      <c r="L32" s="472"/>
      <c r="M32" s="472"/>
      <c r="N32" s="473"/>
    </row>
    <row r="33" spans="1:14" s="466" customFormat="1" ht="17.25" customHeight="1" x14ac:dyDescent="0.3">
      <c r="A33" s="463"/>
      <c r="B33" s="474"/>
      <c r="C33" s="475"/>
      <c r="D33" s="475"/>
      <c r="E33" s="475"/>
      <c r="F33" s="475"/>
      <c r="G33" s="475"/>
      <c r="H33" s="475"/>
      <c r="I33" s="467"/>
      <c r="J33" s="467"/>
      <c r="K33" s="467"/>
      <c r="L33" s="472"/>
      <c r="M33" s="472"/>
      <c r="N33" s="473"/>
    </row>
    <row r="34" spans="1:14" s="466" customFormat="1" ht="18.75" x14ac:dyDescent="0.3">
      <c r="A34" s="463" t="s">
        <v>56</v>
      </c>
      <c r="B34" s="476">
        <f>B31/B32</f>
        <v>1</v>
      </c>
      <c r="C34" s="451" t="s">
        <v>57</v>
      </c>
      <c r="D34" s="451"/>
      <c r="E34" s="451"/>
      <c r="F34" s="451"/>
      <c r="G34" s="451"/>
      <c r="I34" s="467"/>
      <c r="J34" s="467"/>
      <c r="K34" s="467"/>
      <c r="L34" s="472"/>
      <c r="M34" s="472"/>
      <c r="N34" s="473"/>
    </row>
    <row r="35" spans="1:14" s="466" customFormat="1" ht="19.5" customHeight="1" thickBot="1" x14ac:dyDescent="0.35">
      <c r="A35" s="463"/>
      <c r="B35" s="468"/>
      <c r="G35" s="451"/>
      <c r="I35" s="467"/>
      <c r="J35" s="467"/>
      <c r="K35" s="467"/>
      <c r="L35" s="472"/>
      <c r="M35" s="472"/>
      <c r="N35" s="473"/>
    </row>
    <row r="36" spans="1:14" s="466" customFormat="1" ht="27" customHeight="1" thickBot="1" x14ac:dyDescent="0.45">
      <c r="A36" s="477" t="s">
        <v>58</v>
      </c>
      <c r="B36" s="478">
        <v>25</v>
      </c>
      <c r="C36" s="451"/>
      <c r="D36" s="720" t="s">
        <v>59</v>
      </c>
      <c r="E36" s="733"/>
      <c r="F36" s="720" t="s">
        <v>60</v>
      </c>
      <c r="G36" s="721"/>
      <c r="J36" s="467"/>
      <c r="K36" s="467"/>
      <c r="L36" s="472"/>
      <c r="M36" s="472"/>
      <c r="N36" s="473"/>
    </row>
    <row r="37" spans="1:14" s="466" customFormat="1" ht="27" customHeight="1" thickBot="1" x14ac:dyDescent="0.45">
      <c r="A37" s="479" t="s">
        <v>61</v>
      </c>
      <c r="B37" s="480">
        <v>5</v>
      </c>
      <c r="C37" s="481" t="s">
        <v>62</v>
      </c>
      <c r="D37" s="482" t="s">
        <v>63</v>
      </c>
      <c r="E37" s="483" t="s">
        <v>64</v>
      </c>
      <c r="F37" s="482" t="s">
        <v>63</v>
      </c>
      <c r="G37" s="484" t="s">
        <v>64</v>
      </c>
      <c r="I37" s="485" t="s">
        <v>65</v>
      </c>
      <c r="J37" s="467"/>
      <c r="K37" s="467"/>
      <c r="L37" s="472"/>
      <c r="M37" s="472"/>
      <c r="N37" s="473"/>
    </row>
    <row r="38" spans="1:14" s="466" customFormat="1" ht="26.25" customHeight="1" x14ac:dyDescent="0.4">
      <c r="A38" s="479" t="s">
        <v>66</v>
      </c>
      <c r="B38" s="480">
        <v>50</v>
      </c>
      <c r="C38" s="486">
        <v>1</v>
      </c>
      <c r="D38" s="487">
        <v>45394758</v>
      </c>
      <c r="E38" s="488">
        <f>IF(ISBLANK(D38),"-",$D$48/$D$45*D38)</f>
        <v>46536913.467226133</v>
      </c>
      <c r="F38" s="487">
        <v>48368891</v>
      </c>
      <c r="G38" s="489">
        <f>IF(ISBLANK(F38),"-",$D$48/$F$45*F38)</f>
        <v>45981617.388427615</v>
      </c>
      <c r="I38" s="490"/>
      <c r="J38" s="467"/>
      <c r="K38" s="467"/>
      <c r="L38" s="472"/>
      <c r="M38" s="472"/>
      <c r="N38" s="473"/>
    </row>
    <row r="39" spans="1:14" s="466" customFormat="1" ht="26.25" customHeight="1" x14ac:dyDescent="0.4">
      <c r="A39" s="479" t="s">
        <v>67</v>
      </c>
      <c r="B39" s="480">
        <v>1</v>
      </c>
      <c r="C39" s="491">
        <v>2</v>
      </c>
      <c r="D39" s="492">
        <v>45353917</v>
      </c>
      <c r="E39" s="493">
        <f>IF(ISBLANK(D39),"-",$D$48/$D$45*D39)</f>
        <v>46495044.886653133</v>
      </c>
      <c r="F39" s="492">
        <v>48552798</v>
      </c>
      <c r="G39" s="494">
        <f>IF(ISBLANK(F39),"-",$D$48/$F$45*F39)</f>
        <v>46156447.555798076</v>
      </c>
      <c r="I39" s="704">
        <f>ABS((F43/D43*D42)-F42)/D42</f>
        <v>7.4575639209945033E-3</v>
      </c>
      <c r="J39" s="467"/>
      <c r="K39" s="467"/>
      <c r="L39" s="472"/>
      <c r="M39" s="472"/>
      <c r="N39" s="473"/>
    </row>
    <row r="40" spans="1:14" ht="26.25" customHeight="1" x14ac:dyDescent="0.4">
      <c r="A40" s="479" t="s">
        <v>68</v>
      </c>
      <c r="B40" s="480">
        <v>1</v>
      </c>
      <c r="C40" s="491">
        <v>3</v>
      </c>
      <c r="D40" s="492">
        <v>45191040</v>
      </c>
      <c r="E40" s="493">
        <f>IF(ISBLANK(D40),"-",$D$48/$D$45*D40)</f>
        <v>46328069.817531683</v>
      </c>
      <c r="F40" s="492">
        <v>48659854</v>
      </c>
      <c r="G40" s="494">
        <f>IF(ISBLANK(F40),"-",$D$48/$F$45*F40)</f>
        <v>46258219.747166604</v>
      </c>
      <c r="I40" s="704"/>
      <c r="L40" s="472"/>
      <c r="M40" s="472"/>
      <c r="N40" s="451"/>
    </row>
    <row r="41" spans="1:14" ht="27" customHeight="1" thickBot="1" x14ac:dyDescent="0.45">
      <c r="A41" s="479" t="s">
        <v>69</v>
      </c>
      <c r="B41" s="480">
        <v>1</v>
      </c>
      <c r="C41" s="495">
        <v>4</v>
      </c>
      <c r="D41" s="496"/>
      <c r="E41" s="497" t="str">
        <f>IF(ISBLANK(D41),"-",$D$48/$D$45*D41)</f>
        <v>-</v>
      </c>
      <c r="F41" s="496"/>
      <c r="G41" s="498" t="str">
        <f>IF(ISBLANK(F41),"-",$D$48/$F$45*F41)</f>
        <v>-</v>
      </c>
      <c r="I41" s="499"/>
      <c r="L41" s="472"/>
      <c r="M41" s="472"/>
      <c r="N41" s="451"/>
    </row>
    <row r="42" spans="1:14" ht="27" customHeight="1" thickBot="1" x14ac:dyDescent="0.45">
      <c r="A42" s="479" t="s">
        <v>70</v>
      </c>
      <c r="B42" s="480">
        <v>1</v>
      </c>
      <c r="C42" s="500" t="s">
        <v>71</v>
      </c>
      <c r="D42" s="501">
        <f>AVERAGE(D38:D41)</f>
        <v>45313238.333333336</v>
      </c>
      <c r="E42" s="502">
        <f>AVERAGE(E38:E41)</f>
        <v>46453342.723803647</v>
      </c>
      <c r="F42" s="501">
        <f>AVERAGE(F38:F41)</f>
        <v>48527181</v>
      </c>
      <c r="G42" s="503">
        <f>AVERAGE(G38:G41)</f>
        <v>46132094.897130765</v>
      </c>
      <c r="H42" s="504"/>
    </row>
    <row r="43" spans="1:14" ht="26.25" customHeight="1" x14ac:dyDescent="0.4">
      <c r="A43" s="479" t="s">
        <v>72</v>
      </c>
      <c r="B43" s="480">
        <v>1</v>
      </c>
      <c r="C43" s="505" t="s">
        <v>73</v>
      </c>
      <c r="D43" s="506">
        <v>29.47</v>
      </c>
      <c r="E43" s="451"/>
      <c r="F43" s="506">
        <v>31.78</v>
      </c>
      <c r="H43" s="504"/>
    </row>
    <row r="44" spans="1:14" ht="26.25" customHeight="1" x14ac:dyDescent="0.4">
      <c r="A44" s="479" t="s">
        <v>74</v>
      </c>
      <c r="B44" s="480">
        <v>1</v>
      </c>
      <c r="C44" s="507" t="s">
        <v>75</v>
      </c>
      <c r="D44" s="508">
        <f>D43*$B$34</f>
        <v>29.47</v>
      </c>
      <c r="E44" s="509"/>
      <c r="F44" s="508">
        <f>F43*$B$34</f>
        <v>31.78</v>
      </c>
      <c r="H44" s="504"/>
    </row>
    <row r="45" spans="1:14" ht="19.5" customHeight="1" thickBot="1" x14ac:dyDescent="0.35">
      <c r="A45" s="479" t="s">
        <v>76</v>
      </c>
      <c r="B45" s="491">
        <f>(B44/B43)*(B42/B41)*(B40/B39)*(B38/B37)*B36</f>
        <v>250</v>
      </c>
      <c r="C45" s="507" t="s">
        <v>77</v>
      </c>
      <c r="D45" s="510">
        <f>D44*$B$30/100</f>
        <v>29.263709999999996</v>
      </c>
      <c r="E45" s="511"/>
      <c r="F45" s="510">
        <f>F44*$B$30/100</f>
        <v>31.557539999999999</v>
      </c>
      <c r="H45" s="504"/>
    </row>
    <row r="46" spans="1:14" ht="19.5" customHeight="1" thickBot="1" x14ac:dyDescent="0.35">
      <c r="A46" s="705" t="s">
        <v>78</v>
      </c>
      <c r="B46" s="709"/>
      <c r="C46" s="507" t="s">
        <v>79</v>
      </c>
      <c r="D46" s="512">
        <f>D45/$B$45</f>
        <v>0.11705483999999998</v>
      </c>
      <c r="E46" s="513"/>
      <c r="F46" s="514">
        <f>F45/$B$45</f>
        <v>0.12623016000000001</v>
      </c>
      <c r="H46" s="504"/>
    </row>
    <row r="47" spans="1:14" ht="27" customHeight="1" thickBot="1" x14ac:dyDescent="0.45">
      <c r="A47" s="707"/>
      <c r="B47" s="710"/>
      <c r="C47" s="515" t="s">
        <v>80</v>
      </c>
      <c r="D47" s="516">
        <v>0.12</v>
      </c>
      <c r="E47" s="517"/>
      <c r="F47" s="513"/>
      <c r="H47" s="504"/>
    </row>
    <row r="48" spans="1:14" ht="18.75" x14ac:dyDescent="0.3">
      <c r="C48" s="518" t="s">
        <v>81</v>
      </c>
      <c r="D48" s="510">
        <f>D47*$B$45</f>
        <v>30</v>
      </c>
      <c r="F48" s="519"/>
      <c r="H48" s="504"/>
    </row>
    <row r="49" spans="1:12" ht="19.5" customHeight="1" thickBot="1" x14ac:dyDescent="0.35">
      <c r="C49" s="520" t="s">
        <v>82</v>
      </c>
      <c r="D49" s="521">
        <f>D48/B34</f>
        <v>30</v>
      </c>
      <c r="F49" s="519"/>
      <c r="H49" s="504"/>
    </row>
    <row r="50" spans="1:12" ht="18.75" x14ac:dyDescent="0.3">
      <c r="C50" s="477" t="s">
        <v>83</v>
      </c>
      <c r="D50" s="522">
        <f>AVERAGE(E38:E41,G38:G41)</f>
        <v>46292718.810467206</v>
      </c>
      <c r="F50" s="523"/>
      <c r="H50" s="504"/>
    </row>
    <row r="51" spans="1:12" ht="18.75" x14ac:dyDescent="0.3">
      <c r="C51" s="479" t="s">
        <v>84</v>
      </c>
      <c r="D51" s="524">
        <f>STDEV(E38:E41,G38:G41)/D50</f>
        <v>4.5142909775462798E-3</v>
      </c>
      <c r="F51" s="523"/>
      <c r="H51" s="504"/>
    </row>
    <row r="52" spans="1:12" ht="19.5" customHeight="1" thickBot="1" x14ac:dyDescent="0.35">
      <c r="C52" s="525" t="s">
        <v>20</v>
      </c>
      <c r="D52" s="526">
        <f>COUNT(E38:E41,G38:G41)</f>
        <v>6</v>
      </c>
      <c r="F52" s="523"/>
    </row>
    <row r="54" spans="1:12" ht="18.75" x14ac:dyDescent="0.3">
      <c r="A54" s="527" t="s">
        <v>1</v>
      </c>
      <c r="B54" s="528" t="s">
        <v>85</v>
      </c>
    </row>
    <row r="55" spans="1:12" ht="18.75" x14ac:dyDescent="0.3">
      <c r="A55" s="451" t="s">
        <v>86</v>
      </c>
      <c r="B55" s="529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529" t="s">
        <v>87</v>
      </c>
      <c r="B56" s="530">
        <v>600</v>
      </c>
      <c r="C56" s="451" t="str">
        <f>B20</f>
        <v>Efavirenz 600mg, Lamivudine 300mg and Tenofovir Disoproxil Fumarate 300mg Tablets</v>
      </c>
      <c r="H56" s="509"/>
    </row>
    <row r="57" spans="1:12" ht="18.75" x14ac:dyDescent="0.3">
      <c r="A57" s="529" t="s">
        <v>88</v>
      </c>
      <c r="B57" s="531">
        <f>Uniformity!C46</f>
        <v>1917.7185000000002</v>
      </c>
      <c r="H57" s="509"/>
    </row>
    <row r="58" spans="1:12" ht="19.5" customHeight="1" thickBot="1" x14ac:dyDescent="0.35">
      <c r="H58" s="509"/>
    </row>
    <row r="59" spans="1:12" s="466" customFormat="1" ht="27" customHeight="1" thickBot="1" x14ac:dyDescent="0.45">
      <c r="A59" s="477" t="s">
        <v>89</v>
      </c>
      <c r="B59" s="478">
        <v>200</v>
      </c>
      <c r="C59" s="451"/>
      <c r="D59" s="532" t="s">
        <v>90</v>
      </c>
      <c r="E59" s="533" t="s">
        <v>62</v>
      </c>
      <c r="F59" s="533" t="s">
        <v>63</v>
      </c>
      <c r="G59" s="533" t="s">
        <v>91</v>
      </c>
      <c r="H59" s="481" t="s">
        <v>92</v>
      </c>
      <c r="L59" s="467"/>
    </row>
    <row r="60" spans="1:12" s="466" customFormat="1" ht="26.25" customHeight="1" x14ac:dyDescent="0.4">
      <c r="A60" s="479" t="s">
        <v>93</v>
      </c>
      <c r="B60" s="480">
        <v>4</v>
      </c>
      <c r="C60" s="722" t="s">
        <v>94</v>
      </c>
      <c r="D60" s="725">
        <v>1914.91</v>
      </c>
      <c r="E60" s="534">
        <v>1</v>
      </c>
      <c r="F60" s="535">
        <v>45960890</v>
      </c>
      <c r="G60" s="536">
        <f>IF(ISBLANK(F60),"-",(F60/$D$50*$D$47*$B$68)*($B$57/$D$60))</f>
        <v>596.57284760130392</v>
      </c>
      <c r="H60" s="537">
        <f t="shared" ref="H60:H71" si="0">IF(ISBLANK(F60),"-",G60/$B$56)</f>
        <v>0.99428807933550656</v>
      </c>
      <c r="L60" s="467"/>
    </row>
    <row r="61" spans="1:12" s="466" customFormat="1" ht="26.25" customHeight="1" x14ac:dyDescent="0.4">
      <c r="A61" s="479" t="s">
        <v>95</v>
      </c>
      <c r="B61" s="480">
        <v>100</v>
      </c>
      <c r="C61" s="723"/>
      <c r="D61" s="726"/>
      <c r="E61" s="538">
        <v>2</v>
      </c>
      <c r="F61" s="492">
        <v>45935376</v>
      </c>
      <c r="G61" s="539">
        <f>IF(ISBLANK(F61),"-",(F61/$D$50*$D$47*$B$68)*($B$57/$D$60))</f>
        <v>596.24167560629473</v>
      </c>
      <c r="H61" s="540">
        <f t="shared" si="0"/>
        <v>0.99373612601049122</v>
      </c>
      <c r="L61" s="467"/>
    </row>
    <row r="62" spans="1:12" s="466" customFormat="1" ht="26.25" customHeight="1" x14ac:dyDescent="0.4">
      <c r="A62" s="479" t="s">
        <v>96</v>
      </c>
      <c r="B62" s="480">
        <v>1</v>
      </c>
      <c r="C62" s="723"/>
      <c r="D62" s="726"/>
      <c r="E62" s="538">
        <v>3</v>
      </c>
      <c r="F62" s="541">
        <v>45888369</v>
      </c>
      <c r="G62" s="539">
        <f>IF(ISBLANK(F62),"-",(F62/$D$50*$D$47*$B$68)*($B$57/$D$60))</f>
        <v>595.63152423961765</v>
      </c>
      <c r="H62" s="540">
        <f t="shared" si="0"/>
        <v>0.99271920706602945</v>
      </c>
      <c r="L62" s="467"/>
    </row>
    <row r="63" spans="1:12" ht="27" customHeight="1" thickBot="1" x14ac:dyDescent="0.45">
      <c r="A63" s="479" t="s">
        <v>97</v>
      </c>
      <c r="B63" s="480">
        <v>1</v>
      </c>
      <c r="C63" s="724"/>
      <c r="D63" s="727"/>
      <c r="E63" s="542">
        <v>4</v>
      </c>
      <c r="F63" s="543"/>
      <c r="G63" s="539" t="str">
        <f>IF(ISBLANK(F63),"-",(F63/$D$50*$D$47*$B$68)*($B$57/$D$60))</f>
        <v>-</v>
      </c>
      <c r="H63" s="540" t="str">
        <f t="shared" si="0"/>
        <v>-</v>
      </c>
    </row>
    <row r="64" spans="1:12" ht="26.25" customHeight="1" x14ac:dyDescent="0.4">
      <c r="A64" s="479" t="s">
        <v>98</v>
      </c>
      <c r="B64" s="480">
        <v>1</v>
      </c>
      <c r="C64" s="722" t="s">
        <v>99</v>
      </c>
      <c r="D64" s="725">
        <v>1917.53</v>
      </c>
      <c r="E64" s="534">
        <v>1</v>
      </c>
      <c r="F64" s="535">
        <v>46741018</v>
      </c>
      <c r="G64" s="544">
        <f>IF(ISBLANK(F64),"-",(F64/$D$50*$D$47*$B$68)*($B$57/$D$64))</f>
        <v>605.86995979953338</v>
      </c>
      <c r="H64" s="545">
        <f t="shared" si="0"/>
        <v>1.0097832663325557</v>
      </c>
    </row>
    <row r="65" spans="1:8" ht="26.25" customHeight="1" x14ac:dyDescent="0.4">
      <c r="A65" s="479" t="s">
        <v>100</v>
      </c>
      <c r="B65" s="480">
        <v>1</v>
      </c>
      <c r="C65" s="723"/>
      <c r="D65" s="726"/>
      <c r="E65" s="538">
        <v>2</v>
      </c>
      <c r="F65" s="492">
        <v>46753421</v>
      </c>
      <c r="G65" s="546">
        <f>IF(ISBLANK(F65),"-",(F65/$D$50*$D$47*$B$68)*($B$57/$D$64))</f>
        <v>606.03073090450584</v>
      </c>
      <c r="H65" s="547">
        <f t="shared" si="0"/>
        <v>1.0100512181741763</v>
      </c>
    </row>
    <row r="66" spans="1:8" ht="26.25" customHeight="1" x14ac:dyDescent="0.4">
      <c r="A66" s="479" t="s">
        <v>101</v>
      </c>
      <c r="B66" s="480">
        <v>1</v>
      </c>
      <c r="C66" s="723"/>
      <c r="D66" s="726"/>
      <c r="E66" s="538">
        <v>3</v>
      </c>
      <c r="F66" s="492">
        <v>46517426</v>
      </c>
      <c r="G66" s="546">
        <f>IF(ISBLANK(F66),"-",(F66/$D$50*$D$47*$B$68)*($B$57/$D$64))</f>
        <v>602.97169866085869</v>
      </c>
      <c r="H66" s="547">
        <f t="shared" si="0"/>
        <v>1.0049528311014311</v>
      </c>
    </row>
    <row r="67" spans="1:8" ht="27" customHeight="1" thickBot="1" x14ac:dyDescent="0.45">
      <c r="A67" s="479" t="s">
        <v>102</v>
      </c>
      <c r="B67" s="480">
        <v>1</v>
      </c>
      <c r="C67" s="724"/>
      <c r="D67" s="727"/>
      <c r="E67" s="542">
        <v>4</v>
      </c>
      <c r="F67" s="543"/>
      <c r="G67" s="548" t="str">
        <f>IF(ISBLANK(F67),"-",(F67/$D$50*$D$47*$B$68)*($B$57/$D$64))</f>
        <v>-</v>
      </c>
      <c r="H67" s="549" t="str">
        <f>IF(ISBLANK(F67),"-",G67/$B$56)</f>
        <v>-</v>
      </c>
    </row>
    <row r="68" spans="1:8" ht="26.25" customHeight="1" x14ac:dyDescent="0.4">
      <c r="A68" s="479" t="s">
        <v>103</v>
      </c>
      <c r="B68" s="550">
        <f>(B67/B66)*(B65/B64)*(B63/B62)*(B61/B60)*B59</f>
        <v>5000</v>
      </c>
      <c r="C68" s="722" t="s">
        <v>104</v>
      </c>
      <c r="D68" s="725">
        <v>1913.96</v>
      </c>
      <c r="E68" s="534">
        <v>1</v>
      </c>
      <c r="F68" s="535">
        <v>46984419</v>
      </c>
      <c r="G68" s="544">
        <f>IF(ISBLANK(F68),"-",(F68/$D$50*$D$47*$B$68)*($B$57/$D$68))</f>
        <v>610.16097010069859</v>
      </c>
      <c r="H68" s="540">
        <f>IF(ISBLANK(F68),"-",G68/$B$56)</f>
        <v>1.0169349501678311</v>
      </c>
    </row>
    <row r="69" spans="1:8" ht="27" customHeight="1" thickBot="1" x14ac:dyDescent="0.45">
      <c r="A69" s="525" t="s">
        <v>105</v>
      </c>
      <c r="B69" s="551">
        <f>(D47*B68)/B56*B57</f>
        <v>1917.7185000000002</v>
      </c>
      <c r="C69" s="723"/>
      <c r="D69" s="726"/>
      <c r="E69" s="538">
        <v>2</v>
      </c>
      <c r="F69" s="492">
        <v>47083739</v>
      </c>
      <c r="G69" s="546">
        <f>IF(ISBLANK(F69),"-",(F69/$D$50*$D$47*$B$68)*($B$57/$D$68))</f>
        <v>611.4507846571031</v>
      </c>
      <c r="H69" s="540">
        <f t="shared" si="0"/>
        <v>1.0190846410951719</v>
      </c>
    </row>
    <row r="70" spans="1:8" ht="26.25" customHeight="1" x14ac:dyDescent="0.4">
      <c r="A70" s="729" t="s">
        <v>78</v>
      </c>
      <c r="B70" s="730"/>
      <c r="C70" s="723"/>
      <c r="D70" s="726"/>
      <c r="E70" s="538">
        <v>3</v>
      </c>
      <c r="F70" s="492">
        <v>46980670</v>
      </c>
      <c r="G70" s="546">
        <f>IF(ISBLANK(F70),"-",(F70/$D$50*$D$47*$B$68)*($B$57/$D$68))</f>
        <v>610.11228388672407</v>
      </c>
      <c r="H70" s="540">
        <f t="shared" si="0"/>
        <v>1.0168538064778734</v>
      </c>
    </row>
    <row r="71" spans="1:8" ht="27" customHeight="1" thickBot="1" x14ac:dyDescent="0.45">
      <c r="A71" s="731"/>
      <c r="B71" s="732"/>
      <c r="C71" s="728"/>
      <c r="D71" s="727"/>
      <c r="E71" s="542">
        <v>4</v>
      </c>
      <c r="F71" s="543"/>
      <c r="G71" s="548" t="str">
        <f>IF(ISBLANK(F71),"-",(F71/$D$50*$D$47*$B$68)*($B$57/$D$68))</f>
        <v>-</v>
      </c>
      <c r="H71" s="552" t="str">
        <f t="shared" si="0"/>
        <v>-</v>
      </c>
    </row>
    <row r="72" spans="1:8" ht="26.25" customHeight="1" x14ac:dyDescent="0.4">
      <c r="A72" s="509"/>
      <c r="B72" s="509"/>
      <c r="C72" s="509"/>
      <c r="D72" s="509"/>
      <c r="E72" s="509"/>
      <c r="F72" s="553" t="s">
        <v>71</v>
      </c>
      <c r="G72" s="554">
        <f>AVERAGE(G60:G71)</f>
        <v>603.89360838407117</v>
      </c>
      <c r="H72" s="555">
        <f>AVERAGE(H60:H71)</f>
        <v>1.0064893473067853</v>
      </c>
    </row>
    <row r="73" spans="1:8" ht="26.25" customHeight="1" x14ac:dyDescent="0.4">
      <c r="C73" s="509"/>
      <c r="D73" s="509"/>
      <c r="E73" s="509"/>
      <c r="F73" s="556" t="s">
        <v>84</v>
      </c>
      <c r="G73" s="557">
        <f>STDEV(G60:G71)/G72</f>
        <v>1.0551111866240933E-2</v>
      </c>
      <c r="H73" s="557">
        <f>STDEV(H60:H71)/H72</f>
        <v>1.0551111866240945E-2</v>
      </c>
    </row>
    <row r="74" spans="1:8" ht="27" customHeight="1" thickBot="1" x14ac:dyDescent="0.45">
      <c r="A74" s="509"/>
      <c r="B74" s="509"/>
      <c r="C74" s="509"/>
      <c r="D74" s="509"/>
      <c r="E74" s="511"/>
      <c r="F74" s="558" t="s">
        <v>20</v>
      </c>
      <c r="G74" s="559">
        <f>COUNT(G60:G71)</f>
        <v>9</v>
      </c>
      <c r="H74" s="559">
        <f>COUNT(H60:H71)</f>
        <v>9</v>
      </c>
    </row>
    <row r="76" spans="1:8" ht="26.25" customHeight="1" x14ac:dyDescent="0.4">
      <c r="A76" s="462" t="s">
        <v>106</v>
      </c>
      <c r="B76" s="463" t="s">
        <v>107</v>
      </c>
      <c r="C76" s="711" t="str">
        <f>B20</f>
        <v>Efavirenz 600mg, Lamivudine 300mg and Tenofovir Disoproxil Fumarate 300mg Tablets</v>
      </c>
      <c r="D76" s="711"/>
      <c r="E76" s="451" t="s">
        <v>108</v>
      </c>
      <c r="F76" s="451"/>
      <c r="G76" s="560">
        <f>H72</f>
        <v>1.0064893473067853</v>
      </c>
      <c r="H76" s="468"/>
    </row>
    <row r="77" spans="1:8" ht="18.75" x14ac:dyDescent="0.3">
      <c r="A77" s="461" t="s">
        <v>109</v>
      </c>
      <c r="B77" s="461" t="s">
        <v>110</v>
      </c>
    </row>
    <row r="78" spans="1:8" ht="18.75" x14ac:dyDescent="0.3">
      <c r="A78" s="461"/>
      <c r="B78" s="461"/>
    </row>
    <row r="79" spans="1:8" ht="26.25" customHeight="1" x14ac:dyDescent="0.4">
      <c r="A79" s="462" t="s">
        <v>4</v>
      </c>
      <c r="B79" s="713" t="str">
        <f>B26</f>
        <v>Efavirenz</v>
      </c>
      <c r="C79" s="713"/>
    </row>
    <row r="80" spans="1:8" ht="26.25" customHeight="1" x14ac:dyDescent="0.4">
      <c r="A80" s="463" t="s">
        <v>48</v>
      </c>
      <c r="B80" s="713" t="str">
        <f>B27</f>
        <v>E15-3</v>
      </c>
      <c r="C80" s="713"/>
    </row>
    <row r="81" spans="1:12" ht="27" customHeight="1" thickBot="1" x14ac:dyDescent="0.45">
      <c r="A81" s="463" t="s">
        <v>6</v>
      </c>
      <c r="B81" s="464">
        <f>B28</f>
        <v>99.3</v>
      </c>
    </row>
    <row r="82" spans="1:12" s="466" customFormat="1" ht="27" customHeight="1" thickBot="1" x14ac:dyDescent="0.45">
      <c r="A82" s="463" t="s">
        <v>49</v>
      </c>
      <c r="B82" s="465">
        <v>0</v>
      </c>
      <c r="C82" s="714" t="s">
        <v>50</v>
      </c>
      <c r="D82" s="715"/>
      <c r="E82" s="715"/>
      <c r="F82" s="715"/>
      <c r="G82" s="716"/>
      <c r="I82" s="467"/>
      <c r="J82" s="467"/>
      <c r="K82" s="467"/>
      <c r="L82" s="467"/>
    </row>
    <row r="83" spans="1:12" s="466" customFormat="1" ht="19.5" customHeight="1" thickBot="1" x14ac:dyDescent="0.35">
      <c r="A83" s="463" t="s">
        <v>51</v>
      </c>
      <c r="B83" s="468">
        <f>B81-B82</f>
        <v>99.3</v>
      </c>
      <c r="C83" s="469"/>
      <c r="D83" s="469"/>
      <c r="E83" s="469"/>
      <c r="F83" s="469"/>
      <c r="G83" s="470"/>
      <c r="I83" s="467"/>
      <c r="J83" s="467"/>
      <c r="K83" s="467"/>
      <c r="L83" s="467"/>
    </row>
    <row r="84" spans="1:12" s="466" customFormat="1" ht="27" customHeight="1" thickBot="1" x14ac:dyDescent="0.45">
      <c r="A84" s="463" t="s">
        <v>52</v>
      </c>
      <c r="B84" s="471">
        <v>1</v>
      </c>
      <c r="C84" s="717" t="s">
        <v>111</v>
      </c>
      <c r="D84" s="718"/>
      <c r="E84" s="718"/>
      <c r="F84" s="718"/>
      <c r="G84" s="718"/>
      <c r="H84" s="719"/>
      <c r="I84" s="467"/>
      <c r="J84" s="467"/>
      <c r="K84" s="467"/>
      <c r="L84" s="467"/>
    </row>
    <row r="85" spans="1:12" s="466" customFormat="1" ht="27" customHeight="1" thickBot="1" x14ac:dyDescent="0.45">
      <c r="A85" s="463" t="s">
        <v>54</v>
      </c>
      <c r="B85" s="471">
        <v>1</v>
      </c>
      <c r="C85" s="717" t="s">
        <v>112</v>
      </c>
      <c r="D85" s="718"/>
      <c r="E85" s="718"/>
      <c r="F85" s="718"/>
      <c r="G85" s="718"/>
      <c r="H85" s="719"/>
      <c r="I85" s="467"/>
      <c r="J85" s="467"/>
      <c r="K85" s="467"/>
      <c r="L85" s="467"/>
    </row>
    <row r="86" spans="1:12" s="466" customFormat="1" ht="18.75" x14ac:dyDescent="0.3">
      <c r="A86" s="463"/>
      <c r="B86" s="474"/>
      <c r="C86" s="475"/>
      <c r="D86" s="475"/>
      <c r="E86" s="475"/>
      <c r="F86" s="475"/>
      <c r="G86" s="475"/>
      <c r="H86" s="475"/>
      <c r="I86" s="467"/>
      <c r="J86" s="467"/>
      <c r="K86" s="467"/>
      <c r="L86" s="467"/>
    </row>
    <row r="87" spans="1:12" s="466" customFormat="1" ht="18.75" x14ac:dyDescent="0.3">
      <c r="A87" s="463" t="s">
        <v>56</v>
      </c>
      <c r="B87" s="476">
        <f>B84/B85</f>
        <v>1</v>
      </c>
      <c r="C87" s="451" t="s">
        <v>57</v>
      </c>
      <c r="D87" s="451"/>
      <c r="E87" s="451"/>
      <c r="F87" s="451"/>
      <c r="G87" s="451"/>
      <c r="I87" s="467"/>
      <c r="J87" s="467"/>
      <c r="K87" s="467"/>
      <c r="L87" s="467"/>
    </row>
    <row r="88" spans="1:12" ht="19.5" customHeight="1" thickBot="1" x14ac:dyDescent="0.35">
      <c r="A88" s="461"/>
      <c r="B88" s="461"/>
    </row>
    <row r="89" spans="1:12" ht="27" customHeight="1" thickBot="1" x14ac:dyDescent="0.45">
      <c r="A89" s="477" t="s">
        <v>58</v>
      </c>
      <c r="B89" s="478">
        <v>25</v>
      </c>
      <c r="D89" s="561" t="s">
        <v>59</v>
      </c>
      <c r="E89" s="562"/>
      <c r="F89" s="720" t="s">
        <v>60</v>
      </c>
      <c r="G89" s="721"/>
    </row>
    <row r="90" spans="1:12" ht="27" customHeight="1" thickBot="1" x14ac:dyDescent="0.45">
      <c r="A90" s="479" t="s">
        <v>61</v>
      </c>
      <c r="B90" s="480">
        <v>10</v>
      </c>
      <c r="C90" s="563" t="s">
        <v>62</v>
      </c>
      <c r="D90" s="482" t="s">
        <v>63</v>
      </c>
      <c r="E90" s="483" t="s">
        <v>64</v>
      </c>
      <c r="F90" s="482" t="s">
        <v>63</v>
      </c>
      <c r="G90" s="564" t="s">
        <v>64</v>
      </c>
      <c r="I90" s="485" t="s">
        <v>65</v>
      </c>
    </row>
    <row r="91" spans="1:12" ht="26.25" customHeight="1" x14ac:dyDescent="0.4">
      <c r="A91" s="479" t="s">
        <v>66</v>
      </c>
      <c r="B91" s="480">
        <v>20</v>
      </c>
      <c r="C91" s="565">
        <v>1</v>
      </c>
      <c r="D91" s="487">
        <v>193202554</v>
      </c>
      <c r="E91" s="488">
        <f>IF(ISBLANK(D91),"-",$D$101/$D$98*D91)</f>
        <v>198063629.66281447</v>
      </c>
      <c r="F91" s="487">
        <v>208770324</v>
      </c>
      <c r="G91" s="489">
        <f>IF(ISBLANK(F91),"-",$D$101/$F$98*F91)</f>
        <v>198466348.13740233</v>
      </c>
      <c r="I91" s="490"/>
    </row>
    <row r="92" spans="1:12" ht="26.25" customHeight="1" x14ac:dyDescent="0.4">
      <c r="A92" s="479" t="s">
        <v>67</v>
      </c>
      <c r="B92" s="480">
        <v>1</v>
      </c>
      <c r="C92" s="509">
        <v>2</v>
      </c>
      <c r="D92" s="492">
        <v>193110577</v>
      </c>
      <c r="E92" s="493">
        <f>IF(ISBLANK(D92),"-",$D$101/$D$98*D92)</f>
        <v>197969338.47417161</v>
      </c>
      <c r="F92" s="492">
        <v>206887666</v>
      </c>
      <c r="G92" s="494">
        <f>IF(ISBLANK(F92),"-",$D$101/$F$98*F92)</f>
        <v>196676609.77376562</v>
      </c>
      <c r="I92" s="704">
        <f>ABS((F96/D96*D95)-F95)/D95</f>
        <v>5.1419576124139242E-3</v>
      </c>
    </row>
    <row r="93" spans="1:12" ht="26.25" customHeight="1" x14ac:dyDescent="0.4">
      <c r="A93" s="479" t="s">
        <v>68</v>
      </c>
      <c r="B93" s="480">
        <v>1</v>
      </c>
      <c r="C93" s="509">
        <v>3</v>
      </c>
      <c r="D93" s="492">
        <v>195671070</v>
      </c>
      <c r="E93" s="493">
        <f>IF(ISBLANK(D93),"-",$D$101/$D$98*D93)</f>
        <v>200594254.79544461</v>
      </c>
      <c r="F93" s="492">
        <v>208952387</v>
      </c>
      <c r="G93" s="494">
        <f>IF(ISBLANK(F93),"-",$D$101/$F$98*F93)</f>
        <v>198639425.31642199</v>
      </c>
      <c r="I93" s="704"/>
    </row>
    <row r="94" spans="1:12" ht="27" customHeight="1" thickBot="1" x14ac:dyDescent="0.45">
      <c r="A94" s="479" t="s">
        <v>69</v>
      </c>
      <c r="B94" s="480">
        <v>1</v>
      </c>
      <c r="C94" s="566">
        <v>4</v>
      </c>
      <c r="D94" s="496"/>
      <c r="E94" s="497" t="str">
        <f>IF(ISBLANK(D94),"-",$D$101/$D$98*D94)</f>
        <v>-</v>
      </c>
      <c r="F94" s="567"/>
      <c r="G94" s="498" t="str">
        <f>IF(ISBLANK(F94),"-",$D$101/$F$98*F94)</f>
        <v>-</v>
      </c>
      <c r="I94" s="499"/>
    </row>
    <row r="95" spans="1:12" ht="27" customHeight="1" thickBot="1" x14ac:dyDescent="0.45">
      <c r="A95" s="479" t="s">
        <v>70</v>
      </c>
      <c r="B95" s="480">
        <v>1</v>
      </c>
      <c r="C95" s="463" t="s">
        <v>71</v>
      </c>
      <c r="D95" s="568">
        <f>AVERAGE(D91:D94)</f>
        <v>193994733.66666666</v>
      </c>
      <c r="E95" s="502">
        <f>AVERAGE(E91:E94)</f>
        <v>198875740.97747692</v>
      </c>
      <c r="F95" s="569">
        <f>AVERAGE(F91:F94)</f>
        <v>208203459</v>
      </c>
      <c r="G95" s="570">
        <f>AVERAGE(G91:G94)</f>
        <v>197927461.07586333</v>
      </c>
    </row>
    <row r="96" spans="1:12" ht="26.25" customHeight="1" x14ac:dyDescent="0.4">
      <c r="A96" s="479" t="s">
        <v>72</v>
      </c>
      <c r="B96" s="464">
        <v>1</v>
      </c>
      <c r="C96" s="571" t="s">
        <v>113</v>
      </c>
      <c r="D96" s="572">
        <v>29.47</v>
      </c>
      <c r="E96" s="451"/>
      <c r="F96" s="506">
        <v>31.78</v>
      </c>
    </row>
    <row r="97" spans="1:10" ht="26.25" customHeight="1" x14ac:dyDescent="0.4">
      <c r="A97" s="479" t="s">
        <v>74</v>
      </c>
      <c r="B97" s="464">
        <v>1</v>
      </c>
      <c r="C97" s="573" t="s">
        <v>114</v>
      </c>
      <c r="D97" s="574">
        <f>D96*$B$87</f>
        <v>29.47</v>
      </c>
      <c r="E97" s="509"/>
      <c r="F97" s="508">
        <f>F96*$B$87</f>
        <v>31.78</v>
      </c>
    </row>
    <row r="98" spans="1:10" ht="19.5" customHeight="1" thickBot="1" x14ac:dyDescent="0.35">
      <c r="A98" s="479" t="s">
        <v>76</v>
      </c>
      <c r="B98" s="509">
        <f>(B97/B96)*(B95/B94)*(B93/B92)*(B91/B90)*B89</f>
        <v>50</v>
      </c>
      <c r="C98" s="573" t="s">
        <v>115</v>
      </c>
      <c r="D98" s="575">
        <f>D97*$B$83/100</f>
        <v>29.263709999999996</v>
      </c>
      <c r="E98" s="511"/>
      <c r="F98" s="510">
        <f>F97*$B$83/100</f>
        <v>31.557539999999999</v>
      </c>
    </row>
    <row r="99" spans="1:10" ht="19.5" customHeight="1" thickBot="1" x14ac:dyDescent="0.35">
      <c r="A99" s="705" t="s">
        <v>78</v>
      </c>
      <c r="B99" s="706"/>
      <c r="C99" s="573" t="s">
        <v>116</v>
      </c>
      <c r="D99" s="576">
        <f>D98/$B$98</f>
        <v>0.58527419999999997</v>
      </c>
      <c r="E99" s="511"/>
      <c r="F99" s="514">
        <f>F98/$B$98</f>
        <v>0.63115080000000001</v>
      </c>
      <c r="H99" s="504"/>
    </row>
    <row r="100" spans="1:10" ht="19.5" customHeight="1" thickBot="1" x14ac:dyDescent="0.35">
      <c r="A100" s="707"/>
      <c r="B100" s="708"/>
      <c r="C100" s="573" t="s">
        <v>80</v>
      </c>
      <c r="D100" s="577">
        <f>$B$56/$B$116</f>
        <v>0.6</v>
      </c>
      <c r="F100" s="519"/>
      <c r="G100" s="578"/>
      <c r="H100" s="504"/>
    </row>
    <row r="101" spans="1:10" ht="18.75" x14ac:dyDescent="0.3">
      <c r="C101" s="573" t="s">
        <v>81</v>
      </c>
      <c r="D101" s="574">
        <f>D100*$B$98</f>
        <v>30</v>
      </c>
      <c r="F101" s="519"/>
      <c r="H101" s="504"/>
    </row>
    <row r="102" spans="1:10" ht="19.5" customHeight="1" thickBot="1" x14ac:dyDescent="0.35">
      <c r="C102" s="579" t="s">
        <v>82</v>
      </c>
      <c r="D102" s="580">
        <f>D101/B34</f>
        <v>30</v>
      </c>
      <c r="F102" s="523"/>
      <c r="H102" s="504"/>
      <c r="J102" s="581"/>
    </row>
    <row r="103" spans="1:10" ht="18.75" x14ac:dyDescent="0.3">
      <c r="C103" s="582" t="s">
        <v>117</v>
      </c>
      <c r="D103" s="583">
        <f>AVERAGE(E91:E94,G91:G94)</f>
        <v>198401601.0266701</v>
      </c>
      <c r="F103" s="523"/>
      <c r="G103" s="578"/>
      <c r="H103" s="504"/>
      <c r="J103" s="584"/>
    </row>
    <row r="104" spans="1:10" ht="18.75" x14ac:dyDescent="0.3">
      <c r="C104" s="556" t="s">
        <v>84</v>
      </c>
      <c r="D104" s="585">
        <f>STDEV(E91:E94,G91:G94)/D103</f>
        <v>6.4330875561143808E-3</v>
      </c>
      <c r="F104" s="523"/>
      <c r="H104" s="504"/>
      <c r="J104" s="584"/>
    </row>
    <row r="105" spans="1:10" ht="19.5" customHeight="1" thickBot="1" x14ac:dyDescent="0.35">
      <c r="C105" s="558" t="s">
        <v>20</v>
      </c>
      <c r="D105" s="586">
        <f>COUNT(E91:E94,G91:G94)</f>
        <v>6</v>
      </c>
      <c r="F105" s="523"/>
      <c r="H105" s="504"/>
      <c r="J105" s="584"/>
    </row>
    <row r="106" spans="1:10" ht="19.5" customHeight="1" thickBot="1" x14ac:dyDescent="0.35">
      <c r="A106" s="527"/>
      <c r="B106" s="527"/>
      <c r="C106" s="527"/>
      <c r="D106" s="527"/>
      <c r="E106" s="527"/>
    </row>
    <row r="107" spans="1:10" ht="26.25" customHeight="1" x14ac:dyDescent="0.4">
      <c r="A107" s="477" t="s">
        <v>118</v>
      </c>
      <c r="B107" s="478">
        <v>1000</v>
      </c>
      <c r="C107" s="561" t="s">
        <v>119</v>
      </c>
      <c r="D107" s="587" t="s">
        <v>63</v>
      </c>
      <c r="E107" s="588" t="s">
        <v>120</v>
      </c>
      <c r="F107" s="589" t="s">
        <v>121</v>
      </c>
    </row>
    <row r="108" spans="1:10" ht="26.25" customHeight="1" x14ac:dyDescent="0.4">
      <c r="A108" s="479" t="s">
        <v>122</v>
      </c>
      <c r="B108" s="480">
        <v>1</v>
      </c>
      <c r="C108" s="590">
        <v>1</v>
      </c>
      <c r="D108" s="591">
        <v>202657960</v>
      </c>
      <c r="E108" s="592">
        <f t="shared" ref="E108:E113" si="1">IF(ISBLANK(D108),"-",D108/$D$103*$D$100*$B$116)</f>
        <v>612.87194947411047</v>
      </c>
      <c r="F108" s="593">
        <f t="shared" ref="F108:F113" si="2">IF(ISBLANK(D108), "-", E108/$B$56)</f>
        <v>1.0214532491235175</v>
      </c>
    </row>
    <row r="109" spans="1:10" ht="26.25" customHeight="1" x14ac:dyDescent="0.4">
      <c r="A109" s="479" t="s">
        <v>95</v>
      </c>
      <c r="B109" s="480">
        <v>1</v>
      </c>
      <c r="C109" s="590">
        <v>2</v>
      </c>
      <c r="D109" s="591">
        <v>200941447</v>
      </c>
      <c r="E109" s="594">
        <f t="shared" si="1"/>
        <v>607.68092382376039</v>
      </c>
      <c r="F109" s="595">
        <f t="shared" si="2"/>
        <v>1.0128015397062673</v>
      </c>
    </row>
    <row r="110" spans="1:10" ht="26.25" customHeight="1" x14ac:dyDescent="0.4">
      <c r="A110" s="479" t="s">
        <v>96</v>
      </c>
      <c r="B110" s="480">
        <v>1</v>
      </c>
      <c r="C110" s="590">
        <v>3</v>
      </c>
      <c r="D110" s="591">
        <v>202633572</v>
      </c>
      <c r="E110" s="594">
        <f t="shared" si="1"/>
        <v>612.79819603702003</v>
      </c>
      <c r="F110" s="595">
        <f t="shared" si="2"/>
        <v>1.0213303267283667</v>
      </c>
    </row>
    <row r="111" spans="1:10" ht="26.25" customHeight="1" x14ac:dyDescent="0.4">
      <c r="A111" s="479" t="s">
        <v>97</v>
      </c>
      <c r="B111" s="480">
        <v>1</v>
      </c>
      <c r="C111" s="590">
        <v>4</v>
      </c>
      <c r="D111" s="591">
        <v>198673089</v>
      </c>
      <c r="E111" s="594">
        <f t="shared" si="1"/>
        <v>600.82102555198662</v>
      </c>
      <c r="F111" s="595">
        <f t="shared" si="2"/>
        <v>1.0013683759199776</v>
      </c>
    </row>
    <row r="112" spans="1:10" ht="26.25" customHeight="1" x14ac:dyDescent="0.4">
      <c r="A112" s="479" t="s">
        <v>98</v>
      </c>
      <c r="B112" s="480">
        <v>1</v>
      </c>
      <c r="C112" s="590">
        <v>5</v>
      </c>
      <c r="D112" s="591">
        <v>198669899</v>
      </c>
      <c r="E112" s="594">
        <f t="shared" si="1"/>
        <v>600.81137845241631</v>
      </c>
      <c r="F112" s="595">
        <f t="shared" si="2"/>
        <v>1.0013522974206939</v>
      </c>
    </row>
    <row r="113" spans="1:10" ht="26.25" customHeight="1" x14ac:dyDescent="0.4">
      <c r="A113" s="479" t="s">
        <v>100</v>
      </c>
      <c r="B113" s="480">
        <v>1</v>
      </c>
      <c r="C113" s="596">
        <v>6</v>
      </c>
      <c r="D113" s="597">
        <v>198385816</v>
      </c>
      <c r="E113" s="598">
        <f t="shared" si="1"/>
        <v>599.95226340940269</v>
      </c>
      <c r="F113" s="599">
        <f t="shared" si="2"/>
        <v>0.99992043901567118</v>
      </c>
    </row>
    <row r="114" spans="1:10" ht="26.25" customHeight="1" x14ac:dyDescent="0.4">
      <c r="A114" s="479" t="s">
        <v>101</v>
      </c>
      <c r="B114" s="480">
        <v>1</v>
      </c>
      <c r="C114" s="590"/>
      <c r="D114" s="509"/>
      <c r="E114" s="451"/>
      <c r="F114" s="600"/>
    </row>
    <row r="115" spans="1:10" ht="26.25" customHeight="1" x14ac:dyDescent="0.4">
      <c r="A115" s="479" t="s">
        <v>102</v>
      </c>
      <c r="B115" s="480">
        <v>1</v>
      </c>
      <c r="C115" s="590"/>
      <c r="D115" s="601" t="s">
        <v>71</v>
      </c>
      <c r="E115" s="602">
        <f>AVERAGE(E108:E113)</f>
        <v>605.82262279144948</v>
      </c>
      <c r="F115" s="603">
        <f>AVERAGE(F108:F113)</f>
        <v>1.0097043713190825</v>
      </c>
    </row>
    <row r="116" spans="1:10" ht="27" customHeight="1" thickBot="1" x14ac:dyDescent="0.45">
      <c r="A116" s="479" t="s">
        <v>103</v>
      </c>
      <c r="B116" s="491">
        <f>(B115/B114)*(B113/B112)*(B111/B110)*(B109/B108)*B107</f>
        <v>1000</v>
      </c>
      <c r="C116" s="604"/>
      <c r="D116" s="463" t="s">
        <v>84</v>
      </c>
      <c r="E116" s="605">
        <f>STDEV(E108:E113)/E115</f>
        <v>1.0078273634644889E-2</v>
      </c>
      <c r="F116" s="605">
        <f>STDEV(F108:F113)/F115</f>
        <v>1.0078273634644894E-2</v>
      </c>
      <c r="I116" s="451"/>
    </row>
    <row r="117" spans="1:10" ht="27" customHeight="1" thickBot="1" x14ac:dyDescent="0.45">
      <c r="A117" s="705" t="s">
        <v>78</v>
      </c>
      <c r="B117" s="709"/>
      <c r="C117" s="606"/>
      <c r="D117" s="607" t="s">
        <v>20</v>
      </c>
      <c r="E117" s="608">
        <f>COUNT(E108:E113)</f>
        <v>6</v>
      </c>
      <c r="F117" s="608">
        <f>COUNT(F108:F113)</f>
        <v>6</v>
      </c>
      <c r="I117" s="451"/>
      <c r="J117" s="584"/>
    </row>
    <row r="118" spans="1:10" ht="19.5" customHeight="1" thickBot="1" x14ac:dyDescent="0.35">
      <c r="A118" s="707"/>
      <c r="B118" s="710"/>
      <c r="C118" s="451"/>
      <c r="D118" s="451"/>
      <c r="E118" s="451"/>
      <c r="F118" s="509"/>
      <c r="G118" s="451"/>
      <c r="H118" s="451"/>
      <c r="I118" s="451"/>
    </row>
    <row r="119" spans="1:10" ht="18.75" x14ac:dyDescent="0.3">
      <c r="A119" s="609"/>
      <c r="B119" s="475"/>
      <c r="C119" s="451"/>
      <c r="D119" s="451"/>
      <c r="E119" s="451"/>
      <c r="F119" s="509"/>
      <c r="G119" s="451"/>
      <c r="H119" s="451"/>
      <c r="I119" s="451"/>
    </row>
    <row r="120" spans="1:10" ht="26.25" customHeight="1" x14ac:dyDescent="0.4">
      <c r="A120" s="462" t="s">
        <v>106</v>
      </c>
      <c r="B120" s="463" t="s">
        <v>123</v>
      </c>
      <c r="C120" s="711" t="str">
        <f>B20</f>
        <v>Efavirenz 600mg, Lamivudine 300mg and Tenofovir Disoproxil Fumarate 300mg Tablets</v>
      </c>
      <c r="D120" s="711"/>
      <c r="E120" s="451" t="s">
        <v>124</v>
      </c>
      <c r="F120" s="451"/>
      <c r="G120" s="560">
        <f>F115</f>
        <v>1.0097043713190825</v>
      </c>
      <c r="H120" s="451"/>
      <c r="I120" s="451"/>
    </row>
    <row r="121" spans="1:10" ht="19.5" customHeight="1" thickBot="1" x14ac:dyDescent="0.35">
      <c r="A121" s="610"/>
      <c r="B121" s="610"/>
      <c r="C121" s="611"/>
      <c r="D121" s="611"/>
      <c r="E121" s="611"/>
      <c r="F121" s="611"/>
      <c r="G121" s="611"/>
      <c r="H121" s="611"/>
    </row>
    <row r="122" spans="1:10" ht="18.75" x14ac:dyDescent="0.3">
      <c r="B122" s="712" t="s">
        <v>26</v>
      </c>
      <c r="C122" s="712"/>
      <c r="E122" s="563" t="s">
        <v>27</v>
      </c>
      <c r="F122" s="612"/>
      <c r="G122" s="712" t="s">
        <v>28</v>
      </c>
      <c r="H122" s="712"/>
    </row>
    <row r="123" spans="1:10" ht="69.95" customHeight="1" x14ac:dyDescent="0.3">
      <c r="A123" s="462" t="s">
        <v>29</v>
      </c>
      <c r="B123" s="613"/>
      <c r="C123" s="613"/>
      <c r="E123" s="613"/>
      <c r="F123" s="451"/>
      <c r="G123" s="613"/>
      <c r="H123" s="613"/>
    </row>
    <row r="124" spans="1:10" ht="69.95" customHeight="1" x14ac:dyDescent="0.3">
      <c r="A124" s="462" t="s">
        <v>30</v>
      </c>
      <c r="B124" s="614"/>
      <c r="C124" s="614"/>
      <c r="E124" s="614"/>
      <c r="F124" s="451"/>
      <c r="G124" s="615"/>
      <c r="H124" s="615"/>
    </row>
    <row r="125" spans="1:10" ht="18.75" x14ac:dyDescent="0.3">
      <c r="A125" s="509"/>
      <c r="B125" s="509"/>
      <c r="C125" s="509"/>
      <c r="D125" s="509"/>
      <c r="E125" s="509"/>
      <c r="F125" s="511"/>
      <c r="G125" s="509"/>
      <c r="H125" s="509"/>
      <c r="I125" s="451"/>
    </row>
    <row r="126" spans="1:10" ht="18.75" x14ac:dyDescent="0.3">
      <c r="A126" s="509"/>
      <c r="B126" s="509"/>
      <c r="C126" s="509"/>
      <c r="D126" s="509"/>
      <c r="E126" s="509"/>
      <c r="F126" s="511"/>
      <c r="G126" s="509"/>
      <c r="H126" s="509"/>
      <c r="I126" s="451"/>
    </row>
    <row r="127" spans="1:10" ht="18.75" x14ac:dyDescent="0.3">
      <c r="A127" s="509"/>
      <c r="B127" s="509"/>
      <c r="C127" s="509"/>
      <c r="D127" s="509"/>
      <c r="E127" s="509"/>
      <c r="F127" s="511"/>
      <c r="G127" s="509"/>
      <c r="H127" s="509"/>
      <c r="I127" s="451"/>
    </row>
    <row r="128" spans="1:10" ht="18.75" x14ac:dyDescent="0.3">
      <c r="A128" s="509"/>
      <c r="B128" s="509"/>
      <c r="C128" s="509"/>
      <c r="D128" s="509"/>
      <c r="E128" s="509"/>
      <c r="F128" s="511"/>
      <c r="G128" s="509"/>
      <c r="H128" s="509"/>
      <c r="I128" s="451"/>
    </row>
    <row r="129" spans="1:9" ht="18.75" x14ac:dyDescent="0.3">
      <c r="A129" s="509"/>
      <c r="B129" s="509"/>
      <c r="C129" s="509"/>
      <c r="D129" s="509"/>
      <c r="E129" s="509"/>
      <c r="F129" s="511"/>
      <c r="G129" s="509"/>
      <c r="H129" s="509"/>
      <c r="I129" s="451"/>
    </row>
    <row r="130" spans="1:9" ht="18.75" x14ac:dyDescent="0.3">
      <c r="A130" s="509"/>
      <c r="B130" s="509"/>
      <c r="C130" s="509"/>
      <c r="D130" s="509"/>
      <c r="E130" s="509"/>
      <c r="F130" s="511"/>
      <c r="G130" s="509"/>
      <c r="H130" s="509"/>
      <c r="I130" s="451"/>
    </row>
    <row r="131" spans="1:9" ht="18.75" x14ac:dyDescent="0.3">
      <c r="A131" s="509"/>
      <c r="B131" s="509"/>
      <c r="C131" s="509"/>
      <c r="D131" s="509"/>
      <c r="E131" s="509"/>
      <c r="F131" s="511"/>
      <c r="G131" s="509"/>
      <c r="H131" s="509"/>
      <c r="I131" s="451"/>
    </row>
    <row r="132" spans="1:9" ht="18.75" x14ac:dyDescent="0.3">
      <c r="A132" s="509"/>
      <c r="B132" s="509"/>
      <c r="C132" s="509"/>
      <c r="D132" s="509"/>
      <c r="E132" s="509"/>
      <c r="F132" s="511"/>
      <c r="G132" s="509"/>
      <c r="H132" s="509"/>
      <c r="I132" s="451"/>
    </row>
    <row r="133" spans="1:9" ht="18.75" x14ac:dyDescent="0.3">
      <c r="A133" s="509"/>
      <c r="B133" s="509"/>
      <c r="C133" s="509"/>
      <c r="D133" s="509"/>
      <c r="E133" s="509"/>
      <c r="F133" s="511"/>
      <c r="G133" s="509"/>
      <c r="H133" s="509"/>
      <c r="I133" s="451"/>
    </row>
    <row r="250" spans="1:1" x14ac:dyDescent="0.25">
      <c r="A250" s="450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LAMIVUDINE</vt:lpstr>
      <vt:lpstr>SST TENOFOVIR</vt:lpstr>
      <vt:lpstr>SST EFAVIRENZ</vt:lpstr>
      <vt:lpstr>Uniformity</vt:lpstr>
      <vt:lpstr>Lamivudine</vt:lpstr>
      <vt:lpstr>Tenofovir Disoproxil Fumarate</vt:lpstr>
      <vt:lpstr>Efavirenz</vt:lpstr>
      <vt:lpstr>Efavirenz!Print_Area</vt:lpstr>
      <vt:lpstr>Lamivudine!Print_Area</vt:lpstr>
      <vt:lpstr>'SST EFAVIRENZ'!Print_Area</vt:lpstr>
      <vt:lpstr>'SST LAMIVUDINE'!Print_Area</vt:lpstr>
      <vt:lpstr>'SST TENOFOVIR'!Print_Area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2016-05-20T11:45:57Z</cp:lastPrinted>
  <dcterms:created xsi:type="dcterms:W3CDTF">2005-07-05T10:19:27Z</dcterms:created>
  <dcterms:modified xsi:type="dcterms:W3CDTF">2016-05-23T06:20:46Z</dcterms:modified>
</cp:coreProperties>
</file>