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firstSheet="1" activeTab="4"/>
  </bookViews>
  <sheets>
    <sheet name="SST LAMIVUDINE" sheetId="6" r:id="rId1"/>
    <sheet name="SST TENOFOVIR" sheetId="7" r:id="rId2"/>
    <sheet name="SST EFAVIRENZ" sheetId="8" r:id="rId3"/>
    <sheet name="Uniformity" sheetId="2" r:id="rId4"/>
    <sheet name="Lamivudine" sheetId="12" r:id="rId5"/>
    <sheet name="Tenofovir Disoproxil Fumarate" sheetId="13" r:id="rId6"/>
    <sheet name="Efavirenz" sheetId="14" r:id="rId7"/>
  </sheets>
  <definedNames>
    <definedName name="_xlnm.Print_Area" localSheetId="6">Efavirenz!$A$1:$I$124</definedName>
    <definedName name="_xlnm.Print_Area" localSheetId="4">Lamivudine!$A$1:$I$124</definedName>
    <definedName name="_xlnm.Print_Area" localSheetId="2">'SST EFAVIRENZ'!$A$15:$G$61</definedName>
    <definedName name="_xlnm.Print_Area" localSheetId="0">'SST LAMIVUDINE'!$A$15:$G$61</definedName>
    <definedName name="_xlnm.Print_Area" localSheetId="1">'SST TENOFOVIR'!$A$15:$G$61</definedName>
    <definedName name="_xlnm.Print_Area" localSheetId="5">'Tenofovir Disoproxil Fumarate'!$A$1:$I$124</definedName>
    <definedName name="_xlnm.Print_Area" localSheetId="3">Uniformity!$A$12:$F$54</definedName>
  </definedNames>
  <calcPr calcId="145621"/>
</workbook>
</file>

<file path=xl/calcChain.xml><?xml version="1.0" encoding="utf-8"?>
<calcChain xmlns="http://schemas.openxmlformats.org/spreadsheetml/2006/main">
  <c r="B40" i="6" l="1"/>
  <c r="B57" i="14" l="1"/>
  <c r="B57" i="13"/>
  <c r="B57" i="12"/>
  <c r="C120" i="14"/>
  <c r="B116" i="14"/>
  <c r="D101" i="14"/>
  <c r="D102" i="14" s="1"/>
  <c r="D100" i="14"/>
  <c r="B98" i="14"/>
  <c r="F97" i="14"/>
  <c r="D97" i="14"/>
  <c r="D98" i="14" s="1"/>
  <c r="F95" i="14"/>
  <c r="D95" i="14"/>
  <c r="G94" i="14"/>
  <c r="E94" i="14"/>
  <c r="I92" i="14"/>
  <c r="B87" i="14"/>
  <c r="B81" i="14"/>
  <c r="B83" i="14" s="1"/>
  <c r="F98" i="14" s="1"/>
  <c r="B80" i="14"/>
  <c r="B79" i="14"/>
  <c r="C76" i="14"/>
  <c r="H71" i="14"/>
  <c r="G71" i="14"/>
  <c r="B68" i="14"/>
  <c r="H67" i="14"/>
  <c r="G67" i="14"/>
  <c r="H63" i="14"/>
  <c r="G63" i="14"/>
  <c r="B69" i="14"/>
  <c r="C56" i="14"/>
  <c r="B55" i="14"/>
  <c r="B45" i="14"/>
  <c r="D48" i="14" s="1"/>
  <c r="F42" i="14"/>
  <c r="I39" i="14" s="1"/>
  <c r="D42" i="14"/>
  <c r="G41" i="14"/>
  <c r="E41" i="14"/>
  <c r="B34" i="14"/>
  <c r="F44" i="14" s="1"/>
  <c r="F45" i="14" s="1"/>
  <c r="F46" i="14" s="1"/>
  <c r="B30" i="14"/>
  <c r="C120" i="13"/>
  <c r="B116" i="13"/>
  <c r="D100" i="13"/>
  <c r="B98" i="13"/>
  <c r="D101" i="13" s="1"/>
  <c r="F95" i="13"/>
  <c r="I92" i="13" s="1"/>
  <c r="D95" i="13"/>
  <c r="G94" i="13"/>
  <c r="E94" i="13"/>
  <c r="B87" i="13"/>
  <c r="F97" i="13" s="1"/>
  <c r="F98" i="13" s="1"/>
  <c r="F99" i="13" s="1"/>
  <c r="B83" i="13"/>
  <c r="B81" i="13"/>
  <c r="B80" i="13"/>
  <c r="B79" i="13"/>
  <c r="C76" i="13"/>
  <c r="H71" i="13"/>
  <c r="G71" i="13"/>
  <c r="B68" i="13"/>
  <c r="B69" i="13" s="1"/>
  <c r="H67" i="13"/>
  <c r="G67" i="13"/>
  <c r="H63" i="13"/>
  <c r="G63" i="13"/>
  <c r="C56" i="13"/>
  <c r="B55" i="13"/>
  <c r="B45" i="13"/>
  <c r="D48" i="13" s="1"/>
  <c r="F44" i="13"/>
  <c r="F45" i="13" s="1"/>
  <c r="F46" i="13" s="1"/>
  <c r="F42" i="13"/>
  <c r="D42" i="13"/>
  <c r="I39" i="13" s="1"/>
  <c r="G41" i="13"/>
  <c r="E41" i="13"/>
  <c r="B34" i="13"/>
  <c r="D44" i="13" s="1"/>
  <c r="D45" i="13" s="1"/>
  <c r="D46" i="13" s="1"/>
  <c r="B30" i="13"/>
  <c r="C120" i="12"/>
  <c r="B116" i="12"/>
  <c r="D101" i="12"/>
  <c r="D102" i="12" s="1"/>
  <c r="D100" i="12"/>
  <c r="B98" i="12"/>
  <c r="F97" i="12"/>
  <c r="D97" i="12"/>
  <c r="D98" i="12" s="1"/>
  <c r="F95" i="12"/>
  <c r="D95" i="12"/>
  <c r="G94" i="12"/>
  <c r="E94" i="12"/>
  <c r="I92" i="12"/>
  <c r="B87" i="12"/>
  <c r="B81" i="12"/>
  <c r="B83" i="12" s="1"/>
  <c r="F98" i="12" s="1"/>
  <c r="B80" i="12"/>
  <c r="B79" i="12"/>
  <c r="C76" i="12"/>
  <c r="H71" i="12"/>
  <c r="G71" i="12"/>
  <c r="B68" i="12"/>
  <c r="H67" i="12"/>
  <c r="G67" i="12"/>
  <c r="H63" i="12"/>
  <c r="G63" i="12"/>
  <c r="B69" i="12"/>
  <c r="C56" i="12"/>
  <c r="B55" i="12"/>
  <c r="B45" i="12"/>
  <c r="D48" i="12" s="1"/>
  <c r="F42" i="12"/>
  <c r="I39" i="12" s="1"/>
  <c r="D42" i="12"/>
  <c r="G41" i="12"/>
  <c r="E41" i="12"/>
  <c r="B34" i="12"/>
  <c r="F44" i="12" s="1"/>
  <c r="F45" i="12" s="1"/>
  <c r="F46" i="12" s="1"/>
  <c r="B30" i="12"/>
  <c r="D99" i="14" l="1"/>
  <c r="E93" i="14"/>
  <c r="E91" i="14"/>
  <c r="G91" i="14"/>
  <c r="F99" i="14"/>
  <c r="D49" i="14"/>
  <c r="E40" i="14"/>
  <c r="G39" i="14"/>
  <c r="G40" i="14"/>
  <c r="E39" i="14"/>
  <c r="G38" i="14"/>
  <c r="D44" i="14"/>
  <c r="D45" i="14" s="1"/>
  <c r="D46" i="14" s="1"/>
  <c r="G92" i="14"/>
  <c r="E92" i="14"/>
  <c r="G93" i="14"/>
  <c r="D49" i="13"/>
  <c r="E40" i="13"/>
  <c r="G38" i="13"/>
  <c r="G40" i="13"/>
  <c r="E38" i="13"/>
  <c r="E39" i="13"/>
  <c r="G39" i="13"/>
  <c r="D102" i="13"/>
  <c r="G93" i="13"/>
  <c r="E92" i="13"/>
  <c r="G91" i="13"/>
  <c r="G92" i="13"/>
  <c r="E91" i="13"/>
  <c r="D97" i="13"/>
  <c r="D98" i="13" s="1"/>
  <c r="D99" i="13" s="1"/>
  <c r="D99" i="12"/>
  <c r="E91" i="12"/>
  <c r="E93" i="12"/>
  <c r="G91" i="12"/>
  <c r="F99" i="12"/>
  <c r="G39" i="12"/>
  <c r="G40" i="12"/>
  <c r="D49" i="12"/>
  <c r="E40" i="12"/>
  <c r="G38" i="12"/>
  <c r="D44" i="12"/>
  <c r="D45" i="12" s="1"/>
  <c r="D46" i="12" s="1"/>
  <c r="G92" i="12"/>
  <c r="E92" i="12"/>
  <c r="G93" i="12"/>
  <c r="E95" i="14" l="1"/>
  <c r="D105" i="14"/>
  <c r="D103" i="14"/>
  <c r="G42" i="14"/>
  <c r="E38" i="14"/>
  <c r="G95" i="14"/>
  <c r="E95" i="13"/>
  <c r="D105" i="13"/>
  <c r="D52" i="13"/>
  <c r="E42" i="13"/>
  <c r="D50" i="13"/>
  <c r="G95" i="13"/>
  <c r="E93" i="13"/>
  <c r="D103" i="13" s="1"/>
  <c r="G42" i="13"/>
  <c r="E95" i="12"/>
  <c r="D105" i="12"/>
  <c r="D103" i="12"/>
  <c r="E38" i="12"/>
  <c r="E39" i="12"/>
  <c r="G95" i="12"/>
  <c r="G42" i="12"/>
  <c r="E112" i="14" l="1"/>
  <c r="F112" i="14" s="1"/>
  <c r="E110" i="14"/>
  <c r="F110" i="14" s="1"/>
  <c r="E108" i="14"/>
  <c r="E113" i="14"/>
  <c r="F113" i="14" s="1"/>
  <c r="E111" i="14"/>
  <c r="F111" i="14" s="1"/>
  <c r="E109" i="14"/>
  <c r="F109" i="14" s="1"/>
  <c r="D104" i="14"/>
  <c r="D50" i="14"/>
  <c r="E42" i="14"/>
  <c r="D52" i="14"/>
  <c r="E112" i="13"/>
  <c r="F112" i="13" s="1"/>
  <c r="E110" i="13"/>
  <c r="F110" i="13" s="1"/>
  <c r="E108" i="13"/>
  <c r="E113" i="13"/>
  <c r="F113" i="13" s="1"/>
  <c r="E111" i="13"/>
  <c r="F111" i="13" s="1"/>
  <c r="E109" i="13"/>
  <c r="F109" i="13" s="1"/>
  <c r="D104" i="13"/>
  <c r="G68" i="13"/>
  <c r="H68" i="13" s="1"/>
  <c r="G69" i="13"/>
  <c r="H69" i="13" s="1"/>
  <c r="G66" i="13"/>
  <c r="H66" i="13" s="1"/>
  <c r="G64" i="13"/>
  <c r="H64" i="13" s="1"/>
  <c r="G62" i="13"/>
  <c r="H62" i="13" s="1"/>
  <c r="G60" i="13"/>
  <c r="D51" i="13"/>
  <c r="G70" i="13"/>
  <c r="H70" i="13" s="1"/>
  <c r="G65" i="13"/>
  <c r="H65" i="13" s="1"/>
  <c r="G61" i="13"/>
  <c r="H61" i="13" s="1"/>
  <c r="D52" i="12"/>
  <c r="D50" i="12"/>
  <c r="E42" i="12"/>
  <c r="E112" i="12"/>
  <c r="F112" i="12" s="1"/>
  <c r="E110" i="12"/>
  <c r="F110" i="12" s="1"/>
  <c r="E108" i="12"/>
  <c r="E113" i="12"/>
  <c r="F113" i="12" s="1"/>
  <c r="E111" i="12"/>
  <c r="F111" i="12" s="1"/>
  <c r="E109" i="12"/>
  <c r="F109" i="12" s="1"/>
  <c r="D104" i="12"/>
  <c r="E115" i="14" l="1"/>
  <c r="E116" i="14" s="1"/>
  <c r="E117" i="14"/>
  <c r="F108" i="14"/>
  <c r="G64" i="14"/>
  <c r="H64" i="14" s="1"/>
  <c r="G69" i="14"/>
  <c r="H69" i="14" s="1"/>
  <c r="G60" i="14"/>
  <c r="D51" i="14"/>
  <c r="G70" i="14"/>
  <c r="H70" i="14" s="1"/>
  <c r="G65" i="14"/>
  <c r="H65" i="14" s="1"/>
  <c r="G61" i="14"/>
  <c r="H61" i="14" s="1"/>
  <c r="G68" i="14"/>
  <c r="H68" i="14" s="1"/>
  <c r="G66" i="14"/>
  <c r="H66" i="14" s="1"/>
  <c r="G62" i="14"/>
  <c r="H62" i="14" s="1"/>
  <c r="E115" i="13"/>
  <c r="E116" i="13" s="1"/>
  <c r="E117" i="13"/>
  <c r="F108" i="13"/>
  <c r="H60" i="13"/>
  <c r="G72" i="13"/>
  <c r="G73" i="13" s="1"/>
  <c r="G74" i="13"/>
  <c r="E115" i="12"/>
  <c r="E116" i="12" s="1"/>
  <c r="E117" i="12"/>
  <c r="F108" i="12"/>
  <c r="G68" i="12"/>
  <c r="H68" i="12" s="1"/>
  <c r="G66" i="12"/>
  <c r="H66" i="12" s="1"/>
  <c r="G62" i="12"/>
  <c r="H62" i="12" s="1"/>
  <c r="G69" i="12"/>
  <c r="H69" i="12" s="1"/>
  <c r="G64" i="12"/>
  <c r="H64" i="12" s="1"/>
  <c r="D51" i="12"/>
  <c r="G70" i="12"/>
  <c r="H70" i="12" s="1"/>
  <c r="G65" i="12"/>
  <c r="H65" i="12" s="1"/>
  <c r="G61" i="12"/>
  <c r="H61" i="12" s="1"/>
  <c r="G60" i="12"/>
  <c r="F117" i="14" l="1"/>
  <c r="F115" i="14"/>
  <c r="G74" i="14"/>
  <c r="G72" i="14"/>
  <c r="G73" i="14" s="1"/>
  <c r="H60" i="14"/>
  <c r="H74" i="13"/>
  <c r="H72" i="13"/>
  <c r="F117" i="13"/>
  <c r="F115" i="13"/>
  <c r="G74" i="12"/>
  <c r="G72" i="12"/>
  <c r="G73" i="12" s="1"/>
  <c r="H60" i="12"/>
  <c r="F117" i="12"/>
  <c r="F115" i="12"/>
  <c r="H74" i="14" l="1"/>
  <c r="H72" i="14"/>
  <c r="G120" i="14"/>
  <c r="F116" i="14"/>
  <c r="G76" i="13"/>
  <c r="H73" i="13"/>
  <c r="G120" i="13"/>
  <c r="F116" i="13"/>
  <c r="G120" i="12"/>
  <c r="F116" i="12"/>
  <c r="H74" i="12"/>
  <c r="H72" i="12"/>
  <c r="G76" i="14" l="1"/>
  <c r="H73" i="14"/>
  <c r="G76" i="12"/>
  <c r="H73" i="12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B52" i="6"/>
  <c r="E51" i="6"/>
  <c r="C51" i="6"/>
  <c r="B51" i="6"/>
  <c r="B32" i="6"/>
  <c r="E30" i="6"/>
  <c r="D30" i="6"/>
  <c r="C30" i="6"/>
  <c r="B30" i="6"/>
  <c r="B31" i="6" s="1"/>
  <c r="C46" i="2" l="1"/>
  <c r="C50" i="2" s="1"/>
  <c r="C45" i="2"/>
  <c r="C19" i="2"/>
  <c r="D30" i="2" l="1"/>
  <c r="D39" i="2"/>
  <c r="D27" i="2"/>
  <c r="D35" i="2"/>
  <c r="D24" i="2"/>
  <c r="D28" i="2"/>
  <c r="D32" i="2"/>
  <c r="D36" i="2"/>
  <c r="D41" i="2"/>
  <c r="C49" i="2"/>
  <c r="D26" i="2"/>
  <c r="D34" i="2"/>
  <c r="D31" i="2"/>
  <c r="D40" i="2"/>
  <c r="D25" i="2"/>
  <c r="D29" i="2"/>
  <c r="D33" i="2"/>
  <c r="D37" i="2"/>
  <c r="D43" i="2"/>
  <c r="D49" i="2"/>
  <c r="D50" i="2"/>
  <c r="B49" i="2"/>
  <c r="D42" i="2"/>
  <c r="D38" i="2"/>
</calcChain>
</file>

<file path=xl/sharedStrings.xml><?xml version="1.0" encoding="utf-8"?>
<sst xmlns="http://schemas.openxmlformats.org/spreadsheetml/2006/main" count="647" uniqueCount="139">
  <si>
    <t>HPLC System Suitability Report</t>
  </si>
  <si>
    <t>Analysis Data</t>
  </si>
  <si>
    <t>Assay</t>
  </si>
  <si>
    <t>Sample(s)</t>
  </si>
  <si>
    <t>Reference Substance:</t>
  </si>
  <si>
    <t>Tenofovir Disoproxil Fumarate, Lamivudine &amp; Efavirenz tablets</t>
  </si>
  <si>
    <t>% age Purity:</t>
  </si>
  <si>
    <t>NDQB201603816</t>
  </si>
  <si>
    <t>Weight (mg):</t>
  </si>
  <si>
    <t>Tenofovir Disoproxil Fumarate 300mg, Lamivudine 300mg &amp; Efavirenz 600mg tablets</t>
  </si>
  <si>
    <t>Standard Conc (mg/mL):</t>
  </si>
  <si>
    <t>Each tablet contains Tenofovir Disoproxil Fumarate 300mg, Lamivudine 300mg &amp; Efavirenz 600mg tablets</t>
  </si>
  <si>
    <t>2016-03-31 14:26:43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</si>
  <si>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</si>
  <si>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</si>
  <si>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</si>
  <si>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</si>
  <si>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</si>
  <si>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</si>
  <si>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</si>
  <si>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</si>
  <si>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</si>
  <si>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</si>
  <si>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</si>
  <si>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</si>
  <si>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</si>
  <si>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</si>
  <si>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</si>
  <si>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</si>
  <si>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</si>
  <si>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</si>
  <si>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</si>
  <si>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</si>
  <si>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</si>
  <si>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</si>
  <si>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</si>
  <si>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</si>
  <si>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</si>
  <si>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</si>
  <si>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</si>
  <si>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</si>
  <si>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</si>
  <si>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</si>
  <si>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</si>
  <si>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</si>
  <si>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</si>
  <si>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</si>
  <si>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</si>
  <si>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</si>
  <si>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</si>
  <si>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</si>
  <si>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</si>
  <si>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</si>
  <si>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</si>
  <si>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</si>
  <si>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</si>
  <si>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</si>
  <si>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</si>
  <si>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</si>
  <si>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</si>
  <si>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</si>
  <si>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</si>
  <si>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</si>
  <si>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</si>
  <si>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</si>
  <si>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</si>
  <si>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</si>
  <si>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</si>
  <si>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</si>
  <si>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</si>
  <si>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</si>
  <si>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</si>
  <si>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</si>
  <si>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</si>
  <si>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</si>
  <si>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</si>
  <si>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</si>
  <si>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</si>
  <si>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</si>
  <si>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</si>
  <si>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</si>
  <si>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</si>
  <si>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</si>
  <si>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</si>
  <si>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</si>
  <si>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</si>
  <si>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</si>
  <si>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</si>
  <si>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</si>
  <si>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</si>
  <si>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</si>
  <si>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</si>
  <si>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</si>
  <si>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</si>
  <si>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</si>
  <si>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</si>
  <si>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</si>
  <si>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</si>
  <si>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</si>
  <si>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</si>
  <si>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</si>
  <si>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</si>
  <si>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</si>
  <si>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</si>
  <si>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</si>
  <si>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</si>
  <si>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</si>
  <si>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</si>
  <si>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</si>
  <si>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</si>
  <si>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</si>
  <si>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</si>
  <si>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</si>
  <si>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</si>
  <si>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</si>
  <si>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</si>
  <si>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</si>
  <si>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</si>
  <si>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</si>
  <si>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</si>
  <si>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</si>
  <si>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</si>
  <si>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</si>
  <si>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</si>
  <si>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</si>
  <si>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 DISOPROXIL FUMARATE/LAMIVUDINE/EFAVIRENZ TABLETS 300 mg/300 mg/ 600 mg</t>
  </si>
  <si>
    <t xml:space="preserve">Tenofovir Disoproxil Fumarate 300mg, Lamivudine 300mg 
Efavirenz 600mg  </t>
  </si>
  <si>
    <t>2016-03-31 14:22:15</t>
  </si>
  <si>
    <t>EFAVIRENZ 600MG, LAMIVUDINE 300MG AND TENOFOVIR DISOPROXIL FUMARATE 300MG TABLETS</t>
  </si>
  <si>
    <t>Efavirenz 600mg, Lamivudine 300mg and Tenofovir Disoproxil Fumarate 300mg Tablets</t>
  </si>
  <si>
    <t>Each film-coated tablet contains Efavirenz 600mg, Lamivudine USP 300mg, Tenofovir Disoproxil Fumarate 300mg euivalent to tenofovir disoproxil 245mg</t>
  </si>
  <si>
    <t>Lamivudine</t>
  </si>
  <si>
    <t>L3-9</t>
  </si>
  <si>
    <t>T11-6</t>
  </si>
  <si>
    <t>Efavirenz</t>
  </si>
  <si>
    <t>E15-3</t>
  </si>
  <si>
    <t>LAMIVUDINE</t>
  </si>
  <si>
    <t>TENOFOVIR DISOPROXIL FUMARATE</t>
  </si>
  <si>
    <t xml:space="preserve">EFAVIRENZ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</si>
</sst>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713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4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" fillId="2" borderId="0" xfId="4" applyFont="1" applyFill="1"/>
    <xf numFmtId="0" fontId="11" fillId="2" borderId="0" xfId="4" applyFont="1" applyFill="1"/>
    <xf numFmtId="0" fontId="24" fillId="2" borderId="0" xfId="4" applyFill="1"/>
    <xf numFmtId="0" fontId="12" fillId="2" borderId="0" xfId="4" applyFont="1" applyFill="1"/>
    <xf numFmtId="0" fontId="13" fillId="2" borderId="0" xfId="4" applyFont="1" applyFill="1" applyAlignment="1" applyProtection="1">
      <alignment horizontal="right"/>
      <protection locked="0"/>
    </xf>
    <xf numFmtId="0" fontId="13" fillId="2" borderId="0" xfId="4" applyFont="1" applyFill="1" applyAlignment="1" applyProtection="1">
      <alignment horizontal="left"/>
      <protection locked="0"/>
    </xf>
    <xf numFmtId="0" fontId="14" fillId="2" borderId="0" xfId="4" applyFont="1" applyFill="1"/>
    <xf numFmtId="0" fontId="14" fillId="3" borderId="0" xfId="4" applyFont="1" applyFill="1" applyAlignment="1" applyProtection="1">
      <alignment horizontal="left"/>
      <protection locked="0"/>
    </xf>
    <xf numFmtId="0" fontId="11" fillId="3" borderId="0" xfId="4" applyFont="1" applyFill="1" applyProtection="1">
      <protection locked="0"/>
    </xf>
    <xf numFmtId="168" fontId="14" fillId="3" borderId="0" xfId="4" applyNumberFormat="1" applyFont="1" applyFill="1" applyAlignment="1" applyProtection="1">
      <alignment horizontal="center"/>
      <protection locked="0"/>
    </xf>
    <xf numFmtId="169" fontId="11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12" fillId="2" borderId="0" xfId="4" applyFont="1" applyFill="1" applyAlignment="1">
      <alignment horizontal="right"/>
    </xf>
    <xf numFmtId="0" fontId="11" fillId="2" borderId="0" xfId="4" applyFont="1" applyFill="1" applyAlignment="1">
      <alignment horizontal="right"/>
    </xf>
    <xf numFmtId="0" fontId="13" fillId="3" borderId="0" xfId="4" applyFont="1" applyFill="1" applyAlignment="1" applyProtection="1">
      <alignment horizontal="center"/>
      <protection locked="0"/>
    </xf>
    <xf numFmtId="0" fontId="14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5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center"/>
    </xf>
    <xf numFmtId="0" fontId="16" fillId="2" borderId="0" xfId="4" applyFont="1" applyFill="1"/>
    <xf numFmtId="0" fontId="17" fillId="2" borderId="0" xfId="4" applyFont="1" applyFill="1"/>
    <xf numFmtId="2" fontId="13" fillId="3" borderId="0" xfId="4" applyNumberFormat="1" applyFont="1" applyFill="1" applyAlignment="1" applyProtection="1">
      <alignment horizontal="center"/>
      <protection locked="0"/>
    </xf>
    <xf numFmtId="0" fontId="12" fillId="2" borderId="0" xfId="4" applyFont="1" applyFill="1" applyAlignment="1">
      <alignment vertical="center" wrapText="1"/>
    </xf>
    <xf numFmtId="0" fontId="18" fillId="2" borderId="0" xfId="4" applyFont="1" applyFill="1"/>
    <xf numFmtId="2" fontId="12" fillId="2" borderId="0" xfId="4" applyNumberFormat="1" applyFont="1" applyFill="1" applyAlignment="1">
      <alignment horizontal="center"/>
    </xf>
    <xf numFmtId="0" fontId="19" fillId="2" borderId="0" xfId="4" applyFont="1" applyFill="1" applyAlignment="1">
      <alignment horizontal="left" vertical="center" wrapText="1"/>
    </xf>
    <xf numFmtId="170" fontId="12" fillId="2" borderId="0" xfId="4" applyNumberFormat="1" applyFont="1" applyFill="1" applyAlignment="1">
      <alignment horizontal="center"/>
    </xf>
    <xf numFmtId="0" fontId="11" fillId="2" borderId="21" xfId="4" applyFont="1" applyFill="1" applyBorder="1" applyAlignment="1">
      <alignment horizontal="right"/>
    </xf>
    <xf numFmtId="0" fontId="13" fillId="3" borderId="22" xfId="4" applyFont="1" applyFill="1" applyBorder="1" applyAlignment="1" applyProtection="1">
      <alignment horizontal="center"/>
      <protection locked="0"/>
    </xf>
    <xf numFmtId="0" fontId="11" fillId="2" borderId="23" xfId="4" applyFont="1" applyFill="1" applyBorder="1" applyAlignment="1">
      <alignment horizontal="right"/>
    </xf>
    <xf numFmtId="0" fontId="13" fillId="3" borderId="24" xfId="4" applyFont="1" applyFill="1" applyBorder="1" applyAlignment="1" applyProtection="1">
      <alignment horizontal="center"/>
      <protection locked="0"/>
    </xf>
    <xf numFmtId="0" fontId="12" fillId="2" borderId="22" xfId="4" applyFont="1" applyFill="1" applyBorder="1" applyAlignment="1">
      <alignment horizontal="center"/>
    </xf>
    <xf numFmtId="0" fontId="12" fillId="2" borderId="25" xfId="4" applyFont="1" applyFill="1" applyBorder="1" applyAlignment="1">
      <alignment horizontal="center"/>
    </xf>
    <xf numFmtId="0" fontId="12" fillId="2" borderId="26" xfId="4" applyFont="1" applyFill="1" applyBorder="1" applyAlignment="1">
      <alignment horizontal="center"/>
    </xf>
    <xf numFmtId="0" fontId="12" fillId="2" borderId="27" xfId="4" applyFont="1" applyFill="1" applyBorder="1" applyAlignment="1">
      <alignment horizontal="center"/>
    </xf>
    <xf numFmtId="0" fontId="12" fillId="2" borderId="12" xfId="4" applyFont="1" applyFill="1" applyBorder="1" applyAlignment="1">
      <alignment horizontal="center"/>
    </xf>
    <xf numFmtId="0" fontId="11" fillId="2" borderId="28" xfId="4" applyFont="1" applyFill="1" applyBorder="1" applyAlignment="1">
      <alignment horizontal="center"/>
    </xf>
    <xf numFmtId="0" fontId="13" fillId="3" borderId="29" xfId="4" applyFont="1" applyFill="1" applyBorder="1" applyAlignment="1" applyProtection="1">
      <alignment horizontal="center"/>
      <protection locked="0"/>
    </xf>
    <xf numFmtId="171" fontId="11" fillId="2" borderId="26" xfId="4" applyNumberFormat="1" applyFont="1" applyFill="1" applyBorder="1" applyAlignment="1">
      <alignment horizontal="center"/>
    </xf>
    <xf numFmtId="171" fontId="11" fillId="2" borderId="30" xfId="4" applyNumberFormat="1" applyFont="1" applyFill="1" applyBorder="1" applyAlignment="1">
      <alignment horizontal="center"/>
    </xf>
    <xf numFmtId="0" fontId="18" fillId="2" borderId="13" xfId="4" applyFont="1" applyFill="1" applyBorder="1"/>
    <xf numFmtId="0" fontId="11" fillId="2" borderId="24" xfId="4" applyFont="1" applyFill="1" applyBorder="1" applyAlignment="1">
      <alignment horizontal="center"/>
    </xf>
    <xf numFmtId="0" fontId="13" fillId="3" borderId="23" xfId="4" applyFont="1" applyFill="1" applyBorder="1" applyAlignment="1" applyProtection="1">
      <alignment horizontal="center"/>
      <protection locked="0"/>
    </xf>
    <xf numFmtId="171" fontId="11" fillId="2" borderId="31" xfId="4" applyNumberFormat="1" applyFont="1" applyFill="1" applyBorder="1" applyAlignment="1">
      <alignment horizontal="center"/>
    </xf>
    <xf numFmtId="171" fontId="11" fillId="2" borderId="32" xfId="4" applyNumberFormat="1" applyFont="1" applyFill="1" applyBorder="1" applyAlignment="1">
      <alignment horizontal="center"/>
    </xf>
    <xf numFmtId="0" fontId="11" fillId="2" borderId="33" xfId="4" applyFont="1" applyFill="1" applyBorder="1" applyAlignment="1">
      <alignment horizontal="center"/>
    </xf>
    <xf numFmtId="0" fontId="13" fillId="3" borderId="34" xfId="4" applyFont="1" applyFill="1" applyBorder="1" applyAlignment="1" applyProtection="1">
      <alignment horizontal="center"/>
      <protection locked="0"/>
    </xf>
    <xf numFmtId="171" fontId="11" fillId="2" borderId="35" xfId="4" applyNumberFormat="1" applyFont="1" applyFill="1" applyBorder="1" applyAlignment="1">
      <alignment horizontal="center"/>
    </xf>
    <xf numFmtId="171" fontId="11" fillId="2" borderId="36" xfId="4" applyNumberFormat="1" applyFont="1" applyFill="1" applyBorder="1" applyAlignment="1">
      <alignment horizontal="center"/>
    </xf>
    <xf numFmtId="0" fontId="11" fillId="2" borderId="15" xfId="4" applyFont="1" applyFill="1" applyBorder="1"/>
    <xf numFmtId="0" fontId="11" fillId="2" borderId="24" xfId="4" applyFont="1" applyFill="1" applyBorder="1" applyAlignment="1">
      <alignment horizontal="right"/>
    </xf>
    <xf numFmtId="1" fontId="12" fillId="6" borderId="37" xfId="4" applyNumberFormat="1" applyFont="1" applyFill="1" applyBorder="1" applyAlignment="1">
      <alignment horizontal="center"/>
    </xf>
    <xf numFmtId="171" fontId="12" fillId="6" borderId="38" xfId="4" applyNumberFormat="1" applyFont="1" applyFill="1" applyBorder="1" applyAlignment="1">
      <alignment horizontal="center"/>
    </xf>
    <xf numFmtId="171" fontId="12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11" fillId="2" borderId="40" xfId="4" applyFont="1" applyFill="1" applyBorder="1" applyAlignment="1">
      <alignment horizontal="right"/>
    </xf>
    <xf numFmtId="0" fontId="13" fillId="3" borderId="16" xfId="4" applyFont="1" applyFill="1" applyBorder="1" applyAlignment="1" applyProtection="1">
      <alignment horizontal="center"/>
      <protection locked="0"/>
    </xf>
    <xf numFmtId="0" fontId="11" fillId="2" borderId="11" xfId="4" applyFont="1" applyFill="1" applyBorder="1" applyAlignment="1">
      <alignment horizontal="right"/>
    </xf>
    <xf numFmtId="2" fontId="11" fillId="6" borderId="41" xfId="4" applyNumberFormat="1" applyFont="1" applyFill="1" applyBorder="1" applyAlignment="1">
      <alignment horizontal="center"/>
    </xf>
    <xf numFmtId="0" fontId="11" fillId="2" borderId="0" xfId="4" applyFont="1" applyFill="1" applyAlignment="1">
      <alignment horizontal="center"/>
    </xf>
    <xf numFmtId="2" fontId="11" fillId="7" borderId="41" xfId="4" applyNumberFormat="1" applyFont="1" applyFill="1" applyBorder="1" applyAlignment="1">
      <alignment horizontal="center"/>
    </xf>
    <xf numFmtId="2" fontId="11" fillId="2" borderId="0" xfId="4" applyNumberFormat="1" applyFont="1" applyFill="1" applyAlignment="1">
      <alignment horizontal="center"/>
    </xf>
    <xf numFmtId="166" fontId="11" fillId="6" borderId="41" xfId="4" applyNumberFormat="1" applyFont="1" applyFill="1" applyBorder="1" applyAlignment="1">
      <alignment horizontal="center"/>
    </xf>
    <xf numFmtId="166" fontId="11" fillId="2" borderId="0" xfId="4" applyNumberFormat="1" applyFont="1" applyFill="1" applyAlignment="1">
      <alignment horizontal="center"/>
    </xf>
    <xf numFmtId="166" fontId="11" fillId="6" borderId="17" xfId="4" applyNumberFormat="1" applyFont="1" applyFill="1" applyBorder="1" applyAlignment="1">
      <alignment horizontal="center"/>
    </xf>
    <xf numFmtId="0" fontId="11" fillId="2" borderId="42" xfId="4" applyFont="1" applyFill="1" applyBorder="1" applyAlignment="1">
      <alignment horizontal="right"/>
    </xf>
    <xf numFmtId="166" fontId="13" fillId="3" borderId="41" xfId="4" applyNumberFormat="1" applyFont="1" applyFill="1" applyBorder="1" applyAlignment="1" applyProtection="1">
      <alignment horizontal="center"/>
      <protection locked="0"/>
    </xf>
    <xf numFmtId="166" fontId="11" fillId="2" borderId="0" xfId="4" applyNumberFormat="1" applyFont="1" applyFill="1"/>
    <xf numFmtId="0" fontId="11" fillId="2" borderId="29" xfId="4" applyFont="1" applyFill="1" applyBorder="1" applyAlignment="1">
      <alignment horizontal="right"/>
    </xf>
    <xf numFmtId="1" fontId="11" fillId="2" borderId="0" xfId="4" applyNumberFormat="1" applyFont="1" applyFill="1" applyAlignment="1">
      <alignment horizontal="center"/>
    </xf>
    <xf numFmtId="0" fontId="11" fillId="2" borderId="15" xfId="4" applyFont="1" applyFill="1" applyBorder="1" applyAlignment="1">
      <alignment horizontal="right"/>
    </xf>
    <xf numFmtId="2" fontId="11" fillId="6" borderId="15" xfId="4" applyNumberFormat="1" applyFont="1" applyFill="1" applyBorder="1" applyAlignment="1">
      <alignment horizontal="center"/>
    </xf>
    <xf numFmtId="171" fontId="12" fillId="7" borderId="13" xfId="4" applyNumberFormat="1" applyFont="1" applyFill="1" applyBorder="1" applyAlignment="1">
      <alignment horizontal="center"/>
    </xf>
    <xf numFmtId="171" fontId="11" fillId="2" borderId="0" xfId="4" applyNumberFormat="1" applyFont="1" applyFill="1" applyAlignment="1">
      <alignment horizontal="center"/>
    </xf>
    <xf numFmtId="10" fontId="11" fillId="6" borderId="41" xfId="4" applyNumberFormat="1" applyFont="1" applyFill="1" applyBorder="1" applyAlignment="1">
      <alignment horizontal="center"/>
    </xf>
    <xf numFmtId="0" fontId="11" fillId="2" borderId="43" xfId="4" applyFont="1" applyFill="1" applyBorder="1" applyAlignment="1">
      <alignment horizontal="right"/>
    </xf>
    <xf numFmtId="0" fontId="11" fillId="7" borderId="15" xfId="4" applyFont="1" applyFill="1" applyBorder="1" applyAlignment="1">
      <alignment horizontal="center"/>
    </xf>
    <xf numFmtId="0" fontId="3" fillId="2" borderId="0" xfId="4" applyFont="1" applyFill="1"/>
    <xf numFmtId="0" fontId="12" fillId="2" borderId="0" xfId="4" applyFont="1" applyFill="1" applyAlignment="1">
      <alignment horizontal="left"/>
    </xf>
    <xf numFmtId="0" fontId="11" fillId="2" borderId="0" xfId="4" applyFont="1" applyFill="1" applyAlignment="1">
      <alignment horizontal="left"/>
    </xf>
    <xf numFmtId="172" fontId="13" fillId="3" borderId="0" xfId="4" applyNumberFormat="1" applyFont="1" applyFill="1" applyAlignment="1" applyProtection="1">
      <alignment horizontal="center"/>
      <protection locked="0"/>
    </xf>
    <xf numFmtId="166" fontId="12" fillId="2" borderId="0" xfId="4" applyNumberFormat="1" applyFont="1" applyFill="1" applyAlignment="1" applyProtection="1">
      <alignment horizontal="center"/>
      <protection locked="0"/>
    </xf>
    <xf numFmtId="2" fontId="12" fillId="2" borderId="13" xfId="4" applyNumberFormat="1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/>
    </xf>
    <xf numFmtId="0" fontId="11" fillId="2" borderId="13" xfId="4" applyFont="1" applyFill="1" applyBorder="1" applyAlignment="1">
      <alignment horizontal="center"/>
    </xf>
    <xf numFmtId="0" fontId="13" fillId="3" borderId="21" xfId="4" applyFont="1" applyFill="1" applyBorder="1" applyAlignment="1" applyProtection="1">
      <alignment horizontal="center"/>
      <protection locked="0"/>
    </xf>
    <xf numFmtId="166" fontId="11" fillId="2" borderId="21" xfId="4" applyNumberFormat="1" applyFont="1" applyFill="1" applyBorder="1" applyAlignment="1">
      <alignment horizontal="center"/>
    </xf>
    <xf numFmtId="10" fontId="11" fillId="2" borderId="13" xfId="4" applyNumberFormat="1" applyFont="1" applyFill="1" applyBorder="1" applyAlignment="1">
      <alignment horizontal="center" vertical="center"/>
    </xf>
    <xf numFmtId="0" fontId="11" fillId="2" borderId="14" xfId="4" applyFont="1" applyFill="1" applyBorder="1" applyAlignment="1">
      <alignment horizontal="center"/>
    </xf>
    <xf numFmtId="166" fontId="11" fillId="2" borderId="23" xfId="4" applyNumberFormat="1" applyFont="1" applyFill="1" applyBorder="1" applyAlignment="1">
      <alignment horizontal="center"/>
    </xf>
    <xf numFmtId="10" fontId="11" fillId="2" borderId="14" xfId="4" applyNumberFormat="1" applyFont="1" applyFill="1" applyBorder="1" applyAlignment="1">
      <alignment horizontal="center" vertical="center"/>
    </xf>
    <xf numFmtId="1" fontId="13" fillId="3" borderId="23" xfId="4" applyNumberFormat="1" applyFont="1" applyFill="1" applyBorder="1" applyAlignment="1" applyProtection="1">
      <alignment horizontal="center"/>
      <protection locked="0"/>
    </xf>
    <xf numFmtId="0" fontId="11" fillId="2" borderId="15" xfId="4" applyFont="1" applyFill="1" applyBorder="1" applyAlignment="1">
      <alignment horizontal="center"/>
    </xf>
    <xf numFmtId="0" fontId="13" fillId="3" borderId="43" xfId="4" applyFont="1" applyFill="1" applyBorder="1" applyAlignment="1" applyProtection="1">
      <alignment horizontal="center"/>
      <protection locked="0"/>
    </xf>
    <xf numFmtId="166" fontId="11" fillId="2" borderId="13" xfId="4" applyNumberFormat="1" applyFont="1" applyFill="1" applyBorder="1" applyAlignment="1">
      <alignment horizontal="center"/>
    </xf>
    <xf numFmtId="10" fontId="11" fillId="2" borderId="22" xfId="4" applyNumberFormat="1" applyFont="1" applyFill="1" applyBorder="1" applyAlignment="1">
      <alignment horizontal="center" vertical="center"/>
    </xf>
    <xf numFmtId="166" fontId="11" fillId="2" borderId="14" xfId="4" applyNumberFormat="1" applyFont="1" applyFill="1" applyBorder="1" applyAlignment="1">
      <alignment horizontal="center"/>
    </xf>
    <xf numFmtId="10" fontId="11" fillId="2" borderId="24" xfId="4" applyNumberFormat="1" applyFont="1" applyFill="1" applyBorder="1" applyAlignment="1">
      <alignment horizontal="center" vertical="center"/>
    </xf>
    <xf numFmtId="166" fontId="11" fillId="2" borderId="15" xfId="4" applyNumberFormat="1" applyFont="1" applyFill="1" applyBorder="1" applyAlignment="1">
      <alignment horizontal="center"/>
    </xf>
    <xf numFmtId="10" fontId="11" fillId="2" borderId="44" xfId="4" applyNumberFormat="1" applyFont="1" applyFill="1" applyBorder="1" applyAlignment="1">
      <alignment horizontal="center" vertical="center"/>
    </xf>
    <xf numFmtId="0" fontId="14" fillId="2" borderId="24" xfId="4" applyFont="1" applyFill="1" applyBorder="1" applyAlignment="1">
      <alignment horizontal="center"/>
    </xf>
    <xf numFmtId="2" fontId="14" fillId="2" borderId="44" xfId="4" applyNumberFormat="1" applyFont="1" applyFill="1" applyBorder="1" applyAlignment="1">
      <alignment horizontal="center"/>
    </xf>
    <xf numFmtId="10" fontId="11" fillId="2" borderId="15" xfId="4" applyNumberFormat="1" applyFont="1" applyFill="1" applyBorder="1" applyAlignment="1">
      <alignment horizontal="center" vertical="center"/>
    </xf>
    <xf numFmtId="0" fontId="11" fillId="2" borderId="45" xfId="4" applyFont="1" applyFill="1" applyBorder="1" applyAlignment="1">
      <alignment horizontal="right"/>
    </xf>
    <xf numFmtId="2" fontId="13" fillId="7" borderId="33" xfId="4" applyNumberFormat="1" applyFont="1" applyFill="1" applyBorder="1" applyAlignment="1">
      <alignment horizontal="center"/>
    </xf>
    <xf numFmtId="10" fontId="13" fillId="7" borderId="33" xfId="4" applyNumberFormat="1" applyFont="1" applyFill="1" applyBorder="1" applyAlignment="1">
      <alignment horizontal="center"/>
    </xf>
    <xf numFmtId="0" fontId="11" fillId="2" borderId="41" xfId="4" applyFont="1" applyFill="1" applyBorder="1" applyAlignment="1">
      <alignment horizontal="right"/>
    </xf>
    <xf numFmtId="10" fontId="13" fillId="6" borderId="57" xfId="4" applyNumberFormat="1" applyFont="1" applyFill="1" applyBorder="1" applyAlignment="1">
      <alignment horizontal="center"/>
    </xf>
    <xf numFmtId="0" fontId="11" fillId="2" borderId="17" xfId="4" applyFont="1" applyFill="1" applyBorder="1" applyAlignment="1">
      <alignment horizontal="right"/>
    </xf>
    <xf numFmtId="0" fontId="13" fillId="7" borderId="46" xfId="4" applyFont="1" applyFill="1" applyBorder="1" applyAlignment="1">
      <alignment horizontal="center"/>
    </xf>
    <xf numFmtId="165" fontId="13" fillId="2" borderId="0" xfId="4" applyNumberFormat="1" applyFont="1" applyFill="1" applyAlignment="1">
      <alignment horizontal="center"/>
    </xf>
    <xf numFmtId="0" fontId="12" fillId="2" borderId="47" xfId="4" applyFont="1" applyFill="1" applyBorder="1" applyAlignment="1">
      <alignment horizontal="center"/>
    </xf>
    <xf numFmtId="0" fontId="12" fillId="2" borderId="40" xfId="4" applyFont="1" applyFill="1" applyBorder="1" applyAlignment="1">
      <alignment horizontal="center"/>
    </xf>
    <xf numFmtId="0" fontId="12" fillId="2" borderId="10" xfId="4" applyFont="1" applyFill="1" applyBorder="1" applyAlignment="1">
      <alignment horizontal="center"/>
    </xf>
    <xf numFmtId="0" fontId="12" fillId="2" borderId="30" xfId="4" applyFont="1" applyFill="1" applyBorder="1" applyAlignment="1">
      <alignment horizontal="center"/>
    </xf>
    <xf numFmtId="0" fontId="11" fillId="2" borderId="48" xfId="4" applyFont="1" applyFill="1" applyBorder="1" applyAlignment="1">
      <alignment horizontal="center"/>
    </xf>
    <xf numFmtId="0" fontId="11" fillId="2" borderId="7" xfId="4" applyFont="1" applyFill="1" applyBorder="1" applyAlignment="1">
      <alignment horizontal="center"/>
    </xf>
    <xf numFmtId="171" fontId="13" fillId="3" borderId="34" xfId="4" applyNumberFormat="1" applyFont="1" applyFill="1" applyBorder="1" applyAlignment="1" applyProtection="1">
      <alignment horizontal="center"/>
      <protection locked="0"/>
    </xf>
    <xf numFmtId="1" fontId="12" fillId="6" borderId="49" xfId="4" applyNumberFormat="1" applyFont="1" applyFill="1" applyBorder="1" applyAlignment="1">
      <alignment horizontal="center"/>
    </xf>
    <xf numFmtId="1" fontId="12" fillId="6" borderId="50" xfId="4" applyNumberFormat="1" applyFont="1" applyFill="1" applyBorder="1" applyAlignment="1">
      <alignment horizontal="center"/>
    </xf>
    <xf numFmtId="171" fontId="12" fillId="6" borderId="15" xfId="4" applyNumberFormat="1" applyFont="1" applyFill="1" applyBorder="1" applyAlignment="1">
      <alignment horizontal="center"/>
    </xf>
    <xf numFmtId="0" fontId="11" fillId="2" borderId="51" xfId="4" applyFont="1" applyFill="1" applyBorder="1" applyAlignment="1">
      <alignment horizontal="right"/>
    </xf>
    <xf numFmtId="0" fontId="13" fillId="3" borderId="52" xfId="4" applyFont="1" applyFill="1" applyBorder="1" applyAlignment="1" applyProtection="1">
      <alignment horizontal="center"/>
      <protection locked="0"/>
    </xf>
    <xf numFmtId="0" fontId="11" fillId="2" borderId="25" xfId="4" applyFont="1" applyFill="1" applyBorder="1" applyAlignment="1">
      <alignment horizontal="right"/>
    </xf>
    <xf numFmtId="2" fontId="11" fillId="6" borderId="27" xfId="4" applyNumberFormat="1" applyFont="1" applyFill="1" applyBorder="1" applyAlignment="1">
      <alignment horizontal="center"/>
    </xf>
    <xf numFmtId="2" fontId="11" fillId="7" borderId="27" xfId="4" applyNumberFormat="1" applyFont="1" applyFill="1" applyBorder="1" applyAlignment="1">
      <alignment horizontal="center"/>
    </xf>
    <xf numFmtId="166" fontId="11" fillId="6" borderId="27" xfId="4" applyNumberFormat="1" applyFont="1" applyFill="1" applyBorder="1" applyAlignment="1">
      <alignment horizontal="center"/>
    </xf>
    <xf numFmtId="166" fontId="11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11" fillId="2" borderId="53" xfId="4" applyFont="1" applyFill="1" applyBorder="1" applyAlignment="1">
      <alignment horizontal="right"/>
    </xf>
    <xf numFmtId="2" fontId="11" fillId="7" borderId="30" xfId="4" applyNumberFormat="1" applyFont="1" applyFill="1" applyBorder="1" applyAlignment="1">
      <alignment horizontal="center"/>
    </xf>
    <xf numFmtId="0" fontId="12" fillId="2" borderId="0" xfId="4" applyFont="1" applyFill="1" applyAlignment="1">
      <alignment horizontal="center" wrapText="1"/>
    </xf>
    <xf numFmtId="0" fontId="11" fillId="2" borderId="16" xfId="4" applyFont="1" applyFill="1" applyBorder="1" applyAlignment="1">
      <alignment horizontal="right"/>
    </xf>
    <xf numFmtId="171" fontId="12" fillId="7" borderId="16" xfId="4" applyNumberFormat="1" applyFont="1" applyFill="1" applyBorder="1" applyAlignment="1">
      <alignment horizontal="center"/>
    </xf>
    <xf numFmtId="10" fontId="11" fillId="2" borderId="0" xfId="4" applyNumberFormat="1" applyFont="1" applyFill="1" applyAlignment="1">
      <alignment horizontal="center"/>
    </xf>
    <xf numFmtId="10" fontId="12" fillId="6" borderId="41" xfId="4" applyNumberFormat="1" applyFont="1" applyFill="1" applyBorder="1" applyAlignment="1">
      <alignment horizontal="center"/>
    </xf>
    <xf numFmtId="0" fontId="12" fillId="7" borderId="17" xfId="4" applyFont="1" applyFill="1" applyBorder="1" applyAlignment="1">
      <alignment horizontal="center"/>
    </xf>
    <xf numFmtId="0" fontId="12" fillId="2" borderId="54" xfId="4" applyFont="1" applyFill="1" applyBorder="1" applyAlignment="1">
      <alignment horizontal="center"/>
    </xf>
    <xf numFmtId="0" fontId="12" fillId="2" borderId="55" xfId="4" applyFont="1" applyFill="1" applyBorder="1" applyAlignment="1">
      <alignment horizontal="center"/>
    </xf>
    <xf numFmtId="0" fontId="12" fillId="2" borderId="22" xfId="4" applyFont="1" applyFill="1" applyBorder="1" applyAlignment="1">
      <alignment horizontal="center" wrapText="1"/>
    </xf>
    <xf numFmtId="0" fontId="11" fillId="2" borderId="23" xfId="4" applyFont="1" applyFill="1" applyBorder="1" applyAlignment="1">
      <alignment horizontal="center"/>
    </xf>
    <xf numFmtId="1" fontId="13" fillId="3" borderId="31" xfId="4" applyNumberFormat="1" applyFont="1" applyFill="1" applyBorder="1" applyAlignment="1" applyProtection="1">
      <alignment horizontal="center"/>
      <protection locked="0"/>
    </xf>
    <xf numFmtId="166" fontId="11" fillId="2" borderId="26" xfId="4" applyNumberFormat="1" applyFont="1" applyFill="1" applyBorder="1" applyAlignment="1">
      <alignment horizontal="center"/>
    </xf>
    <xf numFmtId="10" fontId="11" fillId="2" borderId="30" xfId="4" applyNumberFormat="1" applyFont="1" applyFill="1" applyBorder="1" applyAlignment="1">
      <alignment horizontal="center"/>
    </xf>
    <xf numFmtId="166" fontId="11" fillId="2" borderId="31" xfId="4" applyNumberFormat="1" applyFont="1" applyFill="1" applyBorder="1" applyAlignment="1">
      <alignment horizontal="center"/>
    </xf>
    <xf numFmtId="10" fontId="11" fillId="2" borderId="32" xfId="4" applyNumberFormat="1" applyFont="1" applyFill="1" applyBorder="1" applyAlignment="1">
      <alignment horizontal="center"/>
    </xf>
    <xf numFmtId="0" fontId="11" fillId="2" borderId="34" xfId="4" applyFont="1" applyFill="1" applyBorder="1" applyAlignment="1">
      <alignment horizontal="center"/>
    </xf>
    <xf numFmtId="1" fontId="13" fillId="3" borderId="35" xfId="4" applyNumberFormat="1" applyFont="1" applyFill="1" applyBorder="1" applyAlignment="1" applyProtection="1">
      <alignment horizontal="center"/>
      <protection locked="0"/>
    </xf>
    <xf numFmtId="166" fontId="11" fillId="2" borderId="35" xfId="4" applyNumberFormat="1" applyFont="1" applyFill="1" applyBorder="1" applyAlignment="1">
      <alignment horizontal="center"/>
    </xf>
    <xf numFmtId="10" fontId="11" fillId="2" borderId="36" xfId="4" applyNumberFormat="1" applyFont="1" applyFill="1" applyBorder="1" applyAlignment="1">
      <alignment horizontal="center"/>
    </xf>
    <xf numFmtId="2" fontId="11" fillId="2" borderId="24" xfId="4" applyNumberFormat="1" applyFont="1" applyFill="1" applyBorder="1" applyAlignment="1">
      <alignment horizontal="center"/>
    </xf>
    <xf numFmtId="171" fontId="11" fillId="2" borderId="2" xfId="4" applyNumberFormat="1" applyFont="1" applyFill="1" applyBorder="1" applyAlignment="1">
      <alignment horizontal="right"/>
    </xf>
    <xf numFmtId="2" fontId="13" fillId="7" borderId="27" xfId="4" applyNumberFormat="1" applyFont="1" applyFill="1" applyBorder="1" applyAlignment="1">
      <alignment horizontal="center"/>
    </xf>
    <xf numFmtId="10" fontId="13" fillId="7" borderId="27" xfId="4" applyNumberFormat="1" applyFont="1" applyFill="1" applyBorder="1" applyAlignment="1">
      <alignment horizontal="center"/>
    </xf>
    <xf numFmtId="0" fontId="11" fillId="2" borderId="23" xfId="4" applyFont="1" applyFill="1" applyBorder="1"/>
    <xf numFmtId="10" fontId="13" fillId="6" borderId="27" xfId="4" applyNumberFormat="1" applyFont="1" applyFill="1" applyBorder="1" applyAlignment="1">
      <alignment horizontal="center"/>
    </xf>
    <xf numFmtId="0" fontId="11" fillId="2" borderId="43" xfId="4" applyFont="1" applyFill="1" applyBorder="1"/>
    <xf numFmtId="0" fontId="11" fillId="2" borderId="56" xfId="4" applyFont="1" applyFill="1" applyBorder="1" applyAlignment="1">
      <alignment horizontal="right"/>
    </xf>
    <xf numFmtId="0" fontId="13" fillId="7" borderId="17" xfId="4" applyFont="1" applyFill="1" applyBorder="1" applyAlignment="1">
      <alignment horizontal="center"/>
    </xf>
    <xf numFmtId="0" fontId="19" fillId="2" borderId="0" xfId="4" applyFont="1" applyFill="1" applyAlignment="1">
      <alignment horizontal="right" vertical="center" wrapText="1"/>
    </xf>
    <xf numFmtId="0" fontId="19" fillId="2" borderId="9" xfId="4" applyFont="1" applyFill="1" applyBorder="1" applyAlignment="1">
      <alignment horizontal="left" vertical="center" wrapText="1"/>
    </xf>
    <xf numFmtId="0" fontId="11" fillId="2" borderId="9" xfId="4" applyFont="1" applyFill="1" applyBorder="1"/>
    <xf numFmtId="0" fontId="11" fillId="2" borderId="10" xfId="4" applyFont="1" applyFill="1" applyBorder="1" applyAlignment="1">
      <alignment horizontal="center"/>
    </xf>
    <xf numFmtId="0" fontId="11" fillId="2" borderId="7" xfId="4" applyFont="1" applyFill="1" applyBorder="1"/>
    <xf numFmtId="0" fontId="12" fillId="2" borderId="11" xfId="4" applyFont="1" applyFill="1" applyBorder="1"/>
    <xf numFmtId="0" fontId="11" fillId="2" borderId="11" xfId="4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10" fontId="15" fillId="2" borderId="14" xfId="4" applyNumberFormat="1" applyFont="1" applyFill="1" applyBorder="1" applyAlignment="1">
      <alignment horizontal="center" vertical="center"/>
    </xf>
    <xf numFmtId="0" fontId="19" fillId="2" borderId="21" xfId="4" applyFont="1" applyFill="1" applyBorder="1" applyAlignment="1">
      <alignment horizontal="left" vertical="center" wrapText="1"/>
    </xf>
    <xf numFmtId="0" fontId="19" fillId="2" borderId="10" xfId="4" applyFont="1" applyFill="1" applyBorder="1" applyAlignment="1">
      <alignment horizontal="left" vertical="center" wrapText="1"/>
    </xf>
    <xf numFmtId="0" fontId="19" fillId="2" borderId="43" xfId="4" applyFont="1" applyFill="1" applyBorder="1" applyAlignment="1">
      <alignment horizontal="left" vertical="center" wrapText="1"/>
    </xf>
    <xf numFmtId="0" fontId="19" fillId="2" borderId="9" xfId="4" applyFont="1" applyFill="1" applyBorder="1" applyAlignment="1">
      <alignment horizontal="left" vertical="center" wrapText="1"/>
    </xf>
    <xf numFmtId="0" fontId="19" fillId="2" borderId="22" xfId="4" applyFont="1" applyFill="1" applyBorder="1" applyAlignment="1">
      <alignment horizontal="left" vertical="center" wrapText="1"/>
    </xf>
    <xf numFmtId="0" fontId="19" fillId="2" borderId="44" xfId="4" applyFont="1" applyFill="1" applyBorder="1" applyAlignment="1">
      <alignment horizontal="left" vertical="center" wrapText="1"/>
    </xf>
    <xf numFmtId="0" fontId="12" fillId="2" borderId="0" xfId="4" applyFont="1" applyFill="1" applyAlignment="1">
      <alignment horizontal="center"/>
    </xf>
    <xf numFmtId="0" fontId="12" fillId="2" borderId="10" xfId="4" applyFont="1" applyFill="1" applyBorder="1" applyAlignment="1">
      <alignment horizontal="center"/>
    </xf>
    <xf numFmtId="0" fontId="12" fillId="2" borderId="47" xfId="4" applyFont="1" applyFill="1" applyBorder="1" applyAlignment="1">
      <alignment horizontal="center"/>
    </xf>
    <xf numFmtId="0" fontId="12" fillId="2" borderId="58" xfId="4" applyFont="1" applyFill="1" applyBorder="1" applyAlignment="1">
      <alignment horizontal="center"/>
    </xf>
    <xf numFmtId="0" fontId="12" fillId="2" borderId="10" xfId="4" applyFont="1" applyFill="1" applyBorder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2" fillId="2" borderId="9" xfId="4" applyFont="1" applyFill="1" applyBorder="1" applyAlignment="1">
      <alignment horizontal="center" vertical="center"/>
    </xf>
    <xf numFmtId="2" fontId="13" fillId="3" borderId="13" xfId="4" applyNumberFormat="1" applyFont="1" applyFill="1" applyBorder="1" applyAlignment="1" applyProtection="1">
      <alignment horizontal="center" vertical="center"/>
      <protection locked="0"/>
    </xf>
    <xf numFmtId="2" fontId="13" fillId="3" borderId="14" xfId="4" applyNumberFormat="1" applyFont="1" applyFill="1" applyBorder="1" applyAlignment="1" applyProtection="1">
      <alignment horizontal="center" vertical="center"/>
      <protection locked="0"/>
    </xf>
    <xf numFmtId="2" fontId="13" fillId="3" borderId="15" xfId="4" applyNumberFormat="1" applyFont="1" applyFill="1" applyBorder="1" applyAlignment="1" applyProtection="1">
      <alignment horizontal="center" vertical="center"/>
      <protection locked="0"/>
    </xf>
    <xf numFmtId="0" fontId="12" fillId="2" borderId="43" xfId="4" applyFont="1" applyFill="1" applyBorder="1" applyAlignment="1">
      <alignment horizontal="center" vertical="center"/>
    </xf>
    <xf numFmtId="0" fontId="13" fillId="3" borderId="0" xfId="4" applyFont="1" applyFill="1" applyAlignment="1" applyProtection="1">
      <alignment horizontal="left"/>
      <protection locked="0"/>
    </xf>
    <xf numFmtId="0" fontId="19" fillId="2" borderId="18" xfId="4" applyFont="1" applyFill="1" applyBorder="1" applyAlignment="1">
      <alignment horizontal="justify" vertical="center" wrapText="1"/>
    </xf>
    <xf numFmtId="0" fontId="19" fillId="2" borderId="19" xfId="4" applyFont="1" applyFill="1" applyBorder="1" applyAlignment="1">
      <alignment horizontal="justify" vertical="center" wrapText="1"/>
    </xf>
    <xf numFmtId="0" fontId="19" fillId="2" borderId="20" xfId="4" applyFont="1" applyFill="1" applyBorder="1" applyAlignment="1">
      <alignment horizontal="justify" vertical="center" wrapText="1"/>
    </xf>
    <xf numFmtId="0" fontId="19" fillId="2" borderId="18" xfId="4" applyFont="1" applyFill="1" applyBorder="1" applyAlignment="1">
      <alignment horizontal="left" vertical="center" wrapText="1"/>
    </xf>
    <xf numFmtId="0" fontId="19" fillId="2" borderId="19" xfId="4" applyFont="1" applyFill="1" applyBorder="1" applyAlignment="1">
      <alignment horizontal="left" vertical="center" wrapText="1"/>
    </xf>
    <xf numFmtId="0" fontId="19" fillId="2" borderId="20" xfId="4" applyFont="1" applyFill="1" applyBorder="1" applyAlignment="1">
      <alignment horizontal="left" vertical="center" wrapText="1"/>
    </xf>
    <xf numFmtId="0" fontId="19" fillId="2" borderId="21" xfId="4" applyFont="1" applyFill="1" applyBorder="1" applyAlignment="1">
      <alignment horizontal="center" vertical="center" wrapText="1"/>
    </xf>
    <xf numFmtId="0" fontId="19" fillId="2" borderId="22" xfId="4" applyFont="1" applyFill="1" applyBorder="1" applyAlignment="1">
      <alignment horizontal="center" vertical="center" wrapText="1"/>
    </xf>
    <xf numFmtId="0" fontId="19" fillId="2" borderId="43" xfId="4" applyFont="1" applyFill="1" applyBorder="1" applyAlignment="1">
      <alignment horizontal="center" vertical="center" wrapText="1"/>
    </xf>
    <xf numFmtId="0" fontId="19" fillId="2" borderId="44" xfId="4" applyFont="1" applyFill="1" applyBorder="1" applyAlignment="1">
      <alignment horizontal="center" vertical="center" wrapText="1"/>
    </xf>
    <xf numFmtId="0" fontId="12" fillId="2" borderId="40" xfId="4" applyFont="1" applyFill="1" applyBorder="1" applyAlignment="1">
      <alignment horizontal="center"/>
    </xf>
    <xf numFmtId="0" fontId="21" fillId="2" borderId="0" xfId="4" applyFont="1" applyFill="1" applyAlignment="1">
      <alignment horizontal="center" vertical="center"/>
    </xf>
    <xf numFmtId="0" fontId="22" fillId="2" borderId="0" xfId="4" applyFont="1" applyFill="1" applyAlignment="1">
      <alignment horizontal="center" vertical="center"/>
    </xf>
    <xf numFmtId="0" fontId="19" fillId="2" borderId="18" xfId="4" applyFont="1" applyFill="1" applyBorder="1" applyAlignment="1">
      <alignment horizontal="center"/>
    </xf>
    <xf numFmtId="0" fontId="19" fillId="2" borderId="19" xfId="4" applyFont="1" applyFill="1" applyBorder="1" applyAlignment="1">
      <alignment horizontal="center"/>
    </xf>
    <xf numFmtId="0" fontId="19" fillId="2" borderId="20" xfId="4" applyFont="1" applyFill="1" applyBorder="1" applyAlignment="1">
      <alignment horizontal="center"/>
    </xf>
    <xf numFmtId="0" fontId="20" fillId="2" borderId="10" xfId="4" applyFont="1" applyFill="1" applyBorder="1" applyAlignment="1">
      <alignment horizontal="center" vertical="center"/>
    </xf>
    <xf numFmtId="0" fontId="13" fillId="3" borderId="0" xfId="4" applyFont="1" applyFill="1" applyAlignment="1" applyProtection="1">
      <alignment horizontal="left" wrapText="1"/>
      <protection locked="0"/>
    </xf>
    <xf numFmtId="0" fontId="14" fillId="3" borderId="0" xfId="4" applyFont="1" applyFill="1" applyAlignment="1" applyProtection="1">
      <alignment horizontal="left" wrapText="1"/>
      <protection locked="0"/>
    </xf>
    <xf numFmtId="0" fontId="14" fillId="3" borderId="0" xfId="4" applyFont="1" applyFill="1" applyAlignment="1" applyProtection="1">
      <alignment horizontal="left"/>
      <protection locked="0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A23" sqref="A23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86" t="s">
        <v>0</v>
      </c>
      <c r="B15" s="586"/>
      <c r="C15" s="586"/>
      <c r="D15" s="586"/>
      <c r="E15" s="586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7" t="s">
        <v>7</v>
      </c>
      <c r="D17" s="54"/>
      <c r="E17" s="55"/>
    </row>
    <row r="18" spans="1:5" ht="16.5" customHeight="1" x14ac:dyDescent="0.3">
      <c r="A18" s="56" t="s">
        <v>4</v>
      </c>
      <c r="B18" s="53" t="s">
        <v>136</v>
      </c>
      <c r="C18" s="55"/>
      <c r="D18" s="55"/>
      <c r="E18" s="55"/>
    </row>
    <row r="19" spans="1:5" ht="16.5" customHeight="1" x14ac:dyDescent="0.3">
      <c r="A19" s="56" t="s">
        <v>6</v>
      </c>
      <c r="B19" s="49">
        <v>101.74</v>
      </c>
      <c r="C19" s="55"/>
      <c r="D19" s="55"/>
      <c r="E19" s="55"/>
    </row>
    <row r="20" spans="1:5" ht="16.5" customHeight="1" x14ac:dyDescent="0.3">
      <c r="A20" s="53" t="s">
        <v>8</v>
      </c>
      <c r="B20" s="57">
        <v>14.41</v>
      </c>
      <c r="C20" s="55"/>
      <c r="D20" s="55"/>
      <c r="E20" s="55"/>
    </row>
    <row r="21" spans="1:5" ht="16.5" customHeight="1" x14ac:dyDescent="0.3">
      <c r="A21" s="53" t="s">
        <v>10</v>
      </c>
      <c r="B21" s="58">
        <v>0.06</v>
      </c>
      <c r="C21" s="55"/>
      <c r="D21" s="55"/>
      <c r="E21" s="55"/>
    </row>
    <row r="22" spans="1:5" ht="15.75" customHeight="1" x14ac:dyDescent="0.25">
      <c r="A22" s="55"/>
      <c r="B22" s="55" t="s">
        <v>127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16398460</v>
      </c>
      <c r="C24" s="62">
        <v>10050.700000000001</v>
      </c>
      <c r="D24" s="63">
        <v>1.1000000000000001</v>
      </c>
      <c r="E24" s="64">
        <v>5.5</v>
      </c>
    </row>
    <row r="25" spans="1:5" ht="16.5" customHeight="1" x14ac:dyDescent="0.3">
      <c r="A25" s="61">
        <v>2</v>
      </c>
      <c r="B25" s="62">
        <v>16285159</v>
      </c>
      <c r="C25" s="62">
        <v>10104.700000000001</v>
      </c>
      <c r="D25" s="63">
        <v>1.1000000000000001</v>
      </c>
      <c r="E25" s="63">
        <v>5.5</v>
      </c>
    </row>
    <row r="26" spans="1:5" ht="16.5" customHeight="1" x14ac:dyDescent="0.3">
      <c r="A26" s="61">
        <v>3</v>
      </c>
      <c r="B26" s="62">
        <v>16341001</v>
      </c>
      <c r="C26" s="62">
        <v>10116.9</v>
      </c>
      <c r="D26" s="63">
        <v>1</v>
      </c>
      <c r="E26" s="63">
        <v>5.5</v>
      </c>
    </row>
    <row r="27" spans="1:5" ht="16.5" customHeight="1" x14ac:dyDescent="0.3">
      <c r="A27" s="61">
        <v>4</v>
      </c>
      <c r="B27" s="62">
        <v>16301087</v>
      </c>
      <c r="C27" s="62">
        <v>10119.200000000001</v>
      </c>
      <c r="D27" s="63">
        <v>1</v>
      </c>
      <c r="E27" s="63">
        <v>5.5</v>
      </c>
    </row>
    <row r="28" spans="1:5" ht="16.5" customHeight="1" x14ac:dyDescent="0.3">
      <c r="A28" s="61">
        <v>5</v>
      </c>
      <c r="B28" s="62">
        <v>16302381</v>
      </c>
      <c r="C28" s="62">
        <v>10075.200000000001</v>
      </c>
      <c r="D28" s="63">
        <v>1</v>
      </c>
      <c r="E28" s="63">
        <v>5.5</v>
      </c>
    </row>
    <row r="29" spans="1:5" ht="16.5" customHeight="1" x14ac:dyDescent="0.3">
      <c r="A29" s="61">
        <v>6</v>
      </c>
      <c r="B29" s="65">
        <v>16261740</v>
      </c>
      <c r="C29" s="65">
        <v>10096.200000000001</v>
      </c>
      <c r="D29" s="66">
        <v>1</v>
      </c>
      <c r="E29" s="66">
        <v>5.5</v>
      </c>
    </row>
    <row r="30" spans="1:5" ht="16.5" customHeight="1" x14ac:dyDescent="0.3">
      <c r="A30" s="67" t="s">
        <v>18</v>
      </c>
      <c r="B30" s="68">
        <f>AVERAGE(B24:B29)</f>
        <v>16314971.333333334</v>
      </c>
      <c r="C30" s="69">
        <f>AVERAGE(C24:C29)</f>
        <v>10093.816666666666</v>
      </c>
      <c r="D30" s="70">
        <f>AVERAGE(D24:D29)</f>
        <v>1.0333333333333334</v>
      </c>
      <c r="E30" s="70">
        <f>AVERAGE(E24:E29)</f>
        <v>5.5</v>
      </c>
    </row>
    <row r="31" spans="1:5" ht="16.5" customHeight="1" x14ac:dyDescent="0.3">
      <c r="A31" s="71" t="s">
        <v>19</v>
      </c>
      <c r="B31" s="72">
        <f>(STDEV(B24:B29)/B30)</f>
        <v>2.967707279794981E-3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136</v>
      </c>
      <c r="C39" s="55"/>
      <c r="D39" s="55"/>
      <c r="E39" s="55"/>
    </row>
    <row r="40" spans="1:5" ht="16.5" customHeight="1" x14ac:dyDescent="0.3">
      <c r="A40" s="56" t="s">
        <v>6</v>
      </c>
      <c r="B40" s="57">
        <f>B19</f>
        <v>101.74</v>
      </c>
      <c r="C40" s="55"/>
      <c r="D40" s="55"/>
      <c r="E40" s="55"/>
    </row>
    <row r="41" spans="1:5" ht="16.5" customHeight="1" x14ac:dyDescent="0.3">
      <c r="A41" s="53" t="s">
        <v>8</v>
      </c>
      <c r="B41" s="57">
        <v>14.41</v>
      </c>
      <c r="C41" s="55"/>
      <c r="D41" s="55"/>
      <c r="E41" s="55"/>
    </row>
    <row r="42" spans="1:5" ht="16.5" customHeight="1" x14ac:dyDescent="0.3">
      <c r="A42" s="53" t="s">
        <v>10</v>
      </c>
      <c r="B42" s="58">
        <v>0.3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>
        <v>79913579</v>
      </c>
      <c r="C45" s="62">
        <v>79913579</v>
      </c>
      <c r="D45" s="63">
        <v>1.1000000000000001</v>
      </c>
      <c r="E45" s="64">
        <v>5.9</v>
      </c>
    </row>
    <row r="46" spans="1:5" ht="16.5" customHeight="1" x14ac:dyDescent="0.3">
      <c r="A46" s="61">
        <v>2</v>
      </c>
      <c r="B46" s="62">
        <v>79706144</v>
      </c>
      <c r="C46" s="62">
        <v>79706144</v>
      </c>
      <c r="D46" s="63">
        <v>1.1000000000000001</v>
      </c>
      <c r="E46" s="63">
        <v>5.9</v>
      </c>
    </row>
    <row r="47" spans="1:5" ht="16.5" customHeight="1" x14ac:dyDescent="0.3">
      <c r="A47" s="61">
        <v>3</v>
      </c>
      <c r="B47" s="62">
        <v>79752313</v>
      </c>
      <c r="C47" s="62">
        <v>79752313</v>
      </c>
      <c r="D47" s="63">
        <v>1.1000000000000001</v>
      </c>
      <c r="E47" s="63">
        <v>5.9</v>
      </c>
    </row>
    <row r="48" spans="1:5" ht="16.5" customHeight="1" x14ac:dyDescent="0.3">
      <c r="A48" s="61">
        <v>4</v>
      </c>
      <c r="B48" s="62">
        <v>80544326</v>
      </c>
      <c r="C48" s="62">
        <v>80544326</v>
      </c>
      <c r="D48" s="63">
        <v>1.1000000000000001</v>
      </c>
      <c r="E48" s="63">
        <v>5.9</v>
      </c>
    </row>
    <row r="49" spans="1:7" ht="16.5" customHeight="1" x14ac:dyDescent="0.3">
      <c r="A49" s="61">
        <v>5</v>
      </c>
      <c r="B49" s="62">
        <v>79872559</v>
      </c>
      <c r="C49" s="62">
        <v>79872559</v>
      </c>
      <c r="D49" s="63">
        <v>1.1000000000000001</v>
      </c>
      <c r="E49" s="63">
        <v>5.9</v>
      </c>
    </row>
    <row r="50" spans="1:7" ht="16.5" customHeight="1" x14ac:dyDescent="0.3">
      <c r="A50" s="61">
        <v>6</v>
      </c>
      <c r="B50" s="65">
        <v>80938458</v>
      </c>
      <c r="C50" s="65">
        <v>80938458</v>
      </c>
      <c r="D50" s="66">
        <v>1.1000000000000001</v>
      </c>
      <c r="E50" s="66">
        <v>5.9</v>
      </c>
    </row>
    <row r="51" spans="1:7" ht="16.5" customHeight="1" x14ac:dyDescent="0.3">
      <c r="A51" s="67" t="s">
        <v>18</v>
      </c>
      <c r="B51" s="68">
        <f>AVERAGE(B45:B50)</f>
        <v>80121229.833333328</v>
      </c>
      <c r="C51" s="69">
        <f>AVERAGE(C45:C50)</f>
        <v>80121229.833333328</v>
      </c>
      <c r="D51" s="70">
        <v>1.1000000000000001</v>
      </c>
      <c r="E51" s="70">
        <f>AVERAGE(E45:E50)</f>
        <v>5.8999999999999995</v>
      </c>
    </row>
    <row r="52" spans="1:7" ht="16.5" customHeight="1" x14ac:dyDescent="0.3">
      <c r="A52" s="71" t="s">
        <v>19</v>
      </c>
      <c r="B52" s="72">
        <f>(STDEV(B45:B50)/B51)</f>
        <v>6.2660130331766506E-3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587" t="s">
        <v>26</v>
      </c>
      <c r="C59" s="587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8" workbookViewId="0">
      <selection activeCell="C32" sqref="C32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86" t="s">
        <v>0</v>
      </c>
      <c r="B15" s="586"/>
      <c r="C15" s="586"/>
      <c r="D15" s="586"/>
      <c r="E15" s="586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7" t="s">
        <v>7</v>
      </c>
      <c r="D17" s="54"/>
      <c r="E17" s="55"/>
    </row>
    <row r="18" spans="1:5" ht="16.5" customHeight="1" x14ac:dyDescent="0.3">
      <c r="A18" s="56" t="s">
        <v>4</v>
      </c>
      <c r="B18" s="53" t="s">
        <v>137</v>
      </c>
      <c r="C18" s="55"/>
      <c r="D18" s="55"/>
      <c r="E18" s="55"/>
    </row>
    <row r="19" spans="1:5" ht="16.5" customHeight="1" x14ac:dyDescent="0.3">
      <c r="A19" s="56" t="s">
        <v>6</v>
      </c>
      <c r="B19" s="49">
        <v>98.8</v>
      </c>
      <c r="C19" s="55"/>
      <c r="D19" s="55"/>
      <c r="E19" s="55"/>
    </row>
    <row r="20" spans="1:5" ht="16.5" customHeight="1" x14ac:dyDescent="0.3">
      <c r="A20" s="53" t="s">
        <v>8</v>
      </c>
      <c r="B20" s="57">
        <v>14.87</v>
      </c>
      <c r="C20" s="55"/>
      <c r="D20" s="55"/>
      <c r="E20" s="55"/>
    </row>
    <row r="21" spans="1:5" ht="16.5" customHeight="1" x14ac:dyDescent="0.3">
      <c r="A21" s="53" t="s">
        <v>10</v>
      </c>
      <c r="B21" s="58">
        <v>0.06</v>
      </c>
      <c r="C21" s="55"/>
      <c r="D21" s="55"/>
      <c r="E21" s="55"/>
    </row>
    <row r="22" spans="1:5" ht="15.75" customHeight="1" x14ac:dyDescent="0.25">
      <c r="A22" s="55"/>
      <c r="B22" s="55" t="s">
        <v>127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12310642</v>
      </c>
      <c r="C24" s="62">
        <v>169718.9</v>
      </c>
      <c r="D24" s="63">
        <v>1.1000000000000001</v>
      </c>
      <c r="E24" s="64">
        <v>15.1</v>
      </c>
    </row>
    <row r="25" spans="1:5" ht="16.5" customHeight="1" x14ac:dyDescent="0.3">
      <c r="A25" s="61">
        <v>2</v>
      </c>
      <c r="B25" s="62">
        <v>12340448</v>
      </c>
      <c r="C25" s="62">
        <v>168574.2</v>
      </c>
      <c r="D25" s="63">
        <v>1.1000000000000001</v>
      </c>
      <c r="E25" s="63">
        <v>15.1</v>
      </c>
    </row>
    <row r="26" spans="1:5" ht="16.5" customHeight="1" x14ac:dyDescent="0.3">
      <c r="A26" s="61">
        <v>3</v>
      </c>
      <c r="B26" s="62">
        <v>12352120</v>
      </c>
      <c r="C26" s="62">
        <v>169045</v>
      </c>
      <c r="D26" s="63">
        <v>1.1000000000000001</v>
      </c>
      <c r="E26" s="63">
        <v>15.1</v>
      </c>
    </row>
    <row r="27" spans="1:5" ht="16.5" customHeight="1" x14ac:dyDescent="0.3">
      <c r="A27" s="61">
        <v>4</v>
      </c>
      <c r="B27" s="62">
        <v>12300862</v>
      </c>
      <c r="C27" s="62">
        <v>168841.5</v>
      </c>
      <c r="D27" s="63">
        <v>1.1000000000000001</v>
      </c>
      <c r="E27" s="63">
        <v>15.1</v>
      </c>
    </row>
    <row r="28" spans="1:5" ht="16.5" customHeight="1" x14ac:dyDescent="0.3">
      <c r="A28" s="61">
        <v>5</v>
      </c>
      <c r="B28" s="62">
        <v>12306762</v>
      </c>
      <c r="C28" s="62">
        <v>168963</v>
      </c>
      <c r="D28" s="63">
        <v>1.1000000000000001</v>
      </c>
      <c r="E28" s="63">
        <v>15.1</v>
      </c>
    </row>
    <row r="29" spans="1:5" ht="16.5" customHeight="1" x14ac:dyDescent="0.3">
      <c r="A29" s="61">
        <v>6</v>
      </c>
      <c r="B29" s="65">
        <v>12275012</v>
      </c>
      <c r="C29" s="65">
        <v>168370.3</v>
      </c>
      <c r="D29" s="66">
        <v>1</v>
      </c>
      <c r="E29" s="66">
        <v>15.1</v>
      </c>
    </row>
    <row r="30" spans="1:5" ht="16.5" customHeight="1" x14ac:dyDescent="0.3">
      <c r="A30" s="67" t="s">
        <v>18</v>
      </c>
      <c r="B30" s="68">
        <f>AVERAGE(B24:B29)</f>
        <v>12314307.666666666</v>
      </c>
      <c r="C30" s="69">
        <f>AVERAGE(C24:C29)</f>
        <v>168918.81666666665</v>
      </c>
      <c r="D30" s="70">
        <f>AVERAGE(D24:D29)</f>
        <v>1.0833333333333333</v>
      </c>
      <c r="E30" s="70">
        <f>AVERAGE(E24:E29)</f>
        <v>15.1</v>
      </c>
    </row>
    <row r="31" spans="1:5" ht="16.5" customHeight="1" x14ac:dyDescent="0.3">
      <c r="A31" s="71" t="s">
        <v>19</v>
      </c>
      <c r="B31" s="72">
        <f>(STDEV(B24:B29)/B30)</f>
        <v>2.2704108457821106E-3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137</v>
      </c>
      <c r="C39" s="55"/>
      <c r="D39" s="55"/>
      <c r="E39" s="55"/>
    </row>
    <row r="40" spans="1:5" ht="16.5" customHeight="1" x14ac:dyDescent="0.3">
      <c r="A40" s="56" t="s">
        <v>6</v>
      </c>
      <c r="B40" s="57">
        <v>98.8</v>
      </c>
      <c r="C40" s="55"/>
      <c r="D40" s="55"/>
      <c r="E40" s="55"/>
    </row>
    <row r="41" spans="1:5" ht="16.5" customHeight="1" x14ac:dyDescent="0.3">
      <c r="A41" s="53" t="s">
        <v>8</v>
      </c>
      <c r="B41" s="57">
        <v>14.87</v>
      </c>
      <c r="C41" s="55"/>
      <c r="D41" s="55"/>
      <c r="E41" s="55"/>
    </row>
    <row r="42" spans="1:5" ht="16.5" customHeight="1" x14ac:dyDescent="0.3">
      <c r="A42" s="53" t="s">
        <v>10</v>
      </c>
      <c r="B42" s="58">
        <v>0.3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>
        <v>60229549</v>
      </c>
      <c r="C45" s="62">
        <v>151627.20000000001</v>
      </c>
      <c r="D45" s="63">
        <v>1.1000000000000001</v>
      </c>
      <c r="E45" s="64">
        <v>15.4</v>
      </c>
    </row>
    <row r="46" spans="1:5" ht="16.5" customHeight="1" x14ac:dyDescent="0.3">
      <c r="A46" s="61">
        <v>2</v>
      </c>
      <c r="B46" s="62">
        <v>59735916</v>
      </c>
      <c r="C46" s="62">
        <v>152564.6</v>
      </c>
      <c r="D46" s="63">
        <v>1.1000000000000001</v>
      </c>
      <c r="E46" s="63">
        <v>15.4</v>
      </c>
    </row>
    <row r="47" spans="1:5" ht="16.5" customHeight="1" x14ac:dyDescent="0.3">
      <c r="A47" s="61">
        <v>3</v>
      </c>
      <c r="B47" s="62">
        <v>59683412</v>
      </c>
      <c r="C47" s="62">
        <v>151971.29999999999</v>
      </c>
      <c r="D47" s="63">
        <v>1.2</v>
      </c>
      <c r="E47" s="63">
        <v>15.4</v>
      </c>
    </row>
    <row r="48" spans="1:5" ht="16.5" customHeight="1" x14ac:dyDescent="0.3">
      <c r="A48" s="61">
        <v>4</v>
      </c>
      <c r="B48" s="62">
        <v>60364519</v>
      </c>
      <c r="C48" s="62">
        <v>152966.79999999999</v>
      </c>
      <c r="D48" s="63">
        <v>1.1000000000000001</v>
      </c>
      <c r="E48" s="63">
        <v>15.4</v>
      </c>
    </row>
    <row r="49" spans="1:7" ht="16.5" customHeight="1" x14ac:dyDescent="0.3">
      <c r="A49" s="61">
        <v>5</v>
      </c>
      <c r="B49" s="62">
        <v>59843734</v>
      </c>
      <c r="C49" s="62">
        <v>152882.29999999999</v>
      </c>
      <c r="D49" s="63">
        <v>1.1000000000000001</v>
      </c>
      <c r="E49" s="63">
        <v>15.4</v>
      </c>
    </row>
    <row r="50" spans="1:7" ht="16.5" customHeight="1" x14ac:dyDescent="0.3">
      <c r="A50" s="61">
        <v>6</v>
      </c>
      <c r="B50" s="65">
        <v>60643377</v>
      </c>
      <c r="C50" s="65">
        <v>152018.4</v>
      </c>
      <c r="D50" s="66">
        <v>1.2</v>
      </c>
      <c r="E50" s="66">
        <v>15.4</v>
      </c>
    </row>
    <row r="51" spans="1:7" ht="16.5" customHeight="1" x14ac:dyDescent="0.3">
      <c r="A51" s="67" t="s">
        <v>18</v>
      </c>
      <c r="B51" s="68">
        <f>AVERAGE(B45:B50)</f>
        <v>60083417.833333336</v>
      </c>
      <c r="C51" s="69">
        <f>AVERAGE(C45:C50)</f>
        <v>152338.43333333332</v>
      </c>
      <c r="D51" s="70">
        <f>AVERAGE(D45:D50)</f>
        <v>1.1333333333333333</v>
      </c>
      <c r="E51" s="70">
        <f>AVERAGE(E45:E50)</f>
        <v>15.4</v>
      </c>
    </row>
    <row r="52" spans="1:7" ht="16.5" customHeight="1" x14ac:dyDescent="0.3">
      <c r="A52" s="71" t="s">
        <v>19</v>
      </c>
      <c r="B52" s="72">
        <f>(STDEV(B45:B50)/B51)</f>
        <v>6.4551871839107367E-3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587" t="s">
        <v>26</v>
      </c>
      <c r="C59" s="587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C25" sqref="C25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586" t="s">
        <v>0</v>
      </c>
      <c r="B15" s="586"/>
      <c r="C15" s="586"/>
      <c r="D15" s="586"/>
      <c r="E15" s="586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7" t="s">
        <v>7</v>
      </c>
      <c r="D17" s="54"/>
      <c r="E17" s="55"/>
    </row>
    <row r="18" spans="1:5" ht="16.5" customHeight="1" x14ac:dyDescent="0.3">
      <c r="A18" s="56" t="s">
        <v>4</v>
      </c>
      <c r="B18" s="53" t="s">
        <v>138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99.3</v>
      </c>
      <c r="C19" s="55"/>
      <c r="D19" s="55"/>
      <c r="E19" s="55"/>
    </row>
    <row r="20" spans="1:5" ht="16.5" customHeight="1" x14ac:dyDescent="0.3">
      <c r="A20" s="53" t="s">
        <v>8</v>
      </c>
      <c r="B20" s="57">
        <v>29.47</v>
      </c>
      <c r="C20" s="55"/>
      <c r="D20" s="55"/>
      <c r="E20" s="55"/>
    </row>
    <row r="21" spans="1:5" ht="16.5" customHeight="1" x14ac:dyDescent="0.3">
      <c r="A21" s="53" t="s">
        <v>10</v>
      </c>
      <c r="B21" s="58">
        <v>0.12</v>
      </c>
      <c r="C21" s="55"/>
      <c r="D21" s="55"/>
      <c r="E21" s="55"/>
    </row>
    <row r="22" spans="1:5" ht="15.75" customHeight="1" x14ac:dyDescent="0.25">
      <c r="A22" s="55"/>
      <c r="B22" s="55" t="s">
        <v>127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45243234</v>
      </c>
      <c r="C24" s="62">
        <v>153620.9</v>
      </c>
      <c r="D24" s="63">
        <v>1.1000000000000001</v>
      </c>
      <c r="E24" s="64">
        <v>21.9</v>
      </c>
    </row>
    <row r="25" spans="1:5" ht="16.5" customHeight="1" x14ac:dyDescent="0.3">
      <c r="A25" s="61">
        <v>2</v>
      </c>
      <c r="B25" s="62">
        <v>45386498</v>
      </c>
      <c r="C25" s="62">
        <v>153712.1</v>
      </c>
      <c r="D25" s="63">
        <v>1</v>
      </c>
      <c r="E25" s="63">
        <v>21.9</v>
      </c>
    </row>
    <row r="26" spans="1:5" ht="16.5" customHeight="1" x14ac:dyDescent="0.3">
      <c r="A26" s="61">
        <v>3</v>
      </c>
      <c r="B26" s="62">
        <v>45438019</v>
      </c>
      <c r="C26" s="62">
        <v>153663</v>
      </c>
      <c r="D26" s="63">
        <v>1.1000000000000001</v>
      </c>
      <c r="E26" s="63">
        <v>21.9</v>
      </c>
    </row>
    <row r="27" spans="1:5" ht="16.5" customHeight="1" x14ac:dyDescent="0.3">
      <c r="A27" s="61">
        <v>4</v>
      </c>
      <c r="B27" s="62">
        <v>45275333</v>
      </c>
      <c r="C27" s="62">
        <v>153023.6</v>
      </c>
      <c r="D27" s="63">
        <v>1.1000000000000001</v>
      </c>
      <c r="E27" s="63">
        <v>21.9</v>
      </c>
    </row>
    <row r="28" spans="1:5" ht="16.5" customHeight="1" x14ac:dyDescent="0.3">
      <c r="A28" s="61">
        <v>5</v>
      </c>
      <c r="B28" s="62">
        <v>45286046</v>
      </c>
      <c r="C28" s="62">
        <v>153301.79999999999</v>
      </c>
      <c r="D28" s="63">
        <v>1.1000000000000001</v>
      </c>
      <c r="E28" s="63">
        <v>21.9</v>
      </c>
    </row>
    <row r="29" spans="1:5" ht="16.5" customHeight="1" x14ac:dyDescent="0.3">
      <c r="A29" s="61">
        <v>6</v>
      </c>
      <c r="B29" s="65">
        <v>45181301</v>
      </c>
      <c r="C29" s="65">
        <v>153148.70000000001</v>
      </c>
      <c r="D29" s="66">
        <v>1.1000000000000001</v>
      </c>
      <c r="E29" s="66">
        <v>21.9</v>
      </c>
    </row>
    <row r="30" spans="1:5" ht="16.5" customHeight="1" x14ac:dyDescent="0.3">
      <c r="A30" s="67" t="s">
        <v>18</v>
      </c>
      <c r="B30" s="68">
        <f>AVERAGE(B24:B29)</f>
        <v>45301738.5</v>
      </c>
      <c r="C30" s="69">
        <f>AVERAGE(C24:C29)</f>
        <v>153411.68333333332</v>
      </c>
      <c r="D30" s="70">
        <f>AVERAGE(D24:D29)</f>
        <v>1.0833333333333333</v>
      </c>
      <c r="E30" s="70">
        <f>AVERAGE(E24:E29)</f>
        <v>21.900000000000002</v>
      </c>
    </row>
    <row r="31" spans="1:5" ht="16.5" customHeight="1" x14ac:dyDescent="0.3">
      <c r="A31" s="71" t="s">
        <v>19</v>
      </c>
      <c r="B31" s="72">
        <f>(STDEV(B24:B29)/B30)</f>
        <v>2.0854699704341822E-3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138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99.3</v>
      </c>
      <c r="C40" s="55"/>
      <c r="D40" s="55"/>
      <c r="E40" s="55"/>
    </row>
    <row r="41" spans="1:5" ht="16.5" customHeight="1" x14ac:dyDescent="0.3">
      <c r="A41" s="53" t="s">
        <v>8</v>
      </c>
      <c r="B41" s="57">
        <v>29.47</v>
      </c>
      <c r="C41" s="55"/>
      <c r="D41" s="55"/>
      <c r="E41" s="55"/>
    </row>
    <row r="42" spans="1:5" ht="16.5" customHeight="1" x14ac:dyDescent="0.3">
      <c r="A42" s="53" t="s">
        <v>10</v>
      </c>
      <c r="B42" s="58">
        <v>0.6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>
        <v>192843237</v>
      </c>
      <c r="C45" s="62">
        <v>138077.5</v>
      </c>
      <c r="D45" s="63">
        <v>1.1000000000000001</v>
      </c>
      <c r="E45" s="64">
        <v>21.5</v>
      </c>
    </row>
    <row r="46" spans="1:5" ht="16.5" customHeight="1" x14ac:dyDescent="0.3">
      <c r="A46" s="61">
        <v>2</v>
      </c>
      <c r="B46" s="62">
        <v>193155761</v>
      </c>
      <c r="C46" s="62">
        <v>137894.29999999999</v>
      </c>
      <c r="D46" s="63">
        <v>1.1000000000000001</v>
      </c>
      <c r="E46" s="63">
        <v>21.5</v>
      </c>
    </row>
    <row r="47" spans="1:5" ht="16.5" customHeight="1" x14ac:dyDescent="0.3">
      <c r="A47" s="61">
        <v>3</v>
      </c>
      <c r="B47" s="62">
        <v>192979529</v>
      </c>
      <c r="C47" s="62">
        <v>138949.79999999999</v>
      </c>
      <c r="D47" s="63">
        <v>1.1000000000000001</v>
      </c>
      <c r="E47" s="63">
        <v>21.5</v>
      </c>
    </row>
    <row r="48" spans="1:5" ht="16.5" customHeight="1" x14ac:dyDescent="0.3">
      <c r="A48" s="61">
        <v>4</v>
      </c>
      <c r="B48" s="62">
        <v>195040305</v>
      </c>
      <c r="C48" s="62">
        <v>138603.4</v>
      </c>
      <c r="D48" s="63">
        <v>1.1000000000000001</v>
      </c>
      <c r="E48" s="63">
        <v>21.5</v>
      </c>
    </row>
    <row r="49" spans="1:7" ht="16.5" customHeight="1" x14ac:dyDescent="0.3">
      <c r="A49" s="61">
        <v>5</v>
      </c>
      <c r="B49" s="62">
        <v>193410962</v>
      </c>
      <c r="C49" s="62">
        <v>139101.70000000001</v>
      </c>
      <c r="D49" s="63">
        <v>1.1000000000000001</v>
      </c>
      <c r="E49" s="63">
        <v>21.5</v>
      </c>
    </row>
    <row r="50" spans="1:7" ht="16.5" customHeight="1" x14ac:dyDescent="0.3">
      <c r="A50" s="61">
        <v>6</v>
      </c>
      <c r="B50" s="65">
        <v>195734157</v>
      </c>
      <c r="C50" s="65">
        <v>138793.79999999999</v>
      </c>
      <c r="D50" s="66">
        <v>1.2</v>
      </c>
      <c r="E50" s="66">
        <v>21.5</v>
      </c>
    </row>
    <row r="51" spans="1:7" ht="16.5" customHeight="1" x14ac:dyDescent="0.3">
      <c r="A51" s="67" t="s">
        <v>18</v>
      </c>
      <c r="B51" s="68">
        <f>AVERAGE(B45:B50)</f>
        <v>193860658.5</v>
      </c>
      <c r="C51" s="69">
        <f>AVERAGE(C45:C50)</f>
        <v>138570.08333333334</v>
      </c>
      <c r="D51" s="70">
        <f>AVERAGE(D45:D50)</f>
        <v>1.1166666666666667</v>
      </c>
      <c r="E51" s="70">
        <f>AVERAGE(E45:E50)</f>
        <v>21.5</v>
      </c>
    </row>
    <row r="52" spans="1:7" ht="16.5" customHeight="1" x14ac:dyDescent="0.3">
      <c r="A52" s="71" t="s">
        <v>19</v>
      </c>
      <c r="B52" s="72">
        <f>(STDEV(B45:B50)/B51)</f>
        <v>6.2805697578308724E-3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587" t="s">
        <v>26</v>
      </c>
      <c r="C59" s="587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E45" sqref="E4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91" t="s">
        <v>31</v>
      </c>
      <c r="B11" s="592"/>
      <c r="C11" s="592"/>
      <c r="D11" s="592"/>
      <c r="E11" s="592"/>
      <c r="F11" s="593"/>
      <c r="G11" s="41"/>
    </row>
    <row r="12" spans="1:7" ht="16.5" customHeight="1" x14ac:dyDescent="0.3">
      <c r="A12" s="590" t="s">
        <v>32</v>
      </c>
      <c r="B12" s="590"/>
      <c r="C12" s="590"/>
      <c r="D12" s="590"/>
      <c r="E12" s="590"/>
      <c r="F12" s="590"/>
      <c r="G12" s="40"/>
    </row>
    <row r="14" spans="1:7" ht="16.5" customHeight="1" x14ac:dyDescent="0.3">
      <c r="A14" s="595" t="s">
        <v>33</v>
      </c>
      <c r="B14" s="595"/>
      <c r="C14" s="10" t="s">
        <v>5</v>
      </c>
    </row>
    <row r="15" spans="1:7" ht="16.5" customHeight="1" x14ac:dyDescent="0.3">
      <c r="A15" s="595" t="s">
        <v>34</v>
      </c>
      <c r="B15" s="595"/>
      <c r="C15" s="10" t="s">
        <v>7</v>
      </c>
    </row>
    <row r="16" spans="1:7" ht="16.5" customHeight="1" x14ac:dyDescent="0.3">
      <c r="A16" s="595" t="s">
        <v>35</v>
      </c>
      <c r="B16" s="595"/>
      <c r="C16" s="10" t="s">
        <v>9</v>
      </c>
    </row>
    <row r="17" spans="1:5" ht="16.5" customHeight="1" x14ac:dyDescent="0.3">
      <c r="A17" s="595" t="s">
        <v>36</v>
      </c>
      <c r="B17" s="595"/>
      <c r="C17" s="10" t="s">
        <v>11</v>
      </c>
    </row>
    <row r="18" spans="1:5" ht="16.5" customHeight="1" x14ac:dyDescent="0.3">
      <c r="A18" s="595" t="s">
        <v>37</v>
      </c>
      <c r="B18" s="595"/>
      <c r="C18" s="47" t="s">
        <v>12</v>
      </c>
    </row>
    <row r="19" spans="1:5" ht="16.5" customHeight="1" x14ac:dyDescent="0.3">
      <c r="A19" s="595" t="s">
        <v>38</v>
      </c>
      <c r="B19" s="59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90" t="s">
        <v>1</v>
      </c>
      <c r="B21" s="590"/>
      <c r="C21" s="9" t="s">
        <v>39</v>
      </c>
      <c r="D21" s="16"/>
    </row>
    <row r="22" spans="1:5" ht="15.75" customHeight="1" x14ac:dyDescent="0.3">
      <c r="A22" s="594"/>
      <c r="B22" s="594"/>
      <c r="C22" s="7"/>
      <c r="D22" s="594"/>
      <c r="E22" s="594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1888.59</v>
      </c>
      <c r="D24" s="37">
        <f t="shared" ref="D24:D43" si="0">(C24-$C$46)/$C$46</f>
        <v>-9.7806048937630549E-3</v>
      </c>
      <c r="E24" s="3"/>
    </row>
    <row r="25" spans="1:5" ht="15.75" customHeight="1" x14ac:dyDescent="0.3">
      <c r="C25" s="45">
        <v>1910.24</v>
      </c>
      <c r="D25" s="38">
        <f t="shared" si="0"/>
        <v>1.5708530214277078E-3</v>
      </c>
      <c r="E25" s="3"/>
    </row>
    <row r="26" spans="1:5" ht="15.75" customHeight="1" x14ac:dyDescent="0.3">
      <c r="C26" s="45">
        <v>1861.51</v>
      </c>
      <c r="D26" s="38">
        <f t="shared" si="0"/>
        <v>-2.3979102831100871E-2</v>
      </c>
      <c r="E26" s="3"/>
    </row>
    <row r="27" spans="1:5" ht="15.75" customHeight="1" x14ac:dyDescent="0.3">
      <c r="C27" s="45">
        <v>1913.26</v>
      </c>
      <c r="D27" s="38">
        <f t="shared" si="0"/>
        <v>3.154289645163308E-3</v>
      </c>
      <c r="E27" s="3"/>
    </row>
    <row r="28" spans="1:5" ht="15.75" customHeight="1" x14ac:dyDescent="0.3">
      <c r="C28" s="45">
        <v>1899.58</v>
      </c>
      <c r="D28" s="38">
        <f t="shared" si="0"/>
        <v>-4.0183636703013427E-3</v>
      </c>
      <c r="E28" s="3"/>
    </row>
    <row r="29" spans="1:5" ht="15.75" customHeight="1" x14ac:dyDescent="0.3">
      <c r="C29" s="45">
        <v>1923.11</v>
      </c>
      <c r="D29" s="38">
        <f t="shared" si="0"/>
        <v>8.318809759002916E-3</v>
      </c>
      <c r="E29" s="3"/>
    </row>
    <row r="30" spans="1:5" ht="15.75" customHeight="1" x14ac:dyDescent="0.3">
      <c r="C30" s="45">
        <v>1911.96</v>
      </c>
      <c r="D30" s="38">
        <f t="shared" si="0"/>
        <v>2.4726778534890628E-3</v>
      </c>
      <c r="E30" s="3"/>
    </row>
    <row r="31" spans="1:5" ht="15.75" customHeight="1" x14ac:dyDescent="0.3">
      <c r="C31" s="45">
        <v>1935.09</v>
      </c>
      <c r="D31" s="38">
        <f t="shared" si="0"/>
        <v>1.4600124577662729E-2</v>
      </c>
      <c r="E31" s="3"/>
    </row>
    <row r="32" spans="1:5" ht="15.75" customHeight="1" x14ac:dyDescent="0.3">
      <c r="C32" s="45">
        <v>1909</v>
      </c>
      <c r="D32" s="38">
        <f t="shared" si="0"/>
        <v>9.2070023552301536E-4</v>
      </c>
      <c r="E32" s="3"/>
    </row>
    <row r="33" spans="1:7" ht="15.75" customHeight="1" x14ac:dyDescent="0.3">
      <c r="C33" s="45">
        <v>1869.25</v>
      </c>
      <c r="D33" s="38">
        <f t="shared" si="0"/>
        <v>-1.9920891086824832E-2</v>
      </c>
      <c r="E33" s="3"/>
    </row>
    <row r="34" spans="1:7" ht="15.75" customHeight="1" x14ac:dyDescent="0.3">
      <c r="C34" s="45">
        <v>1918.64</v>
      </c>
      <c r="D34" s="38">
        <f t="shared" si="0"/>
        <v>5.9751138291691871E-3</v>
      </c>
      <c r="E34" s="3"/>
    </row>
    <row r="35" spans="1:7" ht="15.75" customHeight="1" x14ac:dyDescent="0.3">
      <c r="C35" s="45">
        <v>1958.86</v>
      </c>
      <c r="D35" s="38">
        <f t="shared" si="0"/>
        <v>2.706313403004532E-2</v>
      </c>
      <c r="E35" s="3"/>
    </row>
    <row r="36" spans="1:7" ht="15.75" customHeight="1" x14ac:dyDescent="0.3">
      <c r="C36" s="45">
        <v>1896.04</v>
      </c>
      <c r="D36" s="38">
        <f t="shared" si="0"/>
        <v>-5.8744450107066411E-3</v>
      </c>
      <c r="E36" s="3"/>
    </row>
    <row r="37" spans="1:7" ht="15.75" customHeight="1" x14ac:dyDescent="0.3">
      <c r="C37" s="45">
        <v>1895.34</v>
      </c>
      <c r="D37" s="38">
        <f t="shared" si="0"/>
        <v>-6.2414667446851176E-3</v>
      </c>
      <c r="E37" s="3"/>
    </row>
    <row r="38" spans="1:7" ht="15.75" customHeight="1" x14ac:dyDescent="0.3">
      <c r="C38" s="45">
        <v>1892.08</v>
      </c>
      <c r="D38" s="38">
        <f t="shared" si="0"/>
        <v>-7.9507393914990503E-3</v>
      </c>
      <c r="E38" s="3"/>
    </row>
    <row r="39" spans="1:7" ht="15.75" customHeight="1" x14ac:dyDescent="0.3">
      <c r="C39" s="45">
        <v>1912.64</v>
      </c>
      <c r="D39" s="38">
        <f t="shared" si="0"/>
        <v>2.8292132522110217E-3</v>
      </c>
      <c r="E39" s="3"/>
    </row>
    <row r="40" spans="1:7" ht="15.75" customHeight="1" x14ac:dyDescent="0.3">
      <c r="C40" s="45">
        <v>1909.36</v>
      </c>
      <c r="D40" s="38">
        <f t="shared" si="0"/>
        <v>1.1094542701404529E-3</v>
      </c>
      <c r="E40" s="3"/>
    </row>
    <row r="41" spans="1:7" ht="15.75" customHeight="1" x14ac:dyDescent="0.3">
      <c r="C41" s="45">
        <v>1925.48</v>
      </c>
      <c r="D41" s="38">
        <f t="shared" si="0"/>
        <v>9.5614404869014524E-3</v>
      </c>
      <c r="E41" s="3"/>
    </row>
    <row r="42" spans="1:7" ht="15.75" customHeight="1" x14ac:dyDescent="0.3">
      <c r="C42" s="45">
        <v>1891.88</v>
      </c>
      <c r="D42" s="38">
        <f t="shared" si="0"/>
        <v>-8.0556027440642271E-3</v>
      </c>
      <c r="E42" s="3"/>
    </row>
    <row r="43" spans="1:7" ht="16.5" customHeight="1" x14ac:dyDescent="0.3">
      <c r="C43" s="46">
        <v>1922.97</v>
      </c>
      <c r="D43" s="39">
        <f t="shared" si="0"/>
        <v>8.2454054122072917E-3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38144.880000000005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1907.2440000000001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88">
        <f>C46</f>
        <v>1907.2440000000001</v>
      </c>
      <c r="C49" s="43">
        <f>-IF(C46&lt;=80,10%,IF(C46&lt;250,7.5%,5%))</f>
        <v>-0.05</v>
      </c>
      <c r="D49" s="31">
        <f>IF(C46&lt;=80,C46*0.9,IF(C46&lt;250,C46*0.925,C46*0.95))</f>
        <v>1811.8818000000001</v>
      </c>
    </row>
    <row r="50" spans="1:6" ht="17.25" customHeight="1" x14ac:dyDescent="0.3">
      <c r="B50" s="589"/>
      <c r="C50" s="44">
        <f>IF(C46&lt;=80, 10%, IF(C46&lt;250, 7.5%, 5%))</f>
        <v>0.05</v>
      </c>
      <c r="D50" s="31">
        <f>IF(C46&lt;=80, C46*1.1, IF(C46&lt;250, C46*1.075, C46*1.05))</f>
        <v>2002.6062000000002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6" zoomScale="60" zoomScaleNormal="40" zoomScalePageLayoutView="55" workbookViewId="0">
      <selection activeCell="F63" sqref="F63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 x14ac:dyDescent="0.25">
      <c r="A1" s="626" t="s">
        <v>45</v>
      </c>
      <c r="B1" s="626"/>
      <c r="C1" s="626"/>
      <c r="D1" s="626"/>
      <c r="E1" s="626"/>
      <c r="F1" s="626"/>
      <c r="G1" s="626"/>
      <c r="H1" s="626"/>
      <c r="I1" s="626"/>
    </row>
    <row r="2" spans="1:9" ht="18.75" customHeight="1" x14ac:dyDescent="0.25">
      <c r="A2" s="626"/>
      <c r="B2" s="626"/>
      <c r="C2" s="626"/>
      <c r="D2" s="626"/>
      <c r="E2" s="626"/>
      <c r="F2" s="626"/>
      <c r="G2" s="626"/>
      <c r="H2" s="626"/>
      <c r="I2" s="626"/>
    </row>
    <row r="3" spans="1:9" ht="18.75" customHeight="1" x14ac:dyDescent="0.25">
      <c r="A3" s="626"/>
      <c r="B3" s="626"/>
      <c r="C3" s="626"/>
      <c r="D3" s="626"/>
      <c r="E3" s="626"/>
      <c r="F3" s="626"/>
      <c r="G3" s="626"/>
      <c r="H3" s="626"/>
      <c r="I3" s="626"/>
    </row>
    <row r="4" spans="1:9" ht="18.75" customHeight="1" x14ac:dyDescent="0.25">
      <c r="A4" s="626"/>
      <c r="B4" s="626"/>
      <c r="C4" s="626"/>
      <c r="D4" s="626"/>
      <c r="E4" s="626"/>
      <c r="F4" s="626"/>
      <c r="G4" s="626"/>
      <c r="H4" s="626"/>
      <c r="I4" s="626"/>
    </row>
    <row r="5" spans="1:9" ht="18.75" customHeight="1" x14ac:dyDescent="0.25">
      <c r="A5" s="626"/>
      <c r="B5" s="626"/>
      <c r="C5" s="626"/>
      <c r="D5" s="626"/>
      <c r="E5" s="626"/>
      <c r="F5" s="626"/>
      <c r="G5" s="626"/>
      <c r="H5" s="626"/>
      <c r="I5" s="626"/>
    </row>
    <row r="6" spans="1:9" ht="18.75" customHeight="1" x14ac:dyDescent="0.25">
      <c r="A6" s="626"/>
      <c r="B6" s="626"/>
      <c r="C6" s="626"/>
      <c r="D6" s="626"/>
      <c r="E6" s="626"/>
      <c r="F6" s="626"/>
      <c r="G6" s="626"/>
      <c r="H6" s="626"/>
      <c r="I6" s="626"/>
    </row>
    <row r="7" spans="1:9" ht="18.75" customHeight="1" x14ac:dyDescent="0.25">
      <c r="A7" s="626"/>
      <c r="B7" s="626"/>
      <c r="C7" s="626"/>
      <c r="D7" s="626"/>
      <c r="E7" s="626"/>
      <c r="F7" s="626"/>
      <c r="G7" s="626"/>
      <c r="H7" s="626"/>
      <c r="I7" s="626"/>
    </row>
    <row r="8" spans="1:9" x14ac:dyDescent="0.25">
      <c r="A8" s="627" t="s">
        <v>46</v>
      </c>
      <c r="B8" s="627"/>
      <c r="C8" s="627"/>
      <c r="D8" s="627"/>
      <c r="E8" s="627"/>
      <c r="F8" s="627"/>
      <c r="G8" s="627"/>
      <c r="H8" s="627"/>
      <c r="I8" s="627"/>
    </row>
    <row r="9" spans="1:9" x14ac:dyDescent="0.25">
      <c r="A9" s="627"/>
      <c r="B9" s="627"/>
      <c r="C9" s="627"/>
      <c r="D9" s="627"/>
      <c r="E9" s="627"/>
      <c r="F9" s="627"/>
      <c r="G9" s="627"/>
      <c r="H9" s="627"/>
      <c r="I9" s="627"/>
    </row>
    <row r="10" spans="1:9" x14ac:dyDescent="0.25">
      <c r="A10" s="627"/>
      <c r="B10" s="627"/>
      <c r="C10" s="627"/>
      <c r="D10" s="627"/>
      <c r="E10" s="627"/>
      <c r="F10" s="627"/>
      <c r="G10" s="627"/>
      <c r="H10" s="627"/>
      <c r="I10" s="627"/>
    </row>
    <row r="11" spans="1:9" x14ac:dyDescent="0.25">
      <c r="A11" s="627"/>
      <c r="B11" s="627"/>
      <c r="C11" s="627"/>
      <c r="D11" s="627"/>
      <c r="E11" s="627"/>
      <c r="F11" s="627"/>
      <c r="G11" s="627"/>
      <c r="H11" s="627"/>
      <c r="I11" s="627"/>
    </row>
    <row r="12" spans="1:9" x14ac:dyDescent="0.25">
      <c r="A12" s="627"/>
      <c r="B12" s="627"/>
      <c r="C12" s="627"/>
      <c r="D12" s="627"/>
      <c r="E12" s="627"/>
      <c r="F12" s="627"/>
      <c r="G12" s="627"/>
      <c r="H12" s="627"/>
      <c r="I12" s="627"/>
    </row>
    <row r="13" spans="1:9" x14ac:dyDescent="0.25">
      <c r="A13" s="627"/>
      <c r="B13" s="627"/>
      <c r="C13" s="627"/>
      <c r="D13" s="627"/>
      <c r="E13" s="627"/>
      <c r="F13" s="627"/>
      <c r="G13" s="627"/>
      <c r="H13" s="627"/>
      <c r="I13" s="627"/>
    </row>
    <row r="14" spans="1:9" x14ac:dyDescent="0.25">
      <c r="A14" s="627"/>
      <c r="B14" s="627"/>
      <c r="C14" s="627"/>
      <c r="D14" s="627"/>
      <c r="E14" s="627"/>
      <c r="F14" s="627"/>
      <c r="G14" s="627"/>
      <c r="H14" s="627"/>
      <c r="I14" s="627"/>
    </row>
    <row r="15" spans="1:9" ht="19.5" customHeight="1" thickBot="1" x14ac:dyDescent="0.35">
      <c r="A15" s="92"/>
    </row>
    <row r="16" spans="1:9" ht="19.5" customHeight="1" thickBot="1" x14ac:dyDescent="0.35">
      <c r="A16" s="628" t="s">
        <v>31</v>
      </c>
      <c r="B16" s="629"/>
      <c r="C16" s="629"/>
      <c r="D16" s="629"/>
      <c r="E16" s="629"/>
      <c r="F16" s="629"/>
      <c r="G16" s="629"/>
      <c r="H16" s="630"/>
    </row>
    <row r="17" spans="1:14" ht="20.25" customHeight="1" x14ac:dyDescent="0.25">
      <c r="A17" s="631" t="s">
        <v>47</v>
      </c>
      <c r="B17" s="631"/>
      <c r="C17" s="631"/>
      <c r="D17" s="631"/>
      <c r="E17" s="631"/>
      <c r="F17" s="631"/>
      <c r="G17" s="631"/>
      <c r="H17" s="631"/>
    </row>
    <row r="18" spans="1:14" ht="26.25" customHeight="1" x14ac:dyDescent="0.4">
      <c r="A18" s="93" t="s">
        <v>33</v>
      </c>
      <c r="B18" s="632" t="s">
        <v>128</v>
      </c>
      <c r="C18" s="632"/>
      <c r="D18" s="94"/>
      <c r="E18" s="95"/>
      <c r="F18" s="96"/>
      <c r="G18" s="96"/>
      <c r="H18" s="96"/>
    </row>
    <row r="19" spans="1:14" ht="26.25" customHeight="1" x14ac:dyDescent="0.4">
      <c r="A19" s="93" t="s">
        <v>34</v>
      </c>
      <c r="B19" s="97" t="s">
        <v>7</v>
      </c>
      <c r="C19" s="96">
        <v>29</v>
      </c>
      <c r="D19" s="96"/>
      <c r="E19" s="96"/>
      <c r="F19" s="96"/>
      <c r="G19" s="96"/>
      <c r="H19" s="96"/>
    </row>
    <row r="20" spans="1:14" ht="26.25" customHeight="1" x14ac:dyDescent="0.4">
      <c r="A20" s="93" t="s">
        <v>35</v>
      </c>
      <c r="B20" s="633" t="s">
        <v>129</v>
      </c>
      <c r="C20" s="633"/>
      <c r="D20" s="96"/>
      <c r="E20" s="96"/>
      <c r="F20" s="96"/>
      <c r="G20" s="96"/>
      <c r="H20" s="96"/>
    </row>
    <row r="21" spans="1:14" ht="26.25" customHeight="1" x14ac:dyDescent="0.4">
      <c r="A21" s="93" t="s">
        <v>36</v>
      </c>
      <c r="B21" s="633" t="s">
        <v>130</v>
      </c>
      <c r="C21" s="633"/>
      <c r="D21" s="633"/>
      <c r="E21" s="633"/>
      <c r="F21" s="633"/>
      <c r="G21" s="633"/>
      <c r="H21" s="633"/>
      <c r="I21" s="98"/>
    </row>
    <row r="22" spans="1:14" ht="26.25" customHeight="1" x14ac:dyDescent="0.4">
      <c r="A22" s="93" t="s">
        <v>37</v>
      </c>
      <c r="B22" s="99">
        <v>42499.469143518516</v>
      </c>
      <c r="C22" s="96"/>
      <c r="D22" s="96"/>
      <c r="E22" s="96"/>
      <c r="F22" s="96"/>
      <c r="G22" s="96"/>
      <c r="H22" s="96"/>
    </row>
    <row r="23" spans="1:14" ht="26.25" customHeight="1" x14ac:dyDescent="0.4">
      <c r="A23" s="93" t="s">
        <v>38</v>
      </c>
      <c r="B23" s="99">
        <v>42510.469143518516</v>
      </c>
      <c r="C23" s="96"/>
      <c r="D23" s="96"/>
      <c r="E23" s="96"/>
      <c r="F23" s="96"/>
      <c r="G23" s="96"/>
      <c r="H23" s="96"/>
    </row>
    <row r="24" spans="1:14" ht="18.75" x14ac:dyDescent="0.3">
      <c r="A24" s="93"/>
      <c r="B24" s="100"/>
    </row>
    <row r="25" spans="1:14" ht="18.75" x14ac:dyDescent="0.3">
      <c r="A25" s="101" t="s">
        <v>1</v>
      </c>
      <c r="B25" s="100"/>
    </row>
    <row r="26" spans="1:14" ht="26.25" customHeight="1" x14ac:dyDescent="0.4">
      <c r="A26" s="102" t="s">
        <v>4</v>
      </c>
      <c r="B26" s="632" t="s">
        <v>131</v>
      </c>
      <c r="C26" s="632"/>
    </row>
    <row r="27" spans="1:14" ht="26.25" customHeight="1" x14ac:dyDescent="0.4">
      <c r="A27" s="103" t="s">
        <v>48</v>
      </c>
      <c r="B27" s="634" t="s">
        <v>132</v>
      </c>
      <c r="C27" s="634"/>
    </row>
    <row r="28" spans="1:14" ht="27" customHeight="1" thickBot="1" x14ac:dyDescent="0.45">
      <c r="A28" s="103" t="s">
        <v>6</v>
      </c>
      <c r="B28" s="104">
        <v>101.74</v>
      </c>
    </row>
    <row r="29" spans="1:14" s="59" customFormat="1" ht="27" customHeight="1" thickBot="1" x14ac:dyDescent="0.45">
      <c r="A29" s="103" t="s">
        <v>49</v>
      </c>
      <c r="B29" s="105">
        <v>0</v>
      </c>
      <c r="C29" s="615" t="s">
        <v>50</v>
      </c>
      <c r="D29" s="616"/>
      <c r="E29" s="616"/>
      <c r="F29" s="616"/>
      <c r="G29" s="617"/>
      <c r="I29" s="106"/>
      <c r="J29" s="106"/>
      <c r="K29" s="106"/>
      <c r="L29" s="106"/>
    </row>
    <row r="30" spans="1:14" s="59" customFormat="1" ht="19.5" customHeight="1" thickBot="1" x14ac:dyDescent="0.35">
      <c r="A30" s="103" t="s">
        <v>51</v>
      </c>
      <c r="B30" s="107">
        <f>B28-B29</f>
        <v>101.74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 x14ac:dyDescent="0.45">
      <c r="A31" s="103" t="s">
        <v>52</v>
      </c>
      <c r="B31" s="110">
        <v>1</v>
      </c>
      <c r="C31" s="618" t="s">
        <v>53</v>
      </c>
      <c r="D31" s="619"/>
      <c r="E31" s="619"/>
      <c r="F31" s="619"/>
      <c r="G31" s="619"/>
      <c r="H31" s="620"/>
      <c r="I31" s="106"/>
      <c r="J31" s="106"/>
      <c r="K31" s="106"/>
      <c r="L31" s="106"/>
    </row>
    <row r="32" spans="1:14" s="59" customFormat="1" ht="27" customHeight="1" thickBot="1" x14ac:dyDescent="0.45">
      <c r="A32" s="103" t="s">
        <v>54</v>
      </c>
      <c r="B32" s="110">
        <v>1</v>
      </c>
      <c r="C32" s="618" t="s">
        <v>55</v>
      </c>
      <c r="D32" s="619"/>
      <c r="E32" s="619"/>
      <c r="F32" s="619"/>
      <c r="G32" s="619"/>
      <c r="H32" s="620"/>
      <c r="I32" s="106"/>
      <c r="J32" s="106"/>
      <c r="K32" s="106"/>
      <c r="L32" s="111"/>
      <c r="M32" s="111"/>
      <c r="N32" s="112"/>
    </row>
    <row r="33" spans="1:14" s="59" customFormat="1" ht="17.25" customHeight="1" x14ac:dyDescent="0.3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.75" x14ac:dyDescent="0.3">
      <c r="A34" s="103" t="s">
        <v>56</v>
      </c>
      <c r="B34" s="115">
        <f>B31/B32</f>
        <v>1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 x14ac:dyDescent="0.35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 x14ac:dyDescent="0.45">
      <c r="A36" s="116" t="s">
        <v>58</v>
      </c>
      <c r="B36" s="117">
        <v>25</v>
      </c>
      <c r="C36" s="92"/>
      <c r="D36" s="605" t="s">
        <v>59</v>
      </c>
      <c r="E36" s="625"/>
      <c r="F36" s="605" t="s">
        <v>60</v>
      </c>
      <c r="G36" s="606"/>
      <c r="J36" s="106"/>
      <c r="K36" s="106"/>
      <c r="L36" s="111"/>
      <c r="M36" s="111"/>
      <c r="N36" s="112"/>
    </row>
    <row r="37" spans="1:14" s="59" customFormat="1" ht="27" customHeight="1" thickBot="1" x14ac:dyDescent="0.45">
      <c r="A37" s="118" t="s">
        <v>61</v>
      </c>
      <c r="B37" s="119">
        <v>5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59" customFormat="1" ht="26.25" customHeight="1" x14ac:dyDescent="0.4">
      <c r="A38" s="118" t="s">
        <v>66</v>
      </c>
      <c r="B38" s="119">
        <v>50</v>
      </c>
      <c r="C38" s="125">
        <v>1</v>
      </c>
      <c r="D38" s="126">
        <v>16343031</v>
      </c>
      <c r="E38" s="127">
        <f>IF(ISBLANK(D38),"-",$D$48/$D$45*D38)</f>
        <v>16721227.259153601</v>
      </c>
      <c r="F38" s="126">
        <v>17496323</v>
      </c>
      <c r="G38" s="128">
        <f>IF(ISBLANK(F38),"-",$D$48/$F$45*F38)</f>
        <v>16440816.034273246</v>
      </c>
      <c r="I38" s="129"/>
      <c r="J38" s="106"/>
      <c r="K38" s="106"/>
      <c r="L38" s="111"/>
      <c r="M38" s="111"/>
      <c r="N38" s="112"/>
    </row>
    <row r="39" spans="1:14" s="59" customFormat="1" ht="26.25" customHeight="1" x14ac:dyDescent="0.4">
      <c r="A39" s="118" t="s">
        <v>67</v>
      </c>
      <c r="B39" s="119">
        <v>1</v>
      </c>
      <c r="C39" s="130">
        <v>2</v>
      </c>
      <c r="D39" s="131">
        <v>16180468</v>
      </c>
      <c r="E39" s="132">
        <f>IF(ISBLANK(D39),"-",$D$48/$D$45*D39)</f>
        <v>16554902.367098402</v>
      </c>
      <c r="F39" s="131">
        <v>17476002</v>
      </c>
      <c r="G39" s="133">
        <f>IF(ISBLANK(F39),"-",$D$48/$F$45*F39)</f>
        <v>16421720.94654353</v>
      </c>
      <c r="I39" s="596">
        <f>ABS((F43/D43*D42)-F42)/D42</f>
        <v>8.1279420791236789E-3</v>
      </c>
      <c r="J39" s="106"/>
      <c r="K39" s="106"/>
      <c r="L39" s="111"/>
      <c r="M39" s="111"/>
      <c r="N39" s="112"/>
    </row>
    <row r="40" spans="1:14" ht="26.25" customHeight="1" x14ac:dyDescent="0.4">
      <c r="A40" s="118" t="s">
        <v>68</v>
      </c>
      <c r="B40" s="119">
        <v>1</v>
      </c>
      <c r="C40" s="130">
        <v>3</v>
      </c>
      <c r="D40" s="131">
        <v>16177269</v>
      </c>
      <c r="E40" s="132">
        <f>IF(ISBLANK(D40),"-",$D$48/$D$45*D40)</f>
        <v>16551629.338612925</v>
      </c>
      <c r="F40" s="131">
        <v>17658559</v>
      </c>
      <c r="G40" s="133">
        <f>IF(ISBLANK(F40),"-",$D$48/$F$45*F40)</f>
        <v>16593264.764794301</v>
      </c>
      <c r="I40" s="596"/>
      <c r="L40" s="111"/>
      <c r="M40" s="111"/>
      <c r="N40" s="92"/>
    </row>
    <row r="41" spans="1:14" ht="27" customHeight="1" thickBot="1" x14ac:dyDescent="0.45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 x14ac:dyDescent="0.45">
      <c r="A42" s="118" t="s">
        <v>70</v>
      </c>
      <c r="B42" s="119">
        <v>1</v>
      </c>
      <c r="C42" s="139" t="s">
        <v>71</v>
      </c>
      <c r="D42" s="140">
        <f>AVERAGE(D38:D41)</f>
        <v>16233589.333333334</v>
      </c>
      <c r="E42" s="141">
        <f>AVERAGE(E38:E41)</f>
        <v>16609252.988288308</v>
      </c>
      <c r="F42" s="140">
        <f>AVERAGE(F38:F41)</f>
        <v>17543628</v>
      </c>
      <c r="G42" s="142">
        <f>AVERAGE(G38:G41)</f>
        <v>16485267.248537024</v>
      </c>
      <c r="H42" s="83"/>
    </row>
    <row r="43" spans="1:14" ht="26.25" customHeight="1" x14ac:dyDescent="0.4">
      <c r="A43" s="118" t="s">
        <v>72</v>
      </c>
      <c r="B43" s="119">
        <v>1</v>
      </c>
      <c r="C43" s="143" t="s">
        <v>73</v>
      </c>
      <c r="D43" s="144">
        <v>14.41</v>
      </c>
      <c r="E43" s="92"/>
      <c r="F43" s="144">
        <v>15.69</v>
      </c>
      <c r="H43" s="83"/>
    </row>
    <row r="44" spans="1:14" ht="26.25" customHeight="1" x14ac:dyDescent="0.4">
      <c r="A44" s="118" t="s">
        <v>74</v>
      </c>
      <c r="B44" s="119">
        <v>1</v>
      </c>
      <c r="C44" s="145" t="s">
        <v>75</v>
      </c>
      <c r="D44" s="146">
        <f>D43*$B$34</f>
        <v>14.41</v>
      </c>
      <c r="E44" s="147"/>
      <c r="F44" s="146">
        <f>F43*$B$34</f>
        <v>15.69</v>
      </c>
      <c r="H44" s="83"/>
    </row>
    <row r="45" spans="1:14" ht="19.5" customHeight="1" thickBot="1" x14ac:dyDescent="0.35">
      <c r="A45" s="118" t="s">
        <v>76</v>
      </c>
      <c r="B45" s="130">
        <f>(B44/B43)*(B42/B41)*(B40/B39)*(B38/B37)*B36</f>
        <v>250</v>
      </c>
      <c r="C45" s="145" t="s">
        <v>77</v>
      </c>
      <c r="D45" s="148">
        <f>D44*$B$30/100</f>
        <v>14.660734</v>
      </c>
      <c r="E45" s="149"/>
      <c r="F45" s="148">
        <f>F44*$B$30/100</f>
        <v>15.963005999999998</v>
      </c>
      <c r="H45" s="83"/>
    </row>
    <row r="46" spans="1:14" ht="19.5" customHeight="1" thickBot="1" x14ac:dyDescent="0.35">
      <c r="A46" s="597" t="s">
        <v>78</v>
      </c>
      <c r="B46" s="601"/>
      <c r="C46" s="145" t="s">
        <v>79</v>
      </c>
      <c r="D46" s="150">
        <f>D45/$B$45</f>
        <v>5.8642936E-2</v>
      </c>
      <c r="E46" s="151"/>
      <c r="F46" s="152">
        <f>F45/$B$45</f>
        <v>6.3852023999999993E-2</v>
      </c>
      <c r="H46" s="83"/>
    </row>
    <row r="47" spans="1:14" ht="27" customHeight="1" thickBot="1" x14ac:dyDescent="0.45">
      <c r="A47" s="599"/>
      <c r="B47" s="602"/>
      <c r="C47" s="153" t="s">
        <v>80</v>
      </c>
      <c r="D47" s="154">
        <v>0.06</v>
      </c>
      <c r="E47" s="155"/>
      <c r="F47" s="151"/>
      <c r="H47" s="83"/>
    </row>
    <row r="48" spans="1:14" ht="18.75" x14ac:dyDescent="0.3">
      <c r="C48" s="156" t="s">
        <v>81</v>
      </c>
      <c r="D48" s="148">
        <f>D47*$B$45</f>
        <v>15</v>
      </c>
      <c r="F48" s="157"/>
      <c r="H48" s="83"/>
    </row>
    <row r="49" spans="1:12" ht="19.5" customHeight="1" thickBot="1" x14ac:dyDescent="0.35">
      <c r="C49" s="158" t="s">
        <v>82</v>
      </c>
      <c r="D49" s="159">
        <f>D48/B34</f>
        <v>15</v>
      </c>
      <c r="F49" s="157"/>
      <c r="H49" s="83"/>
    </row>
    <row r="50" spans="1:12" ht="18.75" x14ac:dyDescent="0.3">
      <c r="C50" s="116" t="s">
        <v>83</v>
      </c>
      <c r="D50" s="160">
        <f>AVERAGE(E38:E41,G38:G41)</f>
        <v>16547260.118412666</v>
      </c>
      <c r="F50" s="161"/>
      <c r="H50" s="83"/>
    </row>
    <row r="51" spans="1:12" ht="18.75" x14ac:dyDescent="0.3">
      <c r="C51" s="118" t="s">
        <v>84</v>
      </c>
      <c r="D51" s="162">
        <f>STDEV(E38:E41,G38:G41)/D50</f>
        <v>6.5951674679483379E-3</v>
      </c>
      <c r="F51" s="161"/>
      <c r="H51" s="83"/>
    </row>
    <row r="52" spans="1:12" ht="19.5" customHeight="1" thickBot="1" x14ac:dyDescent="0.35">
      <c r="C52" s="163" t="s">
        <v>20</v>
      </c>
      <c r="D52" s="164">
        <f>COUNT(E38:E41,G38:G41)</f>
        <v>6</v>
      </c>
      <c r="F52" s="161"/>
    </row>
    <row r="54" spans="1:12" ht="18.75" x14ac:dyDescent="0.3">
      <c r="A54" s="165" t="s">
        <v>1</v>
      </c>
      <c r="B54" s="166" t="s">
        <v>85</v>
      </c>
    </row>
    <row r="55" spans="1:12" ht="18.75" x14ac:dyDescent="0.3">
      <c r="A55" s="92" t="s">
        <v>86</v>
      </c>
      <c r="B55" s="167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67" t="s">
        <v>87</v>
      </c>
      <c r="B56" s="168">
        <v>300</v>
      </c>
      <c r="C56" s="92" t="str">
        <f>B20</f>
        <v>Efavirenz 600mg, Lamivudine 300mg and Tenofovir Disoproxil Fumarate 300mg Tablets</v>
      </c>
      <c r="H56" s="147"/>
    </row>
    <row r="57" spans="1:12" ht="18.75" x14ac:dyDescent="0.3">
      <c r="A57" s="167" t="s">
        <v>88</v>
      </c>
      <c r="B57" s="169">
        <f>Uniformity!C46</f>
        <v>1907.2440000000001</v>
      </c>
      <c r="H57" s="147"/>
    </row>
    <row r="58" spans="1:12" ht="19.5" customHeight="1" thickBot="1" x14ac:dyDescent="0.35">
      <c r="H58" s="147"/>
    </row>
    <row r="59" spans="1:12" s="59" customFormat="1" ht="27" customHeight="1" thickBot="1" x14ac:dyDescent="0.45">
      <c r="A59" s="116" t="s">
        <v>89</v>
      </c>
      <c r="B59" s="117">
        <v>200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59" customFormat="1" ht="26.25" customHeight="1" x14ac:dyDescent="0.4">
      <c r="A60" s="118" t="s">
        <v>93</v>
      </c>
      <c r="B60" s="119">
        <v>4</v>
      </c>
      <c r="C60" s="607" t="s">
        <v>94</v>
      </c>
      <c r="D60" s="610">
        <v>1905.07</v>
      </c>
      <c r="E60" s="172">
        <v>1</v>
      </c>
      <c r="F60" s="173">
        <v>17820144</v>
      </c>
      <c r="G60" s="174">
        <f>IF(ISBLANK(F60),"-",(F60/$D$50*$D$47*$B$68)*($B$57/$D$60))</f>
        <v>323.4459288918423</v>
      </c>
      <c r="H60" s="175">
        <f t="shared" ref="H60:H71" si="0">IF(ISBLANK(F60),"-",G60/$B$56)</f>
        <v>1.078153096306141</v>
      </c>
      <c r="L60" s="106"/>
    </row>
    <row r="61" spans="1:12" s="59" customFormat="1" ht="26.25" customHeight="1" x14ac:dyDescent="0.4">
      <c r="A61" s="118" t="s">
        <v>95</v>
      </c>
      <c r="B61" s="119">
        <v>100</v>
      </c>
      <c r="C61" s="608"/>
      <c r="D61" s="611"/>
      <c r="E61" s="176">
        <v>2</v>
      </c>
      <c r="F61" s="131">
        <v>17805565</v>
      </c>
      <c r="G61" s="177">
        <f>IF(ISBLANK(F61),"-",(F61/$D$50*$D$47*$B$68)*($B$57/$D$60))</f>
        <v>323.18131160270519</v>
      </c>
      <c r="H61" s="178">
        <f t="shared" si="0"/>
        <v>1.0772710386756841</v>
      </c>
      <c r="L61" s="106"/>
    </row>
    <row r="62" spans="1:12" s="59" customFormat="1" ht="26.25" customHeight="1" x14ac:dyDescent="0.4">
      <c r="A62" s="118" t="s">
        <v>96</v>
      </c>
      <c r="B62" s="119">
        <v>1</v>
      </c>
      <c r="C62" s="608"/>
      <c r="D62" s="611"/>
      <c r="E62" s="176">
        <v>3</v>
      </c>
      <c r="F62" s="179">
        <v>17846910</v>
      </c>
      <c r="G62" s="177">
        <f>IF(ISBLANK(F62),"-",(F62/$D$50*$D$47*$B$68)*($B$57/$D$60))</f>
        <v>323.93174728549388</v>
      </c>
      <c r="H62" s="178">
        <f t="shared" si="0"/>
        <v>1.0797724909516462</v>
      </c>
      <c r="L62" s="106"/>
    </row>
    <row r="63" spans="1:12" ht="27" customHeight="1" thickBot="1" x14ac:dyDescent="0.45">
      <c r="A63" s="118" t="s">
        <v>97</v>
      </c>
      <c r="B63" s="119">
        <v>1</v>
      </c>
      <c r="C63" s="609"/>
      <c r="D63" s="612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 x14ac:dyDescent="0.4">
      <c r="A64" s="118" t="s">
        <v>98</v>
      </c>
      <c r="B64" s="119">
        <v>1</v>
      </c>
      <c r="C64" s="607" t="s">
        <v>99</v>
      </c>
      <c r="D64" s="610">
        <v>1910.77</v>
      </c>
      <c r="E64" s="172">
        <v>1</v>
      </c>
      <c r="F64" s="173">
        <v>17724001</v>
      </c>
      <c r="G64" s="182">
        <f>IF(ISBLANK(F64),"-",(F64/$D$50*$D$47*$B$68)*($B$57/$D$64))</f>
        <v>320.74121492871279</v>
      </c>
      <c r="H64" s="183">
        <f t="shared" si="0"/>
        <v>1.0691373830957094</v>
      </c>
    </row>
    <row r="65" spans="1:8" ht="26.25" customHeight="1" x14ac:dyDescent="0.4">
      <c r="A65" s="118" t="s">
        <v>100</v>
      </c>
      <c r="B65" s="119">
        <v>1</v>
      </c>
      <c r="C65" s="608"/>
      <c r="D65" s="611"/>
      <c r="E65" s="176">
        <v>2</v>
      </c>
      <c r="F65" s="131">
        <v>17747331</v>
      </c>
      <c r="G65" s="184">
        <f>IF(ISBLANK(F65),"-",(F65/$D$50*$D$47*$B$68)*($B$57/$D$64))</f>
        <v>321.16340473474395</v>
      </c>
      <c r="H65" s="185">
        <f t="shared" si="0"/>
        <v>1.0705446824491465</v>
      </c>
    </row>
    <row r="66" spans="1:8" ht="26.25" customHeight="1" x14ac:dyDescent="0.4">
      <c r="A66" s="118" t="s">
        <v>101</v>
      </c>
      <c r="B66" s="119">
        <v>1</v>
      </c>
      <c r="C66" s="608"/>
      <c r="D66" s="611"/>
      <c r="E66" s="176">
        <v>3</v>
      </c>
      <c r="F66" s="131">
        <v>17735747</v>
      </c>
      <c r="G66" s="184">
        <f>IF(ISBLANK(F66),"-",(F66/$D$50*$D$47*$B$68)*($B$57/$D$64))</f>
        <v>320.95377564288515</v>
      </c>
      <c r="H66" s="185">
        <f t="shared" si="0"/>
        <v>1.0698459188096172</v>
      </c>
    </row>
    <row r="67" spans="1:8" ht="27" customHeight="1" thickBot="1" x14ac:dyDescent="0.45">
      <c r="A67" s="118" t="s">
        <v>102</v>
      </c>
      <c r="B67" s="119">
        <v>1</v>
      </c>
      <c r="C67" s="609"/>
      <c r="D67" s="612"/>
      <c r="E67" s="180">
        <v>4</v>
      </c>
      <c r="F67" s="181"/>
      <c r="G67" s="186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4">
      <c r="A68" s="118" t="s">
        <v>103</v>
      </c>
      <c r="B68" s="188">
        <f>(B67/B66)*(B65/B64)*(B63/B62)*(B61/B60)*B59</f>
        <v>5000</v>
      </c>
      <c r="C68" s="607" t="s">
        <v>104</v>
      </c>
      <c r="D68" s="610">
        <v>1910.16</v>
      </c>
      <c r="E68" s="172">
        <v>1</v>
      </c>
      <c r="F68" s="173">
        <v>17189459</v>
      </c>
      <c r="G68" s="182">
        <f>IF(ISBLANK(F68),"-",(F68/$D$50*$D$47*$B$68)*($B$57/$D$68))</f>
        <v>311.16724886153963</v>
      </c>
      <c r="H68" s="178">
        <f t="shared" si="0"/>
        <v>1.0372241628717989</v>
      </c>
    </row>
    <row r="69" spans="1:8" ht="27" customHeight="1" thickBot="1" x14ac:dyDescent="0.45">
      <c r="A69" s="163" t="s">
        <v>105</v>
      </c>
      <c r="B69" s="189">
        <f>(D47*B68)/B56*B57</f>
        <v>1907.2440000000001</v>
      </c>
      <c r="C69" s="608"/>
      <c r="D69" s="611"/>
      <c r="E69" s="176">
        <v>2</v>
      </c>
      <c r="F69" s="131">
        <v>18034386</v>
      </c>
      <c r="G69" s="184">
        <f>IF(ISBLANK(F69),"-",(F69/$D$50*$D$47*$B$68)*($B$57/$D$68))</f>
        <v>326.46229741884645</v>
      </c>
      <c r="H69" s="178">
        <f t="shared" si="0"/>
        <v>1.0882076580628215</v>
      </c>
    </row>
    <row r="70" spans="1:8" ht="26.25" customHeight="1" x14ac:dyDescent="0.4">
      <c r="A70" s="621" t="s">
        <v>78</v>
      </c>
      <c r="B70" s="622"/>
      <c r="C70" s="608"/>
      <c r="D70" s="611"/>
      <c r="E70" s="176">
        <v>3</v>
      </c>
      <c r="F70" s="131">
        <v>17172424</v>
      </c>
      <c r="G70" s="184">
        <f>IF(ISBLANK(F70),"-",(F70/$D$50*$D$47*$B$68)*($B$57/$D$68))</f>
        <v>310.85887766240205</v>
      </c>
      <c r="H70" s="178">
        <f t="shared" si="0"/>
        <v>1.0361962588746736</v>
      </c>
    </row>
    <row r="71" spans="1:8" ht="27" customHeight="1" thickBot="1" x14ac:dyDescent="0.45">
      <c r="A71" s="623"/>
      <c r="B71" s="624"/>
      <c r="C71" s="613"/>
      <c r="D71" s="612"/>
      <c r="E71" s="180">
        <v>4</v>
      </c>
      <c r="F71" s="181"/>
      <c r="G71" s="186" t="str">
        <f>IF(ISBLANK(F71),"-",(F71/$D$50*$D$47*$B$68)*($B$57/$D$68))</f>
        <v>-</v>
      </c>
      <c r="H71" s="190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91" t="s">
        <v>71</v>
      </c>
      <c r="G72" s="192">
        <f>AVERAGE(G60:G71)</f>
        <v>320.21175633657458</v>
      </c>
      <c r="H72" s="193">
        <f>AVERAGE(H60:H71)</f>
        <v>1.0673725211219152</v>
      </c>
    </row>
    <row r="73" spans="1:8" ht="26.25" customHeight="1" x14ac:dyDescent="0.4">
      <c r="C73" s="147"/>
      <c r="D73" s="147"/>
      <c r="E73" s="147"/>
      <c r="F73" s="194" t="s">
        <v>84</v>
      </c>
      <c r="G73" s="195">
        <f>STDEV(G60:G71)/G72</f>
        <v>1.721872813081288E-2</v>
      </c>
      <c r="H73" s="195">
        <f>STDEV(H60:H71)/H72</f>
        <v>1.7218728130812846E-2</v>
      </c>
    </row>
    <row r="74" spans="1:8" ht="27" customHeight="1" thickBot="1" x14ac:dyDescent="0.45">
      <c r="A74" s="147"/>
      <c r="B74" s="147"/>
      <c r="C74" s="147"/>
      <c r="D74" s="147"/>
      <c r="E74" s="149"/>
      <c r="F74" s="196" t="s">
        <v>20</v>
      </c>
      <c r="G74" s="197">
        <f>COUNT(G60:G71)</f>
        <v>9</v>
      </c>
      <c r="H74" s="197">
        <f>COUNT(H60:H71)</f>
        <v>9</v>
      </c>
    </row>
    <row r="76" spans="1:8" ht="26.25" customHeight="1" x14ac:dyDescent="0.4">
      <c r="A76" s="102" t="s">
        <v>106</v>
      </c>
      <c r="B76" s="103" t="s">
        <v>107</v>
      </c>
      <c r="C76" s="603" t="str">
        <f>B20</f>
        <v>Efavirenz 600mg, Lamivudine 300mg and Tenofovir Disoproxil Fumarate 300mg Tablets</v>
      </c>
      <c r="D76" s="603"/>
      <c r="E76" s="92" t="s">
        <v>108</v>
      </c>
      <c r="F76" s="92"/>
      <c r="G76" s="198">
        <f>H72</f>
        <v>1.0673725211219152</v>
      </c>
      <c r="H76" s="107"/>
    </row>
    <row r="77" spans="1:8" ht="18.75" x14ac:dyDescent="0.3">
      <c r="A77" s="101" t="s">
        <v>109</v>
      </c>
      <c r="B77" s="101" t="s">
        <v>110</v>
      </c>
    </row>
    <row r="78" spans="1:8" ht="18.75" x14ac:dyDescent="0.3">
      <c r="A78" s="101"/>
      <c r="B78" s="101"/>
    </row>
    <row r="79" spans="1:8" ht="26.25" customHeight="1" x14ac:dyDescent="0.4">
      <c r="A79" s="102" t="s">
        <v>4</v>
      </c>
      <c r="B79" s="614" t="str">
        <f>B26</f>
        <v>Lamivudine</v>
      </c>
      <c r="C79" s="614"/>
    </row>
    <row r="80" spans="1:8" ht="26.25" customHeight="1" x14ac:dyDescent="0.4">
      <c r="A80" s="103" t="s">
        <v>48</v>
      </c>
      <c r="B80" s="614" t="str">
        <f>B27</f>
        <v>L3-9</v>
      </c>
      <c r="C80" s="614"/>
    </row>
    <row r="81" spans="1:12" ht="27" customHeight="1" thickBot="1" x14ac:dyDescent="0.45">
      <c r="A81" s="103" t="s">
        <v>6</v>
      </c>
      <c r="B81" s="104">
        <f>B28</f>
        <v>101.74</v>
      </c>
    </row>
    <row r="82" spans="1:12" s="59" customFormat="1" ht="27" customHeight="1" thickBot="1" x14ac:dyDescent="0.45">
      <c r="A82" s="103" t="s">
        <v>49</v>
      </c>
      <c r="B82" s="105">
        <v>0</v>
      </c>
      <c r="C82" s="615" t="s">
        <v>50</v>
      </c>
      <c r="D82" s="616"/>
      <c r="E82" s="616"/>
      <c r="F82" s="616"/>
      <c r="G82" s="617"/>
      <c r="I82" s="106"/>
      <c r="J82" s="106"/>
      <c r="K82" s="106"/>
      <c r="L82" s="106"/>
    </row>
    <row r="83" spans="1:12" s="59" customFormat="1" ht="19.5" customHeight="1" thickBot="1" x14ac:dyDescent="0.35">
      <c r="A83" s="103" t="s">
        <v>51</v>
      </c>
      <c r="B83" s="107">
        <f>B81-B82</f>
        <v>101.74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 x14ac:dyDescent="0.45">
      <c r="A84" s="103" t="s">
        <v>52</v>
      </c>
      <c r="B84" s="110">
        <v>1</v>
      </c>
      <c r="C84" s="618" t="s">
        <v>111</v>
      </c>
      <c r="D84" s="619"/>
      <c r="E84" s="619"/>
      <c r="F84" s="619"/>
      <c r="G84" s="619"/>
      <c r="H84" s="620"/>
      <c r="I84" s="106"/>
      <c r="J84" s="106"/>
      <c r="K84" s="106"/>
      <c r="L84" s="106"/>
    </row>
    <row r="85" spans="1:12" s="59" customFormat="1" ht="27" customHeight="1" thickBot="1" x14ac:dyDescent="0.45">
      <c r="A85" s="103" t="s">
        <v>54</v>
      </c>
      <c r="B85" s="110">
        <v>1</v>
      </c>
      <c r="C85" s="618" t="s">
        <v>112</v>
      </c>
      <c r="D85" s="619"/>
      <c r="E85" s="619"/>
      <c r="F85" s="619"/>
      <c r="G85" s="619"/>
      <c r="H85" s="620"/>
      <c r="I85" s="106"/>
      <c r="J85" s="106"/>
      <c r="K85" s="106"/>
      <c r="L85" s="106"/>
    </row>
    <row r="86" spans="1:12" s="59" customFormat="1" ht="18.75" x14ac:dyDescent="0.3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.75" x14ac:dyDescent="0.3">
      <c r="A87" s="103" t="s">
        <v>56</v>
      </c>
      <c r="B87" s="115">
        <f>B84/B85</f>
        <v>1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 x14ac:dyDescent="0.35">
      <c r="A88" s="101"/>
      <c r="B88" s="101"/>
    </row>
    <row r="89" spans="1:12" ht="27" customHeight="1" thickBot="1" x14ac:dyDescent="0.45">
      <c r="A89" s="116" t="s">
        <v>58</v>
      </c>
      <c r="B89" s="117">
        <v>25</v>
      </c>
      <c r="D89" s="199" t="s">
        <v>59</v>
      </c>
      <c r="E89" s="200"/>
      <c r="F89" s="605" t="s">
        <v>60</v>
      </c>
      <c r="G89" s="606"/>
    </row>
    <row r="90" spans="1:12" ht="27" customHeight="1" thickBot="1" x14ac:dyDescent="0.45">
      <c r="A90" s="118" t="s">
        <v>61</v>
      </c>
      <c r="B90" s="119">
        <v>10</v>
      </c>
      <c r="C90" s="201" t="s">
        <v>62</v>
      </c>
      <c r="D90" s="121" t="s">
        <v>63</v>
      </c>
      <c r="E90" s="122" t="s">
        <v>64</v>
      </c>
      <c r="F90" s="121" t="s">
        <v>63</v>
      </c>
      <c r="G90" s="202" t="s">
        <v>64</v>
      </c>
      <c r="I90" s="124" t="s">
        <v>65</v>
      </c>
    </row>
    <row r="91" spans="1:12" ht="26.25" customHeight="1" x14ac:dyDescent="0.4">
      <c r="A91" s="118" t="s">
        <v>66</v>
      </c>
      <c r="B91" s="119">
        <v>20</v>
      </c>
      <c r="C91" s="203">
        <v>1</v>
      </c>
      <c r="D91" s="126">
        <v>79154720</v>
      </c>
      <c r="E91" s="127">
        <f>IF(ISBLANK(D91),"-",$D$101/$D$98*D91)</f>
        <v>80986449.928086832</v>
      </c>
      <c r="F91" s="126">
        <v>88201409</v>
      </c>
      <c r="G91" s="128">
        <f>IF(ISBLANK(F91),"-",$D$101/$F$98*F91)</f>
        <v>82880450.900037259</v>
      </c>
      <c r="I91" s="129"/>
    </row>
    <row r="92" spans="1:12" ht="26.25" customHeight="1" x14ac:dyDescent="0.4">
      <c r="A92" s="118" t="s">
        <v>67</v>
      </c>
      <c r="B92" s="119">
        <v>1</v>
      </c>
      <c r="C92" s="147">
        <v>2</v>
      </c>
      <c r="D92" s="131">
        <v>79101944</v>
      </c>
      <c r="E92" s="132">
        <f>IF(ISBLANK(D92),"-",$D$101/$D$98*D92)</f>
        <v>80932452.631634951</v>
      </c>
      <c r="F92" s="131">
        <v>87202538</v>
      </c>
      <c r="G92" s="133">
        <f>IF(ISBLANK(F92),"-",$D$101/$F$98*F92)</f>
        <v>81941839.149844348</v>
      </c>
      <c r="I92" s="596">
        <f>ABS((F96/D96*D95)-F95)/D95</f>
        <v>1.4044207656651589E-2</v>
      </c>
    </row>
    <row r="93" spans="1:12" ht="26.25" customHeight="1" x14ac:dyDescent="0.4">
      <c r="A93" s="118" t="s">
        <v>68</v>
      </c>
      <c r="B93" s="119">
        <v>1</v>
      </c>
      <c r="C93" s="147">
        <v>3</v>
      </c>
      <c r="D93" s="131">
        <v>80401091</v>
      </c>
      <c r="E93" s="132">
        <f>IF(ISBLANK(D93),"-",$D$101/$D$98*D93)</f>
        <v>82261663.365558654</v>
      </c>
      <c r="F93" s="131">
        <v>87804868</v>
      </c>
      <c r="G93" s="133">
        <f>IF(ISBLANK(F93),"-",$D$101/$F$98*F93)</f>
        <v>82507832.171459451</v>
      </c>
      <c r="I93" s="596"/>
    </row>
    <row r="94" spans="1:12" ht="27" customHeight="1" thickBot="1" x14ac:dyDescent="0.45">
      <c r="A94" s="118" t="s">
        <v>69</v>
      </c>
      <c r="B94" s="119">
        <v>1</v>
      </c>
      <c r="C94" s="204">
        <v>4</v>
      </c>
      <c r="D94" s="135"/>
      <c r="E94" s="136" t="str">
        <f>IF(ISBLANK(D94),"-",$D$101/$D$98*D94)</f>
        <v>-</v>
      </c>
      <c r="F94" s="205"/>
      <c r="G94" s="137" t="str">
        <f>IF(ISBLANK(F94),"-",$D$101/$F$98*F94)</f>
        <v>-</v>
      </c>
      <c r="I94" s="138"/>
    </row>
    <row r="95" spans="1:12" ht="27" customHeight="1" thickBot="1" x14ac:dyDescent="0.45">
      <c r="A95" s="118" t="s">
        <v>70</v>
      </c>
      <c r="B95" s="119">
        <v>1</v>
      </c>
      <c r="C95" s="103" t="s">
        <v>71</v>
      </c>
      <c r="D95" s="206">
        <f>AVERAGE(D91:D94)</f>
        <v>79552585</v>
      </c>
      <c r="E95" s="141">
        <f>AVERAGE(E91:E94)</f>
        <v>81393521.975093469</v>
      </c>
      <c r="F95" s="207">
        <f>AVERAGE(F91:F94)</f>
        <v>87736271.666666672</v>
      </c>
      <c r="G95" s="208">
        <f>AVERAGE(G91:G94)</f>
        <v>82443374.073780358</v>
      </c>
    </row>
    <row r="96" spans="1:12" ht="26.25" customHeight="1" x14ac:dyDescent="0.4">
      <c r="A96" s="118" t="s">
        <v>72</v>
      </c>
      <c r="B96" s="104">
        <v>1</v>
      </c>
      <c r="C96" s="209" t="s">
        <v>113</v>
      </c>
      <c r="D96" s="210">
        <v>14.41</v>
      </c>
      <c r="E96" s="92"/>
      <c r="F96" s="144">
        <v>15.69</v>
      </c>
    </row>
    <row r="97" spans="1:10" ht="26.25" customHeight="1" x14ac:dyDescent="0.4">
      <c r="A97" s="118" t="s">
        <v>74</v>
      </c>
      <c r="B97" s="104">
        <v>1</v>
      </c>
      <c r="C97" s="211" t="s">
        <v>114</v>
      </c>
      <c r="D97" s="212">
        <f>D96*$B$87</f>
        <v>14.41</v>
      </c>
      <c r="E97" s="147"/>
      <c r="F97" s="146">
        <f>F96*$B$87</f>
        <v>15.69</v>
      </c>
    </row>
    <row r="98" spans="1:10" ht="19.5" customHeight="1" thickBot="1" x14ac:dyDescent="0.35">
      <c r="A98" s="118" t="s">
        <v>76</v>
      </c>
      <c r="B98" s="147">
        <f>(B97/B96)*(B95/B94)*(B93/B92)*(B91/B90)*B89</f>
        <v>50</v>
      </c>
      <c r="C98" s="211" t="s">
        <v>115</v>
      </c>
      <c r="D98" s="213">
        <f>D97*$B$83/100</f>
        <v>14.660734</v>
      </c>
      <c r="E98" s="149"/>
      <c r="F98" s="148">
        <f>F97*$B$83/100</f>
        <v>15.963005999999998</v>
      </c>
    </row>
    <row r="99" spans="1:10" ht="19.5" customHeight="1" thickBot="1" x14ac:dyDescent="0.35">
      <c r="A99" s="597" t="s">
        <v>78</v>
      </c>
      <c r="B99" s="598"/>
      <c r="C99" s="211" t="s">
        <v>116</v>
      </c>
      <c r="D99" s="214">
        <f>D98/$B$98</f>
        <v>0.29321468000000001</v>
      </c>
      <c r="E99" s="149"/>
      <c r="F99" s="152">
        <f>F98/$B$98</f>
        <v>0.31926011999999998</v>
      </c>
      <c r="H99" s="83"/>
    </row>
    <row r="100" spans="1:10" ht="19.5" customHeight="1" thickBot="1" x14ac:dyDescent="0.35">
      <c r="A100" s="599"/>
      <c r="B100" s="600"/>
      <c r="C100" s="211" t="s">
        <v>80</v>
      </c>
      <c r="D100" s="215">
        <f>$B$56/$B$116</f>
        <v>0.3</v>
      </c>
      <c r="F100" s="157"/>
      <c r="G100" s="216"/>
      <c r="H100" s="83"/>
    </row>
    <row r="101" spans="1:10" ht="18.75" x14ac:dyDescent="0.3">
      <c r="C101" s="211" t="s">
        <v>81</v>
      </c>
      <c r="D101" s="212">
        <f>D100*$B$98</f>
        <v>15</v>
      </c>
      <c r="F101" s="157"/>
      <c r="H101" s="83"/>
    </row>
    <row r="102" spans="1:10" ht="19.5" customHeight="1" thickBot="1" x14ac:dyDescent="0.35">
      <c r="C102" s="217" t="s">
        <v>82</v>
      </c>
      <c r="D102" s="218">
        <f>D101/B34</f>
        <v>15</v>
      </c>
      <c r="F102" s="161"/>
      <c r="H102" s="83"/>
      <c r="J102" s="219"/>
    </row>
    <row r="103" spans="1:10" ht="18.75" x14ac:dyDescent="0.3">
      <c r="C103" s="220" t="s">
        <v>117</v>
      </c>
      <c r="D103" s="221">
        <f>AVERAGE(E91:E94,G91:G94)</f>
        <v>81918448.024436906</v>
      </c>
      <c r="F103" s="161"/>
      <c r="G103" s="216"/>
      <c r="H103" s="83"/>
      <c r="J103" s="222"/>
    </row>
    <row r="104" spans="1:10" ht="18.75" x14ac:dyDescent="0.3">
      <c r="C104" s="194" t="s">
        <v>84</v>
      </c>
      <c r="D104" s="223">
        <f>STDEV(E91:E94,G91:G94)/D103</f>
        <v>9.8144788597353989E-3</v>
      </c>
      <c r="F104" s="161"/>
      <c r="H104" s="83"/>
      <c r="J104" s="222"/>
    </row>
    <row r="105" spans="1:10" ht="19.5" customHeight="1" thickBot="1" x14ac:dyDescent="0.35">
      <c r="C105" s="196" t="s">
        <v>20</v>
      </c>
      <c r="D105" s="224">
        <f>COUNT(E91:E94,G91:G94)</f>
        <v>6</v>
      </c>
      <c r="F105" s="161"/>
      <c r="H105" s="83"/>
      <c r="J105" s="222"/>
    </row>
    <row r="106" spans="1:10" ht="19.5" customHeight="1" thickBot="1" x14ac:dyDescent="0.35">
      <c r="A106" s="165"/>
      <c r="B106" s="165"/>
      <c r="C106" s="165"/>
      <c r="D106" s="165"/>
      <c r="E106" s="165"/>
    </row>
    <row r="107" spans="1:10" ht="26.25" customHeight="1" x14ac:dyDescent="0.4">
      <c r="A107" s="116" t="s">
        <v>118</v>
      </c>
      <c r="B107" s="117">
        <v>1000</v>
      </c>
      <c r="C107" s="199" t="s">
        <v>119</v>
      </c>
      <c r="D107" s="225" t="s">
        <v>63</v>
      </c>
      <c r="E107" s="226" t="s">
        <v>120</v>
      </c>
      <c r="F107" s="227" t="s">
        <v>121</v>
      </c>
    </row>
    <row r="108" spans="1:10" ht="26.25" customHeight="1" x14ac:dyDescent="0.4">
      <c r="A108" s="118" t="s">
        <v>122</v>
      </c>
      <c r="B108" s="119">
        <v>1</v>
      </c>
      <c r="C108" s="228">
        <v>1</v>
      </c>
      <c r="D108" s="229">
        <v>87421067</v>
      </c>
      <c r="E108" s="230">
        <f t="shared" ref="E108:E113" si="1">IF(ISBLANK(D108),"-",D108/$D$103*$D$100*$B$116)</f>
        <v>320.15157430932391</v>
      </c>
      <c r="F108" s="231">
        <f t="shared" ref="F108:F113" si="2">IF(ISBLANK(D108), "-", E108/$B$56)</f>
        <v>1.0671719143644129</v>
      </c>
    </row>
    <row r="109" spans="1:10" ht="26.25" customHeight="1" x14ac:dyDescent="0.4">
      <c r="A109" s="118" t="s">
        <v>95</v>
      </c>
      <c r="B109" s="119">
        <v>1</v>
      </c>
      <c r="C109" s="228">
        <v>2</v>
      </c>
      <c r="D109" s="229">
        <v>88440849</v>
      </c>
      <c r="E109" s="232">
        <f t="shared" si="1"/>
        <v>323.88619828448435</v>
      </c>
      <c r="F109" s="233">
        <f t="shared" si="2"/>
        <v>1.0796206609482812</v>
      </c>
    </row>
    <row r="110" spans="1:10" ht="26.25" customHeight="1" x14ac:dyDescent="0.4">
      <c r="A110" s="118" t="s">
        <v>96</v>
      </c>
      <c r="B110" s="119">
        <v>1</v>
      </c>
      <c r="C110" s="228">
        <v>3</v>
      </c>
      <c r="D110" s="229">
        <v>88298713</v>
      </c>
      <c r="E110" s="232">
        <f t="shared" si="1"/>
        <v>323.36567084495965</v>
      </c>
      <c r="F110" s="233">
        <f t="shared" si="2"/>
        <v>1.0778855694831988</v>
      </c>
    </row>
    <row r="111" spans="1:10" ht="26.25" customHeight="1" x14ac:dyDescent="0.4">
      <c r="A111" s="118" t="s">
        <v>97</v>
      </c>
      <c r="B111" s="119">
        <v>1</v>
      </c>
      <c r="C111" s="228">
        <v>4</v>
      </c>
      <c r="D111" s="229">
        <v>84679551</v>
      </c>
      <c r="E111" s="232">
        <f t="shared" si="1"/>
        <v>310.11165265755312</v>
      </c>
      <c r="F111" s="233">
        <f t="shared" si="2"/>
        <v>1.0337055088585103</v>
      </c>
    </row>
    <row r="112" spans="1:10" ht="26.25" customHeight="1" x14ac:dyDescent="0.4">
      <c r="A112" s="118" t="s">
        <v>98</v>
      </c>
      <c r="B112" s="119">
        <v>1</v>
      </c>
      <c r="C112" s="228">
        <v>5</v>
      </c>
      <c r="D112" s="229">
        <v>86358111</v>
      </c>
      <c r="E112" s="232">
        <f t="shared" si="1"/>
        <v>316.25883942859383</v>
      </c>
      <c r="F112" s="233">
        <f t="shared" si="2"/>
        <v>1.0541961314286461</v>
      </c>
    </row>
    <row r="113" spans="1:10" ht="26.25" customHeight="1" x14ac:dyDescent="0.4">
      <c r="A113" s="118" t="s">
        <v>100</v>
      </c>
      <c r="B113" s="119">
        <v>1</v>
      </c>
      <c r="C113" s="234">
        <v>6</v>
      </c>
      <c r="D113" s="235">
        <v>87826202</v>
      </c>
      <c r="E113" s="236">
        <f t="shared" si="1"/>
        <v>321.63525109924234</v>
      </c>
      <c r="F113" s="237">
        <f t="shared" si="2"/>
        <v>1.072117503664141</v>
      </c>
    </row>
    <row r="114" spans="1:10" ht="26.25" customHeight="1" x14ac:dyDescent="0.4">
      <c r="A114" s="118" t="s">
        <v>101</v>
      </c>
      <c r="B114" s="119">
        <v>1</v>
      </c>
      <c r="C114" s="228"/>
      <c r="D114" s="147"/>
      <c r="E114" s="92"/>
      <c r="F114" s="238"/>
    </row>
    <row r="115" spans="1:10" ht="26.25" customHeight="1" x14ac:dyDescent="0.4">
      <c r="A115" s="118" t="s">
        <v>102</v>
      </c>
      <c r="B115" s="119">
        <v>1</v>
      </c>
      <c r="C115" s="228"/>
      <c r="D115" s="239" t="s">
        <v>71</v>
      </c>
      <c r="E115" s="240">
        <f>AVERAGE(E108:E113)</f>
        <v>319.23486443735953</v>
      </c>
      <c r="F115" s="241">
        <f>AVERAGE(F108:F113)</f>
        <v>1.0641162147911982</v>
      </c>
    </row>
    <row r="116" spans="1:10" ht="27" customHeight="1" thickBot="1" x14ac:dyDescent="0.45">
      <c r="A116" s="118" t="s">
        <v>103</v>
      </c>
      <c r="B116" s="130">
        <f>(B115/B114)*(B113/B112)*(B111/B110)*(B109/B108)*B107</f>
        <v>1000</v>
      </c>
      <c r="C116" s="242"/>
      <c r="D116" s="103" t="s">
        <v>84</v>
      </c>
      <c r="E116" s="243">
        <f>STDEV(E108:E113)/E115</f>
        <v>1.6420367586603847E-2</v>
      </c>
      <c r="F116" s="243">
        <f>STDEV(F108:F113)/F115</f>
        <v>1.6420367586603878E-2</v>
      </c>
      <c r="I116" s="92"/>
    </row>
    <row r="117" spans="1:10" ht="27" customHeight="1" thickBot="1" x14ac:dyDescent="0.45">
      <c r="A117" s="597" t="s">
        <v>78</v>
      </c>
      <c r="B117" s="601"/>
      <c r="C117" s="244"/>
      <c r="D117" s="245" t="s">
        <v>20</v>
      </c>
      <c r="E117" s="246">
        <f>COUNT(E108:E113)</f>
        <v>6</v>
      </c>
      <c r="F117" s="246">
        <f>COUNT(F108:F113)</f>
        <v>6</v>
      </c>
      <c r="I117" s="92"/>
      <c r="J117" s="222"/>
    </row>
    <row r="118" spans="1:10" ht="19.5" customHeight="1" thickBot="1" x14ac:dyDescent="0.35">
      <c r="A118" s="599"/>
      <c r="B118" s="602"/>
      <c r="C118" s="92"/>
      <c r="D118" s="92"/>
      <c r="E118" s="92"/>
      <c r="F118" s="147"/>
      <c r="G118" s="92"/>
      <c r="H118" s="92"/>
      <c r="I118" s="92"/>
    </row>
    <row r="119" spans="1:10" ht="18.75" x14ac:dyDescent="0.3">
      <c r="A119" s="247"/>
      <c r="B119" s="114"/>
      <c r="C119" s="92"/>
      <c r="D119" s="92"/>
      <c r="E119" s="92"/>
      <c r="F119" s="147"/>
      <c r="G119" s="92"/>
      <c r="H119" s="92"/>
      <c r="I119" s="92"/>
    </row>
    <row r="120" spans="1:10" ht="26.25" customHeight="1" x14ac:dyDescent="0.4">
      <c r="A120" s="102" t="s">
        <v>106</v>
      </c>
      <c r="B120" s="103" t="s">
        <v>123</v>
      </c>
      <c r="C120" s="603" t="str">
        <f>B20</f>
        <v>Efavirenz 600mg, Lamivudine 300mg and Tenofovir Disoproxil Fumarate 300mg Tablets</v>
      </c>
      <c r="D120" s="603"/>
      <c r="E120" s="92" t="s">
        <v>124</v>
      </c>
      <c r="F120" s="92"/>
      <c r="G120" s="198">
        <f>F115</f>
        <v>1.0641162147911982</v>
      </c>
      <c r="H120" s="92"/>
      <c r="I120" s="92"/>
    </row>
    <row r="121" spans="1:10" ht="19.5" customHeight="1" thickBot="1" x14ac:dyDescent="0.35">
      <c r="A121" s="248"/>
      <c r="B121" s="248"/>
      <c r="C121" s="249"/>
      <c r="D121" s="249"/>
      <c r="E121" s="249"/>
      <c r="F121" s="249"/>
      <c r="G121" s="249"/>
      <c r="H121" s="249"/>
    </row>
    <row r="122" spans="1:10" ht="18.75" x14ac:dyDescent="0.3">
      <c r="B122" s="604" t="s">
        <v>26</v>
      </c>
      <c r="C122" s="604"/>
      <c r="E122" s="201" t="s">
        <v>27</v>
      </c>
      <c r="F122" s="250"/>
      <c r="G122" s="604" t="s">
        <v>28</v>
      </c>
      <c r="H122" s="604"/>
    </row>
    <row r="123" spans="1:10" ht="69.95" customHeight="1" x14ac:dyDescent="0.3">
      <c r="A123" s="102" t="s">
        <v>29</v>
      </c>
      <c r="B123" s="251"/>
      <c r="C123" s="251"/>
      <c r="E123" s="251"/>
      <c r="F123" s="92"/>
      <c r="G123" s="251"/>
      <c r="H123" s="251"/>
    </row>
    <row r="124" spans="1:10" ht="69.95" customHeight="1" x14ac:dyDescent="0.3">
      <c r="A124" s="102" t="s">
        <v>30</v>
      </c>
      <c r="B124" s="252"/>
      <c r="C124" s="252"/>
      <c r="E124" s="252"/>
      <c r="F124" s="92"/>
      <c r="G124" s="253"/>
      <c r="H124" s="253"/>
    </row>
    <row r="125" spans="1:10" ht="18.75" x14ac:dyDescent="0.3">
      <c r="A125" s="147"/>
      <c r="B125" s="147"/>
      <c r="C125" s="147"/>
      <c r="D125" s="147"/>
      <c r="E125" s="147"/>
      <c r="F125" s="149"/>
      <c r="G125" s="147"/>
      <c r="H125" s="147"/>
      <c r="I125" s="92"/>
    </row>
    <row r="126" spans="1:10" ht="18.75" x14ac:dyDescent="0.3">
      <c r="A126" s="147"/>
      <c r="B126" s="147"/>
      <c r="C126" s="147"/>
      <c r="D126" s="147"/>
      <c r="E126" s="147"/>
      <c r="F126" s="149"/>
      <c r="G126" s="147"/>
      <c r="H126" s="147"/>
      <c r="I126" s="92"/>
    </row>
    <row r="127" spans="1:10" ht="18.75" x14ac:dyDescent="0.3">
      <c r="A127" s="147"/>
      <c r="B127" s="147"/>
      <c r="C127" s="147"/>
      <c r="D127" s="147"/>
      <c r="E127" s="147"/>
      <c r="F127" s="149"/>
      <c r="G127" s="147"/>
      <c r="H127" s="147"/>
      <c r="I127" s="92"/>
    </row>
    <row r="128" spans="1:10" ht="18.75" x14ac:dyDescent="0.3">
      <c r="A128" s="147"/>
      <c r="B128" s="147"/>
      <c r="C128" s="147"/>
      <c r="D128" s="147"/>
      <c r="E128" s="147"/>
      <c r="F128" s="149"/>
      <c r="G128" s="147"/>
      <c r="H128" s="147"/>
      <c r="I128" s="92"/>
    </row>
    <row r="129" spans="1:9" ht="18.75" x14ac:dyDescent="0.3">
      <c r="A129" s="147"/>
      <c r="B129" s="147"/>
      <c r="C129" s="147"/>
      <c r="D129" s="147"/>
      <c r="E129" s="147"/>
      <c r="F129" s="149"/>
      <c r="G129" s="147"/>
      <c r="H129" s="147"/>
      <c r="I129" s="92"/>
    </row>
    <row r="130" spans="1:9" ht="18.75" x14ac:dyDescent="0.3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.75" x14ac:dyDescent="0.3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.75" x14ac:dyDescent="0.3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.75" x14ac:dyDescent="0.3">
      <c r="A133" s="147"/>
      <c r="B133" s="147"/>
      <c r="C133" s="147"/>
      <c r="D133" s="147"/>
      <c r="E133" s="147"/>
      <c r="F133" s="149"/>
      <c r="G133" s="147"/>
      <c r="H133" s="147"/>
      <c r="I133" s="92"/>
    </row>
    <row r="250" spans="1:1" x14ac:dyDescent="0.25">
      <c r="A250" s="4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8" zoomScale="60" zoomScaleNormal="40" zoomScalePageLayoutView="55" workbookViewId="0">
      <selection activeCell="D114" sqref="D114"/>
    </sheetView>
  </sheetViews>
  <sheetFormatPr defaultColWidth="9.140625" defaultRowHeight="13.5" x14ac:dyDescent="0.25"/>
  <cols>
    <col min="1" max="1" width="55.42578125" style="420" customWidth="1"/>
    <col min="2" max="2" width="33.7109375" style="420" customWidth="1"/>
    <col min="3" max="3" width="42.28515625" style="420" customWidth="1"/>
    <col min="4" max="4" width="30.5703125" style="420" customWidth="1"/>
    <col min="5" max="5" width="39.85546875" style="420" customWidth="1"/>
    <col min="6" max="6" width="30.7109375" style="420" customWidth="1"/>
    <col min="7" max="7" width="39.85546875" style="420" customWidth="1"/>
    <col min="8" max="8" width="30" style="420" customWidth="1"/>
    <col min="9" max="9" width="30.28515625" style="420" hidden="1" customWidth="1"/>
    <col min="10" max="10" width="30.42578125" style="420" customWidth="1"/>
    <col min="11" max="11" width="21.28515625" style="420" customWidth="1"/>
    <col min="12" max="12" width="9.140625" style="420"/>
    <col min="13" max="16384" width="9.140625" style="422"/>
  </cols>
  <sheetData>
    <row r="1" spans="1:9" ht="18.75" customHeight="1" x14ac:dyDescent="0.25">
      <c r="A1" s="665" t="s">
        <v>45</v>
      </c>
      <c r="B1" s="665"/>
      <c r="C1" s="665"/>
      <c r="D1" s="665"/>
      <c r="E1" s="665"/>
      <c r="F1" s="665"/>
      <c r="G1" s="665"/>
      <c r="H1" s="665"/>
      <c r="I1" s="665"/>
    </row>
    <row r="2" spans="1:9" ht="18.75" customHeight="1" x14ac:dyDescent="0.25">
      <c r="A2" s="665"/>
      <c r="B2" s="665"/>
      <c r="C2" s="665"/>
      <c r="D2" s="665"/>
      <c r="E2" s="665"/>
      <c r="F2" s="665"/>
      <c r="G2" s="665"/>
      <c r="H2" s="665"/>
      <c r="I2" s="665"/>
    </row>
    <row r="3" spans="1:9" ht="18.75" customHeight="1" x14ac:dyDescent="0.25">
      <c r="A3" s="665"/>
      <c r="B3" s="665"/>
      <c r="C3" s="665"/>
      <c r="D3" s="665"/>
      <c r="E3" s="665"/>
      <c r="F3" s="665"/>
      <c r="G3" s="665"/>
      <c r="H3" s="665"/>
      <c r="I3" s="665"/>
    </row>
    <row r="4" spans="1:9" ht="18.75" customHeight="1" x14ac:dyDescent="0.25">
      <c r="A4" s="665"/>
      <c r="B4" s="665"/>
      <c r="C4" s="665"/>
      <c r="D4" s="665"/>
      <c r="E4" s="665"/>
      <c r="F4" s="665"/>
      <c r="G4" s="665"/>
      <c r="H4" s="665"/>
      <c r="I4" s="665"/>
    </row>
    <row r="5" spans="1:9" ht="18.75" customHeight="1" x14ac:dyDescent="0.25">
      <c r="A5" s="665"/>
      <c r="B5" s="665"/>
      <c r="C5" s="665"/>
      <c r="D5" s="665"/>
      <c r="E5" s="665"/>
      <c r="F5" s="665"/>
      <c r="G5" s="665"/>
      <c r="H5" s="665"/>
      <c r="I5" s="665"/>
    </row>
    <row r="6" spans="1:9" ht="18.75" customHeight="1" x14ac:dyDescent="0.25">
      <c r="A6" s="665"/>
      <c r="B6" s="665"/>
      <c r="C6" s="665"/>
      <c r="D6" s="665"/>
      <c r="E6" s="665"/>
      <c r="F6" s="665"/>
      <c r="G6" s="665"/>
      <c r="H6" s="665"/>
      <c r="I6" s="665"/>
    </row>
    <row r="7" spans="1:9" ht="18.75" customHeight="1" x14ac:dyDescent="0.25">
      <c r="A7" s="665"/>
      <c r="B7" s="665"/>
      <c r="C7" s="665"/>
      <c r="D7" s="665"/>
      <c r="E7" s="665"/>
      <c r="F7" s="665"/>
      <c r="G7" s="665"/>
      <c r="H7" s="665"/>
      <c r="I7" s="665"/>
    </row>
    <row r="8" spans="1:9" x14ac:dyDescent="0.25">
      <c r="A8" s="666" t="s">
        <v>46</v>
      </c>
      <c r="B8" s="666"/>
      <c r="C8" s="666"/>
      <c r="D8" s="666"/>
      <c r="E8" s="666"/>
      <c r="F8" s="666"/>
      <c r="G8" s="666"/>
      <c r="H8" s="666"/>
      <c r="I8" s="666"/>
    </row>
    <row r="9" spans="1:9" x14ac:dyDescent="0.25">
      <c r="A9" s="666"/>
      <c r="B9" s="666"/>
      <c r="C9" s="666"/>
      <c r="D9" s="666"/>
      <c r="E9" s="666"/>
      <c r="F9" s="666"/>
      <c r="G9" s="666"/>
      <c r="H9" s="666"/>
      <c r="I9" s="666"/>
    </row>
    <row r="10" spans="1:9" x14ac:dyDescent="0.25">
      <c r="A10" s="666"/>
      <c r="B10" s="666"/>
      <c r="C10" s="666"/>
      <c r="D10" s="666"/>
      <c r="E10" s="666"/>
      <c r="F10" s="666"/>
      <c r="G10" s="666"/>
      <c r="H10" s="666"/>
      <c r="I10" s="666"/>
    </row>
    <row r="11" spans="1:9" x14ac:dyDescent="0.25">
      <c r="A11" s="666"/>
      <c r="B11" s="666"/>
      <c r="C11" s="666"/>
      <c r="D11" s="666"/>
      <c r="E11" s="666"/>
      <c r="F11" s="666"/>
      <c r="G11" s="666"/>
      <c r="H11" s="666"/>
      <c r="I11" s="666"/>
    </row>
    <row r="12" spans="1:9" x14ac:dyDescent="0.25">
      <c r="A12" s="666"/>
      <c r="B12" s="666"/>
      <c r="C12" s="666"/>
      <c r="D12" s="666"/>
      <c r="E12" s="666"/>
      <c r="F12" s="666"/>
      <c r="G12" s="666"/>
      <c r="H12" s="666"/>
      <c r="I12" s="666"/>
    </row>
    <row r="13" spans="1:9" x14ac:dyDescent="0.25">
      <c r="A13" s="666"/>
      <c r="B13" s="666"/>
      <c r="C13" s="666"/>
      <c r="D13" s="666"/>
      <c r="E13" s="666"/>
      <c r="F13" s="666"/>
      <c r="G13" s="666"/>
      <c r="H13" s="666"/>
      <c r="I13" s="666"/>
    </row>
    <row r="14" spans="1:9" x14ac:dyDescent="0.25">
      <c r="A14" s="666"/>
      <c r="B14" s="666"/>
      <c r="C14" s="666"/>
      <c r="D14" s="666"/>
      <c r="E14" s="666"/>
      <c r="F14" s="666"/>
      <c r="G14" s="666"/>
      <c r="H14" s="666"/>
      <c r="I14" s="666"/>
    </row>
    <row r="15" spans="1:9" ht="19.5" customHeight="1" thickBot="1" x14ac:dyDescent="0.35">
      <c r="A15" s="421"/>
    </row>
    <row r="16" spans="1:9" ht="19.5" customHeight="1" thickBot="1" x14ac:dyDescent="0.35">
      <c r="A16" s="667" t="s">
        <v>31</v>
      </c>
      <c r="B16" s="668"/>
      <c r="C16" s="668"/>
      <c r="D16" s="668"/>
      <c r="E16" s="668"/>
      <c r="F16" s="668"/>
      <c r="G16" s="668"/>
      <c r="H16" s="669"/>
    </row>
    <row r="17" spans="1:14" ht="20.25" customHeight="1" x14ac:dyDescent="0.25">
      <c r="A17" s="670" t="s">
        <v>47</v>
      </c>
      <c r="B17" s="670"/>
      <c r="C17" s="670"/>
      <c r="D17" s="670"/>
      <c r="E17" s="670"/>
      <c r="F17" s="670"/>
      <c r="G17" s="670"/>
      <c r="H17" s="670"/>
    </row>
    <row r="18" spans="1:14" ht="26.25" customHeight="1" x14ac:dyDescent="0.4">
      <c r="A18" s="423" t="s">
        <v>33</v>
      </c>
      <c r="B18" s="671" t="s">
        <v>125</v>
      </c>
      <c r="C18" s="671"/>
      <c r="D18" s="424"/>
      <c r="E18" s="425"/>
      <c r="F18" s="426"/>
      <c r="G18" s="426"/>
      <c r="H18" s="426"/>
    </row>
    <row r="19" spans="1:14" ht="26.25" customHeight="1" x14ac:dyDescent="0.4">
      <c r="A19" s="423" t="s">
        <v>34</v>
      </c>
      <c r="B19" s="427" t="s">
        <v>7</v>
      </c>
      <c r="C19" s="426">
        <v>29</v>
      </c>
      <c r="D19" s="426"/>
      <c r="E19" s="426"/>
      <c r="F19" s="426"/>
      <c r="G19" s="426"/>
      <c r="H19" s="426"/>
    </row>
    <row r="20" spans="1:14" ht="26.25" customHeight="1" x14ac:dyDescent="0.4">
      <c r="A20" s="423" t="s">
        <v>35</v>
      </c>
      <c r="B20" s="672" t="s">
        <v>9</v>
      </c>
      <c r="C20" s="672"/>
      <c r="D20" s="426"/>
      <c r="E20" s="426"/>
      <c r="F20" s="426"/>
      <c r="G20" s="426"/>
      <c r="H20" s="426"/>
    </row>
    <row r="21" spans="1:14" ht="26.25" customHeight="1" x14ac:dyDescent="0.4">
      <c r="A21" s="423" t="s">
        <v>36</v>
      </c>
      <c r="B21" s="672" t="s">
        <v>126</v>
      </c>
      <c r="C21" s="672"/>
      <c r="D21" s="672"/>
      <c r="E21" s="672"/>
      <c r="F21" s="672"/>
      <c r="G21" s="672"/>
      <c r="H21" s="672"/>
      <c r="I21" s="428"/>
    </row>
    <row r="22" spans="1:14" ht="26.25" customHeight="1" x14ac:dyDescent="0.4">
      <c r="A22" s="423" t="s">
        <v>37</v>
      </c>
      <c r="B22" s="99">
        <v>42499.469143518516</v>
      </c>
      <c r="C22" s="426"/>
      <c r="D22" s="426"/>
      <c r="E22" s="426"/>
      <c r="F22" s="426"/>
      <c r="G22" s="426"/>
      <c r="H22" s="426"/>
    </row>
    <row r="23" spans="1:14" ht="26.25" customHeight="1" x14ac:dyDescent="0.4">
      <c r="A23" s="423" t="s">
        <v>38</v>
      </c>
      <c r="B23" s="429">
        <v>42510.469143518516</v>
      </c>
      <c r="C23" s="426"/>
      <c r="D23" s="426"/>
      <c r="E23" s="426"/>
      <c r="F23" s="426"/>
      <c r="G23" s="426"/>
      <c r="H23" s="426"/>
    </row>
    <row r="24" spans="1:14" ht="18.75" x14ac:dyDescent="0.3">
      <c r="A24" s="423"/>
      <c r="B24" s="430"/>
    </row>
    <row r="25" spans="1:14" ht="18.75" x14ac:dyDescent="0.3">
      <c r="A25" s="431" t="s">
        <v>1</v>
      </c>
      <c r="B25" s="430"/>
    </row>
    <row r="26" spans="1:14" ht="26.25" customHeight="1" x14ac:dyDescent="0.4">
      <c r="A26" s="432" t="s">
        <v>4</v>
      </c>
      <c r="B26" s="672" t="s">
        <v>9</v>
      </c>
      <c r="C26" s="672"/>
    </row>
    <row r="27" spans="1:14" ht="26.25" customHeight="1" x14ac:dyDescent="0.4">
      <c r="A27" s="433" t="s">
        <v>48</v>
      </c>
      <c r="B27" s="673" t="s">
        <v>133</v>
      </c>
      <c r="C27" s="673"/>
    </row>
    <row r="28" spans="1:14" ht="27" customHeight="1" thickBot="1" x14ac:dyDescent="0.45">
      <c r="A28" s="433" t="s">
        <v>6</v>
      </c>
      <c r="B28" s="434">
        <v>98.8</v>
      </c>
    </row>
    <row r="29" spans="1:14" s="436" customFormat="1" ht="27" customHeight="1" thickBot="1" x14ac:dyDescent="0.45">
      <c r="A29" s="433" t="s">
        <v>49</v>
      </c>
      <c r="B29" s="435">
        <v>0</v>
      </c>
      <c r="C29" s="654" t="s">
        <v>50</v>
      </c>
      <c r="D29" s="655"/>
      <c r="E29" s="655"/>
      <c r="F29" s="655"/>
      <c r="G29" s="656"/>
      <c r="I29" s="437"/>
      <c r="J29" s="437"/>
      <c r="K29" s="437"/>
      <c r="L29" s="437"/>
    </row>
    <row r="30" spans="1:14" s="436" customFormat="1" ht="19.5" customHeight="1" thickBot="1" x14ac:dyDescent="0.35">
      <c r="A30" s="433" t="s">
        <v>51</v>
      </c>
      <c r="B30" s="438">
        <f>B28-B29</f>
        <v>98.8</v>
      </c>
      <c r="C30" s="439"/>
      <c r="D30" s="439"/>
      <c r="E30" s="439"/>
      <c r="F30" s="439"/>
      <c r="G30" s="440"/>
      <c r="I30" s="437"/>
      <c r="J30" s="437"/>
      <c r="K30" s="437"/>
      <c r="L30" s="437"/>
    </row>
    <row r="31" spans="1:14" s="436" customFormat="1" ht="27" customHeight="1" thickBot="1" x14ac:dyDescent="0.45">
      <c r="A31" s="433" t="s">
        <v>52</v>
      </c>
      <c r="B31" s="441">
        <v>1</v>
      </c>
      <c r="C31" s="657" t="s">
        <v>53</v>
      </c>
      <c r="D31" s="658"/>
      <c r="E31" s="658"/>
      <c r="F31" s="658"/>
      <c r="G31" s="658"/>
      <c r="H31" s="659"/>
      <c r="I31" s="437"/>
      <c r="J31" s="437"/>
      <c r="K31" s="437"/>
      <c r="L31" s="437"/>
    </row>
    <row r="32" spans="1:14" s="436" customFormat="1" ht="27" customHeight="1" thickBot="1" x14ac:dyDescent="0.45">
      <c r="A32" s="433" t="s">
        <v>54</v>
      </c>
      <c r="B32" s="441">
        <v>1</v>
      </c>
      <c r="C32" s="657" t="s">
        <v>55</v>
      </c>
      <c r="D32" s="658"/>
      <c r="E32" s="658"/>
      <c r="F32" s="658"/>
      <c r="G32" s="658"/>
      <c r="H32" s="659"/>
      <c r="I32" s="437"/>
      <c r="J32" s="437"/>
      <c r="K32" s="437"/>
      <c r="L32" s="442"/>
      <c r="M32" s="442"/>
      <c r="N32" s="443"/>
    </row>
    <row r="33" spans="1:14" s="436" customFormat="1" ht="17.25" customHeight="1" x14ac:dyDescent="0.3">
      <c r="A33" s="433"/>
      <c r="B33" s="444"/>
      <c r="C33" s="445"/>
      <c r="D33" s="445"/>
      <c r="E33" s="445"/>
      <c r="F33" s="445"/>
      <c r="G33" s="445"/>
      <c r="H33" s="445"/>
      <c r="I33" s="437"/>
      <c r="J33" s="437"/>
      <c r="K33" s="437"/>
      <c r="L33" s="442"/>
      <c r="M33" s="442"/>
      <c r="N33" s="443"/>
    </row>
    <row r="34" spans="1:14" s="436" customFormat="1" ht="18.75" x14ac:dyDescent="0.3">
      <c r="A34" s="433" t="s">
        <v>56</v>
      </c>
      <c r="B34" s="446">
        <f>B31/B32</f>
        <v>1</v>
      </c>
      <c r="C34" s="421" t="s">
        <v>57</v>
      </c>
      <c r="D34" s="421"/>
      <c r="E34" s="421"/>
      <c r="F34" s="421"/>
      <c r="G34" s="421"/>
      <c r="I34" s="437"/>
      <c r="J34" s="437"/>
      <c r="K34" s="437"/>
      <c r="L34" s="442"/>
      <c r="M34" s="442"/>
      <c r="N34" s="443"/>
    </row>
    <row r="35" spans="1:14" s="436" customFormat="1" ht="19.5" customHeight="1" thickBot="1" x14ac:dyDescent="0.35">
      <c r="A35" s="433"/>
      <c r="B35" s="438"/>
      <c r="G35" s="421"/>
      <c r="I35" s="437"/>
      <c r="J35" s="437"/>
      <c r="K35" s="437"/>
      <c r="L35" s="442"/>
      <c r="M35" s="442"/>
      <c r="N35" s="443"/>
    </row>
    <row r="36" spans="1:14" s="436" customFormat="1" ht="27" customHeight="1" thickBot="1" x14ac:dyDescent="0.45">
      <c r="A36" s="447" t="s">
        <v>58</v>
      </c>
      <c r="B36" s="448">
        <v>25</v>
      </c>
      <c r="C36" s="421"/>
      <c r="D36" s="644" t="s">
        <v>59</v>
      </c>
      <c r="E36" s="664"/>
      <c r="F36" s="644" t="s">
        <v>60</v>
      </c>
      <c r="G36" s="645"/>
      <c r="J36" s="437"/>
      <c r="K36" s="437"/>
      <c r="L36" s="442"/>
      <c r="M36" s="442"/>
      <c r="N36" s="443"/>
    </row>
    <row r="37" spans="1:14" s="436" customFormat="1" ht="27" customHeight="1" thickBot="1" x14ac:dyDescent="0.45">
      <c r="A37" s="449" t="s">
        <v>61</v>
      </c>
      <c r="B37" s="450">
        <v>5</v>
      </c>
      <c r="C37" s="451" t="s">
        <v>62</v>
      </c>
      <c r="D37" s="452" t="s">
        <v>63</v>
      </c>
      <c r="E37" s="453" t="s">
        <v>64</v>
      </c>
      <c r="F37" s="452" t="s">
        <v>63</v>
      </c>
      <c r="G37" s="454" t="s">
        <v>64</v>
      </c>
      <c r="I37" s="455" t="s">
        <v>65</v>
      </c>
      <c r="J37" s="437"/>
      <c r="K37" s="437"/>
      <c r="L37" s="442"/>
      <c r="M37" s="442"/>
      <c r="N37" s="443"/>
    </row>
    <row r="38" spans="1:14" s="436" customFormat="1" ht="26.25" customHeight="1" x14ac:dyDescent="0.4">
      <c r="A38" s="449" t="s">
        <v>66</v>
      </c>
      <c r="B38" s="450">
        <v>50</v>
      </c>
      <c r="C38" s="456">
        <v>1</v>
      </c>
      <c r="D38" s="457">
        <v>12329252</v>
      </c>
      <c r="E38" s="458">
        <f>IF(ISBLANK(D38),"-",$D$48/$D$45*D38)</f>
        <v>12588096.839273708</v>
      </c>
      <c r="F38" s="457">
        <v>13630872</v>
      </c>
      <c r="G38" s="459">
        <f>IF(ISBLANK(F38),"-",$D$48/$F$45*F38)</f>
        <v>12429215.450268082</v>
      </c>
      <c r="I38" s="460"/>
      <c r="J38" s="437"/>
      <c r="K38" s="437"/>
      <c r="L38" s="442"/>
      <c r="M38" s="442"/>
      <c r="N38" s="443"/>
    </row>
    <row r="39" spans="1:14" s="436" customFormat="1" ht="26.25" customHeight="1" x14ac:dyDescent="0.4">
      <c r="A39" s="449" t="s">
        <v>67</v>
      </c>
      <c r="B39" s="450">
        <v>1</v>
      </c>
      <c r="C39" s="461">
        <v>2</v>
      </c>
      <c r="D39" s="462">
        <v>12305865</v>
      </c>
      <c r="E39" s="463">
        <f>IF(ISBLANK(D39),"-",$D$48/$D$45*D39)</f>
        <v>12564218.844016567</v>
      </c>
      <c r="F39" s="462">
        <v>13674704</v>
      </c>
      <c r="G39" s="464">
        <f>IF(ISBLANK(F39),"-",$D$48/$F$45*F39)</f>
        <v>12469183.353393881</v>
      </c>
      <c r="I39" s="635">
        <f>ABS((F43/D43*D42)-F42)/D42</f>
        <v>7.9341203811214792E-3</v>
      </c>
      <c r="J39" s="437"/>
      <c r="K39" s="437"/>
      <c r="L39" s="442"/>
      <c r="M39" s="442"/>
      <c r="N39" s="443"/>
    </row>
    <row r="40" spans="1:14" ht="26.25" customHeight="1" x14ac:dyDescent="0.4">
      <c r="A40" s="449" t="s">
        <v>68</v>
      </c>
      <c r="B40" s="450">
        <v>1</v>
      </c>
      <c r="C40" s="461">
        <v>3</v>
      </c>
      <c r="D40" s="462">
        <v>12254770</v>
      </c>
      <c r="E40" s="463">
        <f>IF(ISBLANK(D40),"-",$D$48/$D$45*D40)</f>
        <v>12512051.136843197</v>
      </c>
      <c r="F40" s="462">
        <v>13707493</v>
      </c>
      <c r="G40" s="464">
        <f>IF(ISBLANK(F40),"-",$D$48/$F$45*F40)</f>
        <v>12499081.774081776</v>
      </c>
      <c r="I40" s="635"/>
      <c r="L40" s="442"/>
      <c r="M40" s="442"/>
      <c r="N40" s="421"/>
    </row>
    <row r="41" spans="1:14" ht="27" customHeight="1" thickBot="1" x14ac:dyDescent="0.45">
      <c r="A41" s="449" t="s">
        <v>69</v>
      </c>
      <c r="B41" s="450">
        <v>1</v>
      </c>
      <c r="C41" s="465">
        <v>4</v>
      </c>
      <c r="D41" s="466"/>
      <c r="E41" s="467" t="str">
        <f>IF(ISBLANK(D41),"-",$D$48/$D$45*D41)</f>
        <v>-</v>
      </c>
      <c r="F41" s="466"/>
      <c r="G41" s="468" t="str">
        <f>IF(ISBLANK(F41),"-",$D$48/$F$45*F41)</f>
        <v>-</v>
      </c>
      <c r="I41" s="469"/>
      <c r="L41" s="442"/>
      <c r="M41" s="442"/>
      <c r="N41" s="421"/>
    </row>
    <row r="42" spans="1:14" ht="27" customHeight="1" thickBot="1" x14ac:dyDescent="0.45">
      <c r="A42" s="449" t="s">
        <v>70</v>
      </c>
      <c r="B42" s="450">
        <v>1</v>
      </c>
      <c r="C42" s="470" t="s">
        <v>71</v>
      </c>
      <c r="D42" s="471">
        <f>AVERAGE(D38:D41)</f>
        <v>12296629</v>
      </c>
      <c r="E42" s="472">
        <f>AVERAGE(E38:E41)</f>
        <v>12554788.940044491</v>
      </c>
      <c r="F42" s="471">
        <f>AVERAGE(F38:F41)</f>
        <v>13671023</v>
      </c>
      <c r="G42" s="473">
        <f>AVERAGE(G38:G41)</f>
        <v>12465826.859247914</v>
      </c>
      <c r="H42" s="474"/>
    </row>
    <row r="43" spans="1:14" ht="26.25" customHeight="1" x14ac:dyDescent="0.4">
      <c r="A43" s="449" t="s">
        <v>72</v>
      </c>
      <c r="B43" s="450">
        <v>1</v>
      </c>
      <c r="C43" s="475" t="s">
        <v>73</v>
      </c>
      <c r="D43" s="476">
        <v>14.87</v>
      </c>
      <c r="E43" s="421"/>
      <c r="F43" s="476">
        <v>16.649999999999999</v>
      </c>
      <c r="H43" s="474"/>
    </row>
    <row r="44" spans="1:14" ht="26.25" customHeight="1" x14ac:dyDescent="0.4">
      <c r="A44" s="449" t="s">
        <v>74</v>
      </c>
      <c r="B44" s="450">
        <v>1</v>
      </c>
      <c r="C44" s="477" t="s">
        <v>75</v>
      </c>
      <c r="D44" s="478">
        <f>D43*$B$34</f>
        <v>14.87</v>
      </c>
      <c r="E44" s="479"/>
      <c r="F44" s="478">
        <f>F43*$B$34</f>
        <v>16.649999999999999</v>
      </c>
      <c r="H44" s="474"/>
    </row>
    <row r="45" spans="1:14" ht="19.5" customHeight="1" thickBot="1" x14ac:dyDescent="0.35">
      <c r="A45" s="449" t="s">
        <v>76</v>
      </c>
      <c r="B45" s="461">
        <f>(B44/B43)*(B42/B41)*(B40/B39)*(B38/B37)*B36</f>
        <v>250</v>
      </c>
      <c r="C45" s="477" t="s">
        <v>77</v>
      </c>
      <c r="D45" s="480">
        <f>D44*$B$30/100</f>
        <v>14.691559999999999</v>
      </c>
      <c r="E45" s="481"/>
      <c r="F45" s="480">
        <f>F44*$B$30/100</f>
        <v>16.450199999999999</v>
      </c>
      <c r="H45" s="474"/>
    </row>
    <row r="46" spans="1:14" ht="19.5" customHeight="1" thickBot="1" x14ac:dyDescent="0.35">
      <c r="A46" s="636" t="s">
        <v>78</v>
      </c>
      <c r="B46" s="640"/>
      <c r="C46" s="477" t="s">
        <v>79</v>
      </c>
      <c r="D46" s="482">
        <f>D45/$B$45</f>
        <v>5.8766239999999997E-2</v>
      </c>
      <c r="E46" s="483"/>
      <c r="F46" s="484">
        <f>F45/$B$45</f>
        <v>6.5800799999999993E-2</v>
      </c>
      <c r="H46" s="474"/>
    </row>
    <row r="47" spans="1:14" ht="27" customHeight="1" thickBot="1" x14ac:dyDescent="0.45">
      <c r="A47" s="638"/>
      <c r="B47" s="641"/>
      <c r="C47" s="485" t="s">
        <v>80</v>
      </c>
      <c r="D47" s="486">
        <v>0.06</v>
      </c>
      <c r="E47" s="487"/>
      <c r="F47" s="483"/>
      <c r="H47" s="474"/>
    </row>
    <row r="48" spans="1:14" ht="18.75" x14ac:dyDescent="0.3">
      <c r="C48" s="488" t="s">
        <v>81</v>
      </c>
      <c r="D48" s="480">
        <f>D47*$B$45</f>
        <v>15</v>
      </c>
      <c r="F48" s="489"/>
      <c r="H48" s="474"/>
    </row>
    <row r="49" spans="1:12" ht="19.5" customHeight="1" thickBot="1" x14ac:dyDescent="0.35">
      <c r="C49" s="490" t="s">
        <v>82</v>
      </c>
      <c r="D49" s="491">
        <f>D48/B34</f>
        <v>15</v>
      </c>
      <c r="F49" s="489"/>
      <c r="H49" s="474"/>
    </row>
    <row r="50" spans="1:12" ht="18.75" x14ac:dyDescent="0.3">
      <c r="C50" s="447" t="s">
        <v>83</v>
      </c>
      <c r="D50" s="492">
        <f>AVERAGE(E38:E41,G38:G41)</f>
        <v>12510307.899646202</v>
      </c>
      <c r="F50" s="493"/>
      <c r="H50" s="474"/>
    </row>
    <row r="51" spans="1:12" ht="18.75" x14ac:dyDescent="0.3">
      <c r="C51" s="449" t="s">
        <v>84</v>
      </c>
      <c r="D51" s="494">
        <f>STDEV(E38:E41,G38:G41)/D50</f>
        <v>4.7091674828815136E-3</v>
      </c>
      <c r="F51" s="493"/>
      <c r="H51" s="474"/>
    </row>
    <row r="52" spans="1:12" ht="19.5" customHeight="1" thickBot="1" x14ac:dyDescent="0.35">
      <c r="C52" s="495" t="s">
        <v>20</v>
      </c>
      <c r="D52" s="496">
        <f>COUNT(E38:E41,G38:G41)</f>
        <v>6</v>
      </c>
      <c r="F52" s="493"/>
    </row>
    <row r="54" spans="1:12" ht="18.75" x14ac:dyDescent="0.3">
      <c r="A54" s="497" t="s">
        <v>1</v>
      </c>
      <c r="B54" s="498" t="s">
        <v>85</v>
      </c>
    </row>
    <row r="55" spans="1:12" ht="18.75" x14ac:dyDescent="0.3">
      <c r="A55" s="421" t="s">
        <v>86</v>
      </c>
      <c r="B55" s="499" t="str">
        <f>B21</f>
        <v xml:space="preserve">Tenofovir Disoproxil Fumarate 300mg, Lamivudine 300mg 
Efavirenz 600mg  </v>
      </c>
    </row>
    <row r="56" spans="1:12" ht="26.25" customHeight="1" x14ac:dyDescent="0.4">
      <c r="A56" s="499" t="s">
        <v>87</v>
      </c>
      <c r="B56" s="500">
        <v>300</v>
      </c>
      <c r="C56" s="421" t="str">
        <f>B20</f>
        <v>Tenofovir Disoproxil Fumarate 300mg, Lamivudine 300mg &amp; Efavirenz 600mg tablets</v>
      </c>
      <c r="H56" s="479"/>
    </row>
    <row r="57" spans="1:12" ht="18.75" x14ac:dyDescent="0.3">
      <c r="A57" s="499" t="s">
        <v>88</v>
      </c>
      <c r="B57" s="501">
        <f>Uniformity!C46</f>
        <v>1907.2440000000001</v>
      </c>
      <c r="H57" s="479"/>
    </row>
    <row r="58" spans="1:12" ht="19.5" customHeight="1" thickBot="1" x14ac:dyDescent="0.35">
      <c r="H58" s="479"/>
    </row>
    <row r="59" spans="1:12" s="436" customFormat="1" ht="27" customHeight="1" thickBot="1" x14ac:dyDescent="0.45">
      <c r="A59" s="447" t="s">
        <v>89</v>
      </c>
      <c r="B59" s="448">
        <v>200</v>
      </c>
      <c r="C59" s="421"/>
      <c r="D59" s="502" t="s">
        <v>90</v>
      </c>
      <c r="E59" s="503" t="s">
        <v>62</v>
      </c>
      <c r="F59" s="503" t="s">
        <v>63</v>
      </c>
      <c r="G59" s="503" t="s">
        <v>91</v>
      </c>
      <c r="H59" s="451" t="s">
        <v>92</v>
      </c>
      <c r="L59" s="437"/>
    </row>
    <row r="60" spans="1:12" s="436" customFormat="1" ht="26.25" customHeight="1" x14ac:dyDescent="0.4">
      <c r="A60" s="449" t="s">
        <v>93</v>
      </c>
      <c r="B60" s="450">
        <v>4</v>
      </c>
      <c r="C60" s="646" t="s">
        <v>94</v>
      </c>
      <c r="D60" s="610">
        <v>1905.07</v>
      </c>
      <c r="E60" s="504">
        <v>1</v>
      </c>
      <c r="F60" s="505">
        <v>12043454</v>
      </c>
      <c r="G60" s="506">
        <f>IF(ISBLANK(F60),"-",(F60/$D$50*$D$47*$B$68)*($B$57/$D$60))</f>
        <v>289.13431235871303</v>
      </c>
      <c r="H60" s="507">
        <f t="shared" ref="H60:H71" si="0">IF(ISBLANK(F60),"-",G60/$B$56)</f>
        <v>0.96378104119571006</v>
      </c>
      <c r="L60" s="437"/>
    </row>
    <row r="61" spans="1:12" s="436" customFormat="1" ht="26.25" customHeight="1" x14ac:dyDescent="0.4">
      <c r="A61" s="449" t="s">
        <v>95</v>
      </c>
      <c r="B61" s="450">
        <v>100</v>
      </c>
      <c r="C61" s="647"/>
      <c r="D61" s="611"/>
      <c r="E61" s="508">
        <v>2</v>
      </c>
      <c r="F61" s="462">
        <v>12052409</v>
      </c>
      <c r="G61" s="509">
        <f>IF(ISBLANK(F61),"-",(F61/$D$50*$D$47*$B$68)*($B$57/$D$60))</f>
        <v>289.34930033202801</v>
      </c>
      <c r="H61" s="510">
        <f t="shared" si="0"/>
        <v>0.96449766777342671</v>
      </c>
      <c r="L61" s="437"/>
    </row>
    <row r="62" spans="1:12" s="436" customFormat="1" ht="26.25" customHeight="1" x14ac:dyDescent="0.4">
      <c r="A62" s="449" t="s">
        <v>96</v>
      </c>
      <c r="B62" s="450">
        <v>1</v>
      </c>
      <c r="C62" s="647"/>
      <c r="D62" s="611"/>
      <c r="E62" s="508">
        <v>3</v>
      </c>
      <c r="F62" s="511">
        <v>12096216</v>
      </c>
      <c r="G62" s="509">
        <f>IF(ISBLANK(F62),"-",(F62/$D$50*$D$47*$B$68)*($B$57/$D$60))</f>
        <v>290.40100085095708</v>
      </c>
      <c r="H62" s="510">
        <f t="shared" si="0"/>
        <v>0.9680033361698569</v>
      </c>
      <c r="L62" s="437"/>
    </row>
    <row r="63" spans="1:12" ht="27" customHeight="1" thickBot="1" x14ac:dyDescent="0.45">
      <c r="A63" s="449" t="s">
        <v>97</v>
      </c>
      <c r="B63" s="450">
        <v>1</v>
      </c>
      <c r="C63" s="648"/>
      <c r="D63" s="612"/>
      <c r="E63" s="512">
        <v>4</v>
      </c>
      <c r="F63" s="513"/>
      <c r="G63" s="509" t="str">
        <f>IF(ISBLANK(F63),"-",(F63/$D$50*$D$47*$B$68)*($B$57/$D$60))</f>
        <v>-</v>
      </c>
      <c r="H63" s="510" t="str">
        <f t="shared" si="0"/>
        <v>-</v>
      </c>
    </row>
    <row r="64" spans="1:12" ht="26.25" customHeight="1" x14ac:dyDescent="0.4">
      <c r="A64" s="449" t="s">
        <v>98</v>
      </c>
      <c r="B64" s="450">
        <v>1</v>
      </c>
      <c r="C64" s="646" t="s">
        <v>99</v>
      </c>
      <c r="D64" s="649">
        <v>1910.77</v>
      </c>
      <c r="E64" s="504">
        <v>1</v>
      </c>
      <c r="F64" s="505">
        <v>12036226</v>
      </c>
      <c r="G64" s="514">
        <f>IF(ISBLANK(F64),"-",(F64/$D$50*$D$47*$B$68)*($B$57/$D$64))</f>
        <v>288.09878929518572</v>
      </c>
      <c r="H64" s="515">
        <f t="shared" si="0"/>
        <v>0.96032929765061903</v>
      </c>
    </row>
    <row r="65" spans="1:8" ht="26.25" customHeight="1" x14ac:dyDescent="0.4">
      <c r="A65" s="449" t="s">
        <v>100</v>
      </c>
      <c r="B65" s="450">
        <v>1</v>
      </c>
      <c r="C65" s="647"/>
      <c r="D65" s="650"/>
      <c r="E65" s="508">
        <v>2</v>
      </c>
      <c r="F65" s="462">
        <v>12035206</v>
      </c>
      <c r="G65" s="516">
        <f>IF(ISBLANK(F65),"-",(F65/$D$50*$D$47*$B$68)*($B$57/$D$64))</f>
        <v>288.07437460198526</v>
      </c>
      <c r="H65" s="517">
        <f t="shared" si="0"/>
        <v>0.9602479153399508</v>
      </c>
    </row>
    <row r="66" spans="1:8" ht="26.25" customHeight="1" x14ac:dyDescent="0.4">
      <c r="A66" s="449" t="s">
        <v>101</v>
      </c>
      <c r="B66" s="450">
        <v>1</v>
      </c>
      <c r="C66" s="647"/>
      <c r="D66" s="650"/>
      <c r="E66" s="508">
        <v>3</v>
      </c>
      <c r="F66" s="462">
        <v>12008267</v>
      </c>
      <c r="G66" s="516">
        <f>IF(ISBLANK(F66),"-",(F66/$D$50*$D$47*$B$68)*($B$57/$D$64))</f>
        <v>287.4295634057828</v>
      </c>
      <c r="H66" s="517">
        <f t="shared" si="0"/>
        <v>0.95809854468594269</v>
      </c>
    </row>
    <row r="67" spans="1:8" ht="27" customHeight="1" thickBot="1" x14ac:dyDescent="0.45">
      <c r="A67" s="449" t="s">
        <v>102</v>
      </c>
      <c r="B67" s="450">
        <v>1</v>
      </c>
      <c r="C67" s="648"/>
      <c r="D67" s="651"/>
      <c r="E67" s="512">
        <v>4</v>
      </c>
      <c r="F67" s="513"/>
      <c r="G67" s="518" t="str">
        <f>IF(ISBLANK(F67),"-",(F67/$D$50*$D$47*$B$68)*($B$57/$D$64))</f>
        <v>-</v>
      </c>
      <c r="H67" s="519" t="str">
        <f t="shared" si="0"/>
        <v>-</v>
      </c>
    </row>
    <row r="68" spans="1:8" ht="26.25" customHeight="1" x14ac:dyDescent="0.4">
      <c r="A68" s="449" t="s">
        <v>103</v>
      </c>
      <c r="B68" s="520">
        <f>(B67/B66)*(B65/B64)*(B63/B62)*(B61/B60)*B59</f>
        <v>5000</v>
      </c>
      <c r="C68" s="646" t="s">
        <v>104</v>
      </c>
      <c r="D68" s="649">
        <v>1910.16</v>
      </c>
      <c r="E68" s="504">
        <v>1</v>
      </c>
      <c r="F68" s="505">
        <v>11933046</v>
      </c>
      <c r="G68" s="514">
        <f>IF(ISBLANK(F68),"-",(F68/$D$50*$D$47*$B$68)*($B$57/$D$68))</f>
        <v>285.72028973651067</v>
      </c>
      <c r="H68" s="510">
        <f t="shared" si="0"/>
        <v>0.95240096578836886</v>
      </c>
    </row>
    <row r="69" spans="1:8" ht="27" customHeight="1" thickBot="1" x14ac:dyDescent="0.45">
      <c r="A69" s="495" t="s">
        <v>105</v>
      </c>
      <c r="B69" s="521">
        <f>(D47*B68)/B56*B57</f>
        <v>1907.2440000000001</v>
      </c>
      <c r="C69" s="647"/>
      <c r="D69" s="650"/>
      <c r="E69" s="508">
        <v>2</v>
      </c>
      <c r="F69" s="462">
        <v>12374872</v>
      </c>
      <c r="G69" s="516">
        <f>IF(ISBLANK(F69),"-",(F69/$D$50*$D$47*$B$68)*($B$57/$D$68))</f>
        <v>296.29920250807999</v>
      </c>
      <c r="H69" s="510">
        <f t="shared" si="0"/>
        <v>0.98766400836026658</v>
      </c>
    </row>
    <row r="70" spans="1:8" ht="26.25" customHeight="1" x14ac:dyDescent="0.4">
      <c r="A70" s="660" t="s">
        <v>78</v>
      </c>
      <c r="B70" s="661"/>
      <c r="C70" s="647"/>
      <c r="D70" s="650"/>
      <c r="E70" s="508">
        <v>3</v>
      </c>
      <c r="F70" s="462">
        <v>11967969</v>
      </c>
      <c r="G70" s="516">
        <f>IF(ISBLANK(F70),"-",(F70/$D$50*$D$47*$B$68)*($B$57/$D$68))</f>
        <v>286.55647269251949</v>
      </c>
      <c r="H70" s="510">
        <f t="shared" si="0"/>
        <v>0.95518824230839827</v>
      </c>
    </row>
    <row r="71" spans="1:8" ht="27" customHeight="1" thickBot="1" x14ac:dyDescent="0.45">
      <c r="A71" s="662"/>
      <c r="B71" s="663"/>
      <c r="C71" s="652"/>
      <c r="D71" s="651"/>
      <c r="E71" s="512">
        <v>4</v>
      </c>
      <c r="F71" s="513"/>
      <c r="G71" s="518" t="str">
        <f>IF(ISBLANK(F71),"-",(F71/$D$50*$D$47*$B$68)*($B$57/$D$68))</f>
        <v>-</v>
      </c>
      <c r="H71" s="522" t="str">
        <f t="shared" si="0"/>
        <v>-</v>
      </c>
    </row>
    <row r="72" spans="1:8" ht="26.25" customHeight="1" x14ac:dyDescent="0.4">
      <c r="A72" s="479"/>
      <c r="B72" s="479"/>
      <c r="C72" s="479"/>
      <c r="D72" s="479"/>
      <c r="E72" s="479"/>
      <c r="F72" s="523" t="s">
        <v>71</v>
      </c>
      <c r="G72" s="524">
        <f>AVERAGE(G60:G71)</f>
        <v>289.00703397575131</v>
      </c>
      <c r="H72" s="525">
        <f>AVERAGE(H60:H71)</f>
        <v>0.96335677991917101</v>
      </c>
    </row>
    <row r="73" spans="1:8" ht="26.25" customHeight="1" x14ac:dyDescent="0.4">
      <c r="C73" s="479"/>
      <c r="D73" s="479"/>
      <c r="E73" s="479"/>
      <c r="F73" s="526" t="s">
        <v>84</v>
      </c>
      <c r="G73" s="527">
        <f>STDEV(G60:G71)/G72</f>
        <v>1.0681875406433092E-2</v>
      </c>
      <c r="H73" s="527">
        <f>STDEV(H60:H71)/H72</f>
        <v>1.0681875406433087E-2</v>
      </c>
    </row>
    <row r="74" spans="1:8" ht="27" customHeight="1" thickBot="1" x14ac:dyDescent="0.45">
      <c r="A74" s="479"/>
      <c r="B74" s="479"/>
      <c r="C74" s="479"/>
      <c r="D74" s="479"/>
      <c r="E74" s="481"/>
      <c r="F74" s="528" t="s">
        <v>20</v>
      </c>
      <c r="G74" s="529">
        <f>COUNT(G60:G71)</f>
        <v>9</v>
      </c>
      <c r="H74" s="529">
        <f>COUNT(H60:H71)</f>
        <v>9</v>
      </c>
    </row>
    <row r="76" spans="1:8" ht="26.25" customHeight="1" x14ac:dyDescent="0.4">
      <c r="A76" s="432" t="s">
        <v>106</v>
      </c>
      <c r="B76" s="433" t="s">
        <v>107</v>
      </c>
      <c r="C76" s="642" t="str">
        <f>B20</f>
        <v>Tenofovir Disoproxil Fumarate 300mg, Lamivudine 300mg &amp; Efavirenz 600mg tablets</v>
      </c>
      <c r="D76" s="642"/>
      <c r="E76" s="421" t="s">
        <v>108</v>
      </c>
      <c r="F76" s="421"/>
      <c r="G76" s="530">
        <f>H72</f>
        <v>0.96335677991917101</v>
      </c>
      <c r="H76" s="438"/>
    </row>
    <row r="77" spans="1:8" ht="18.75" x14ac:dyDescent="0.3">
      <c r="A77" s="431" t="s">
        <v>109</v>
      </c>
      <c r="B77" s="431" t="s">
        <v>110</v>
      </c>
    </row>
    <row r="78" spans="1:8" ht="18.75" x14ac:dyDescent="0.3">
      <c r="A78" s="431"/>
      <c r="B78" s="431"/>
    </row>
    <row r="79" spans="1:8" ht="26.25" customHeight="1" x14ac:dyDescent="0.4">
      <c r="A79" s="432" t="s">
        <v>4</v>
      </c>
      <c r="B79" s="653" t="str">
        <f>B26</f>
        <v>Tenofovir Disoproxil Fumarate 300mg, Lamivudine 300mg &amp; Efavirenz 600mg tablets</v>
      </c>
      <c r="C79" s="653"/>
    </row>
    <row r="80" spans="1:8" ht="26.25" customHeight="1" x14ac:dyDescent="0.4">
      <c r="A80" s="433" t="s">
        <v>48</v>
      </c>
      <c r="B80" s="653" t="str">
        <f>B27</f>
        <v>T11-6</v>
      </c>
      <c r="C80" s="653"/>
    </row>
    <row r="81" spans="1:12" ht="27" customHeight="1" thickBot="1" x14ac:dyDescent="0.45">
      <c r="A81" s="433" t="s">
        <v>6</v>
      </c>
      <c r="B81" s="434">
        <f>B28</f>
        <v>98.8</v>
      </c>
    </row>
    <row r="82" spans="1:12" s="436" customFormat="1" ht="27" customHeight="1" thickBot="1" x14ac:dyDescent="0.45">
      <c r="A82" s="433" t="s">
        <v>49</v>
      </c>
      <c r="B82" s="435">
        <v>0</v>
      </c>
      <c r="C82" s="654" t="s">
        <v>50</v>
      </c>
      <c r="D82" s="655"/>
      <c r="E82" s="655"/>
      <c r="F82" s="655"/>
      <c r="G82" s="656"/>
      <c r="I82" s="437"/>
      <c r="J82" s="437"/>
      <c r="K82" s="437"/>
      <c r="L82" s="437"/>
    </row>
    <row r="83" spans="1:12" s="436" customFormat="1" ht="19.5" customHeight="1" thickBot="1" x14ac:dyDescent="0.35">
      <c r="A83" s="433" t="s">
        <v>51</v>
      </c>
      <c r="B83" s="438">
        <f>B81-B82</f>
        <v>98.8</v>
      </c>
      <c r="C83" s="439"/>
      <c r="D83" s="439"/>
      <c r="E83" s="439"/>
      <c r="F83" s="439"/>
      <c r="G83" s="440"/>
      <c r="I83" s="437"/>
      <c r="J83" s="437"/>
      <c r="K83" s="437"/>
      <c r="L83" s="437"/>
    </row>
    <row r="84" spans="1:12" s="436" customFormat="1" ht="27" customHeight="1" thickBot="1" x14ac:dyDescent="0.45">
      <c r="A84" s="433" t="s">
        <v>52</v>
      </c>
      <c r="B84" s="441">
        <v>1</v>
      </c>
      <c r="C84" s="657" t="s">
        <v>111</v>
      </c>
      <c r="D84" s="658"/>
      <c r="E84" s="658"/>
      <c r="F84" s="658"/>
      <c r="G84" s="658"/>
      <c r="H84" s="659"/>
      <c r="I84" s="437"/>
      <c r="J84" s="437"/>
      <c r="K84" s="437"/>
      <c r="L84" s="437"/>
    </row>
    <row r="85" spans="1:12" s="436" customFormat="1" ht="27" customHeight="1" thickBot="1" x14ac:dyDescent="0.45">
      <c r="A85" s="433" t="s">
        <v>54</v>
      </c>
      <c r="B85" s="441">
        <v>1</v>
      </c>
      <c r="C85" s="657" t="s">
        <v>112</v>
      </c>
      <c r="D85" s="658"/>
      <c r="E85" s="658"/>
      <c r="F85" s="658"/>
      <c r="G85" s="658"/>
      <c r="H85" s="659"/>
      <c r="I85" s="437"/>
      <c r="J85" s="437"/>
      <c r="K85" s="437"/>
      <c r="L85" s="437"/>
    </row>
    <row r="86" spans="1:12" s="436" customFormat="1" ht="18.75" x14ac:dyDescent="0.3">
      <c r="A86" s="433"/>
      <c r="B86" s="444"/>
      <c r="C86" s="445"/>
      <c r="D86" s="445"/>
      <c r="E86" s="445"/>
      <c r="F86" s="445"/>
      <c r="G86" s="445"/>
      <c r="H86" s="445"/>
      <c r="I86" s="437"/>
      <c r="J86" s="437"/>
      <c r="K86" s="437"/>
      <c r="L86" s="437"/>
    </row>
    <row r="87" spans="1:12" s="436" customFormat="1" ht="18.75" x14ac:dyDescent="0.3">
      <c r="A87" s="433" t="s">
        <v>56</v>
      </c>
      <c r="B87" s="446">
        <f>B84/B85</f>
        <v>1</v>
      </c>
      <c r="C87" s="421" t="s">
        <v>57</v>
      </c>
      <c r="D87" s="421"/>
      <c r="E87" s="421"/>
      <c r="F87" s="421"/>
      <c r="G87" s="421"/>
      <c r="I87" s="437"/>
      <c r="J87" s="437"/>
      <c r="K87" s="437"/>
      <c r="L87" s="437"/>
    </row>
    <row r="88" spans="1:12" ht="19.5" customHeight="1" thickBot="1" x14ac:dyDescent="0.35">
      <c r="A88" s="431"/>
      <c r="B88" s="431"/>
    </row>
    <row r="89" spans="1:12" ht="27" customHeight="1" thickBot="1" x14ac:dyDescent="0.45">
      <c r="A89" s="447" t="s">
        <v>58</v>
      </c>
      <c r="B89" s="448">
        <v>25</v>
      </c>
      <c r="D89" s="531" t="s">
        <v>59</v>
      </c>
      <c r="E89" s="532"/>
      <c r="F89" s="644" t="s">
        <v>60</v>
      </c>
      <c r="G89" s="645"/>
    </row>
    <row r="90" spans="1:12" ht="27" customHeight="1" thickBot="1" x14ac:dyDescent="0.45">
      <c r="A90" s="449" t="s">
        <v>61</v>
      </c>
      <c r="B90" s="450">
        <v>10</v>
      </c>
      <c r="C90" s="533" t="s">
        <v>62</v>
      </c>
      <c r="D90" s="452" t="s">
        <v>63</v>
      </c>
      <c r="E90" s="453" t="s">
        <v>64</v>
      </c>
      <c r="F90" s="452" t="s">
        <v>63</v>
      </c>
      <c r="G90" s="534" t="s">
        <v>64</v>
      </c>
      <c r="I90" s="455" t="s">
        <v>65</v>
      </c>
    </row>
    <row r="91" spans="1:12" ht="26.25" customHeight="1" x14ac:dyDescent="0.4">
      <c r="A91" s="449" t="s">
        <v>66</v>
      </c>
      <c r="B91" s="450">
        <v>20</v>
      </c>
      <c r="C91" s="535">
        <v>1</v>
      </c>
      <c r="D91" s="457">
        <v>59715027</v>
      </c>
      <c r="E91" s="458">
        <f>IF(ISBLANK(D91),"-",$D$101/$D$98*D91)</f>
        <v>60968706.182325102</v>
      </c>
      <c r="F91" s="457">
        <v>67518214</v>
      </c>
      <c r="G91" s="459">
        <f>IF(ISBLANK(F91),"-",$D$101/$F$98*F91)</f>
        <v>61566011.963380389</v>
      </c>
      <c r="I91" s="460"/>
    </row>
    <row r="92" spans="1:12" ht="26.25" customHeight="1" x14ac:dyDescent="0.4">
      <c r="A92" s="449" t="s">
        <v>67</v>
      </c>
      <c r="B92" s="450">
        <v>1</v>
      </c>
      <c r="C92" s="479">
        <v>2</v>
      </c>
      <c r="D92" s="462">
        <v>59587886</v>
      </c>
      <c r="E92" s="463">
        <f>IF(ISBLANK(D92),"-",$D$101/$D$98*D92)</f>
        <v>60838895.937531494</v>
      </c>
      <c r="F92" s="462">
        <v>66967850</v>
      </c>
      <c r="G92" s="464">
        <f>IF(ISBLANK(F92),"-",$D$101/$F$98*F92)</f>
        <v>61064166.39311377</v>
      </c>
      <c r="I92" s="635">
        <f>ABS((F96/D96*D95)-F95)/D95</f>
        <v>3.8481712936150264E-3</v>
      </c>
    </row>
    <row r="93" spans="1:12" ht="26.25" customHeight="1" x14ac:dyDescent="0.4">
      <c r="A93" s="449" t="s">
        <v>68</v>
      </c>
      <c r="B93" s="450">
        <v>1</v>
      </c>
      <c r="C93" s="479">
        <v>3</v>
      </c>
      <c r="D93" s="462">
        <v>60461015</v>
      </c>
      <c r="E93" s="463">
        <f>IF(ISBLANK(D93),"-",$D$101/$D$98*D93)</f>
        <v>61730355.728050672</v>
      </c>
      <c r="F93" s="462">
        <v>67488106</v>
      </c>
      <c r="G93" s="464">
        <f>IF(ISBLANK(F93),"-",$D$101/$F$98*F93)</f>
        <v>61538558.193821356</v>
      </c>
      <c r="I93" s="635"/>
    </row>
    <row r="94" spans="1:12" ht="27" customHeight="1" thickBot="1" x14ac:dyDescent="0.45">
      <c r="A94" s="449" t="s">
        <v>69</v>
      </c>
      <c r="B94" s="450">
        <v>1</v>
      </c>
      <c r="C94" s="536">
        <v>4</v>
      </c>
      <c r="D94" s="466"/>
      <c r="E94" s="467" t="str">
        <f>IF(ISBLANK(D94),"-",$D$101/$D$98*D94)</f>
        <v>-</v>
      </c>
      <c r="F94" s="537"/>
      <c r="G94" s="468" t="str">
        <f>IF(ISBLANK(F94),"-",$D$101/$F$98*F94)</f>
        <v>-</v>
      </c>
      <c r="I94" s="469"/>
    </row>
    <row r="95" spans="1:12" ht="27" customHeight="1" thickBot="1" x14ac:dyDescent="0.45">
      <c r="A95" s="449" t="s">
        <v>70</v>
      </c>
      <c r="B95" s="450">
        <v>1</v>
      </c>
      <c r="C95" s="433" t="s">
        <v>71</v>
      </c>
      <c r="D95" s="538">
        <f>AVERAGE(D91:D94)</f>
        <v>59921309.333333336</v>
      </c>
      <c r="E95" s="472">
        <f>AVERAGE(E91:E94)</f>
        <v>61179319.282635756</v>
      </c>
      <c r="F95" s="539">
        <f>AVERAGE(F91:F94)</f>
        <v>67324723.333333328</v>
      </c>
      <c r="G95" s="540">
        <f>AVERAGE(G91:G94)</f>
        <v>61389578.850105166</v>
      </c>
    </row>
    <row r="96" spans="1:12" ht="26.25" customHeight="1" x14ac:dyDescent="0.4">
      <c r="A96" s="449" t="s">
        <v>72</v>
      </c>
      <c r="B96" s="434">
        <v>1</v>
      </c>
      <c r="C96" s="541" t="s">
        <v>113</v>
      </c>
      <c r="D96" s="542">
        <v>14.87</v>
      </c>
      <c r="E96" s="421"/>
      <c r="F96" s="476">
        <v>16.649999999999999</v>
      </c>
    </row>
    <row r="97" spans="1:10" ht="26.25" customHeight="1" x14ac:dyDescent="0.4">
      <c r="A97" s="449" t="s">
        <v>74</v>
      </c>
      <c r="B97" s="434">
        <v>1</v>
      </c>
      <c r="C97" s="543" t="s">
        <v>114</v>
      </c>
      <c r="D97" s="544">
        <f>D96*$B$87</f>
        <v>14.87</v>
      </c>
      <c r="E97" s="479"/>
      <c r="F97" s="478">
        <f>F96*$B$87</f>
        <v>16.649999999999999</v>
      </c>
    </row>
    <row r="98" spans="1:10" ht="19.5" customHeight="1" thickBot="1" x14ac:dyDescent="0.35">
      <c r="A98" s="449" t="s">
        <v>76</v>
      </c>
      <c r="B98" s="479">
        <f>(B97/B96)*(B95/B94)*(B93/B92)*(B91/B90)*B89</f>
        <v>50</v>
      </c>
      <c r="C98" s="543" t="s">
        <v>115</v>
      </c>
      <c r="D98" s="545">
        <f>D97*$B$83/100</f>
        <v>14.691559999999999</v>
      </c>
      <c r="E98" s="481"/>
      <c r="F98" s="480">
        <f>F97*$B$83/100</f>
        <v>16.450199999999999</v>
      </c>
    </row>
    <row r="99" spans="1:10" ht="19.5" customHeight="1" thickBot="1" x14ac:dyDescent="0.35">
      <c r="A99" s="636" t="s">
        <v>78</v>
      </c>
      <c r="B99" s="637"/>
      <c r="C99" s="543" t="s">
        <v>116</v>
      </c>
      <c r="D99" s="546">
        <f>D98/$B$98</f>
        <v>0.29383119999999996</v>
      </c>
      <c r="E99" s="481"/>
      <c r="F99" s="484">
        <f>F98/$B$98</f>
        <v>0.32900399999999996</v>
      </c>
      <c r="H99" s="474"/>
    </row>
    <row r="100" spans="1:10" ht="19.5" customHeight="1" thickBot="1" x14ac:dyDescent="0.35">
      <c r="A100" s="638"/>
      <c r="B100" s="639"/>
      <c r="C100" s="543" t="s">
        <v>80</v>
      </c>
      <c r="D100" s="547">
        <f>$B$56/$B$116</f>
        <v>0.3</v>
      </c>
      <c r="F100" s="489"/>
      <c r="G100" s="548"/>
      <c r="H100" s="474"/>
    </row>
    <row r="101" spans="1:10" ht="18.75" x14ac:dyDescent="0.3">
      <c r="C101" s="543" t="s">
        <v>81</v>
      </c>
      <c r="D101" s="544">
        <f>D100*$B$98</f>
        <v>15</v>
      </c>
      <c r="F101" s="489"/>
      <c r="H101" s="474"/>
    </row>
    <row r="102" spans="1:10" ht="19.5" customHeight="1" thickBot="1" x14ac:dyDescent="0.35">
      <c r="C102" s="549" t="s">
        <v>82</v>
      </c>
      <c r="D102" s="550">
        <f>D101/B34</f>
        <v>15</v>
      </c>
      <c r="F102" s="493"/>
      <c r="H102" s="474"/>
      <c r="J102" s="551"/>
    </row>
    <row r="103" spans="1:10" ht="18.75" x14ac:dyDescent="0.3">
      <c r="C103" s="552" t="s">
        <v>117</v>
      </c>
      <c r="D103" s="553">
        <f>AVERAGE(E91:E94,G91:G94)</f>
        <v>61284449.066370465</v>
      </c>
      <c r="F103" s="493"/>
      <c r="G103" s="548"/>
      <c r="H103" s="474"/>
      <c r="J103" s="554"/>
    </row>
    <row r="104" spans="1:10" ht="18.75" x14ac:dyDescent="0.3">
      <c r="C104" s="526" t="s">
        <v>84</v>
      </c>
      <c r="D104" s="555">
        <f>STDEV(E91:E94,G91:G94)/D103</f>
        <v>6.0590684242348685E-3</v>
      </c>
      <c r="F104" s="493"/>
      <c r="H104" s="474"/>
      <c r="J104" s="554"/>
    </row>
    <row r="105" spans="1:10" ht="19.5" customHeight="1" thickBot="1" x14ac:dyDescent="0.35">
      <c r="C105" s="528" t="s">
        <v>20</v>
      </c>
      <c r="D105" s="556">
        <f>COUNT(E91:E94,G91:G94)</f>
        <v>6</v>
      </c>
      <c r="F105" s="493"/>
      <c r="H105" s="474"/>
      <c r="J105" s="554"/>
    </row>
    <row r="106" spans="1:10" ht="19.5" customHeight="1" thickBot="1" x14ac:dyDescent="0.35">
      <c r="A106" s="497"/>
      <c r="B106" s="497"/>
      <c r="C106" s="497"/>
      <c r="D106" s="497"/>
      <c r="E106" s="497"/>
    </row>
    <row r="107" spans="1:10" ht="26.25" customHeight="1" x14ac:dyDescent="0.4">
      <c r="A107" s="447" t="s">
        <v>118</v>
      </c>
      <c r="B107" s="448">
        <v>1000</v>
      </c>
      <c r="C107" s="531" t="s">
        <v>119</v>
      </c>
      <c r="D107" s="557" t="s">
        <v>63</v>
      </c>
      <c r="E107" s="558" t="s">
        <v>120</v>
      </c>
      <c r="F107" s="559" t="s">
        <v>121</v>
      </c>
    </row>
    <row r="108" spans="1:10" ht="26.25" customHeight="1" x14ac:dyDescent="0.4">
      <c r="A108" s="449" t="s">
        <v>122</v>
      </c>
      <c r="B108" s="450">
        <v>1</v>
      </c>
      <c r="C108" s="560">
        <v>1</v>
      </c>
      <c r="D108" s="561">
        <v>59024704</v>
      </c>
      <c r="E108" s="562">
        <f t="shared" ref="E108:E113" si="1">IF(ISBLANK(D108),"-",D108/$D$103*$D$100*$B$116)</f>
        <v>288.93808249500688</v>
      </c>
      <c r="F108" s="563">
        <f t="shared" ref="F108:F113" si="2">IF(ISBLANK(D108), "-", E108/$B$56)</f>
        <v>0.96312694165002288</v>
      </c>
    </row>
    <row r="109" spans="1:10" ht="26.25" customHeight="1" x14ac:dyDescent="0.4">
      <c r="A109" s="449" t="s">
        <v>95</v>
      </c>
      <c r="B109" s="450">
        <v>1</v>
      </c>
      <c r="C109" s="560">
        <v>2</v>
      </c>
      <c r="D109" s="561">
        <v>59499280</v>
      </c>
      <c r="E109" s="564">
        <f t="shared" si="1"/>
        <v>291.261229756163</v>
      </c>
      <c r="F109" s="565">
        <f t="shared" si="2"/>
        <v>0.97087076585387666</v>
      </c>
    </row>
    <row r="110" spans="1:10" ht="26.25" customHeight="1" x14ac:dyDescent="0.4">
      <c r="A110" s="449" t="s">
        <v>96</v>
      </c>
      <c r="B110" s="450">
        <v>1</v>
      </c>
      <c r="C110" s="560">
        <v>3</v>
      </c>
      <c r="D110" s="561">
        <v>59450599</v>
      </c>
      <c r="E110" s="564">
        <f t="shared" si="1"/>
        <v>291.02292623508248</v>
      </c>
      <c r="F110" s="565">
        <f t="shared" si="2"/>
        <v>0.97007642078360823</v>
      </c>
    </row>
    <row r="111" spans="1:10" ht="26.25" customHeight="1" x14ac:dyDescent="0.4">
      <c r="A111" s="449" t="s">
        <v>97</v>
      </c>
      <c r="B111" s="450">
        <v>1</v>
      </c>
      <c r="C111" s="560">
        <v>4</v>
      </c>
      <c r="D111" s="561">
        <v>58632273</v>
      </c>
      <c r="E111" s="564">
        <f t="shared" si="1"/>
        <v>287.01705192699939</v>
      </c>
      <c r="F111" s="565">
        <f t="shared" si="2"/>
        <v>0.95672350642333126</v>
      </c>
    </row>
    <row r="112" spans="1:10" ht="26.25" customHeight="1" x14ac:dyDescent="0.4">
      <c r="A112" s="449" t="s">
        <v>98</v>
      </c>
      <c r="B112" s="450">
        <v>1</v>
      </c>
      <c r="C112" s="560">
        <v>5</v>
      </c>
      <c r="D112" s="561">
        <v>58960124</v>
      </c>
      <c r="E112" s="564">
        <f t="shared" si="1"/>
        <v>288.62195009445264</v>
      </c>
      <c r="F112" s="565">
        <f t="shared" si="2"/>
        <v>0.9620731669815088</v>
      </c>
    </row>
    <row r="113" spans="1:10" ht="26.25" customHeight="1" x14ac:dyDescent="0.4">
      <c r="A113" s="449" t="s">
        <v>100</v>
      </c>
      <c r="B113" s="450">
        <v>1</v>
      </c>
      <c r="C113" s="566">
        <v>6</v>
      </c>
      <c r="D113" s="567">
        <v>59229776</v>
      </c>
      <c r="E113" s="568">
        <f t="shared" si="1"/>
        <v>289.94195217054846</v>
      </c>
      <c r="F113" s="569">
        <f t="shared" si="2"/>
        <v>0.96647317390182819</v>
      </c>
    </row>
    <row r="114" spans="1:10" ht="26.25" customHeight="1" x14ac:dyDescent="0.4">
      <c r="A114" s="449" t="s">
        <v>101</v>
      </c>
      <c r="B114" s="450">
        <v>1</v>
      </c>
      <c r="C114" s="560"/>
      <c r="D114" s="479"/>
      <c r="E114" s="421"/>
      <c r="F114" s="570"/>
    </row>
    <row r="115" spans="1:10" ht="26.25" customHeight="1" x14ac:dyDescent="0.4">
      <c r="A115" s="449" t="s">
        <v>102</v>
      </c>
      <c r="B115" s="450">
        <v>1</v>
      </c>
      <c r="C115" s="560"/>
      <c r="D115" s="571" t="s">
        <v>71</v>
      </c>
      <c r="E115" s="572">
        <f>AVERAGE(E108:E113)</f>
        <v>289.46719877970878</v>
      </c>
      <c r="F115" s="573">
        <f>AVERAGE(F108:F113)</f>
        <v>0.96489066259902945</v>
      </c>
    </row>
    <row r="116" spans="1:10" ht="27" customHeight="1" thickBot="1" x14ac:dyDescent="0.45">
      <c r="A116" s="449" t="s">
        <v>103</v>
      </c>
      <c r="B116" s="461">
        <f>(B115/B114)*(B113/B112)*(B111/B110)*(B109/B108)*B107</f>
        <v>1000</v>
      </c>
      <c r="C116" s="574"/>
      <c r="D116" s="433" t="s">
        <v>84</v>
      </c>
      <c r="E116" s="575">
        <f>STDEV(E108:E113)/E115</f>
        <v>5.5407357866784262E-3</v>
      </c>
      <c r="F116" s="575">
        <f>STDEV(F108:F113)/F115</f>
        <v>5.5407357866784262E-3</v>
      </c>
      <c r="I116" s="421"/>
    </row>
    <row r="117" spans="1:10" ht="27" customHeight="1" thickBot="1" x14ac:dyDescent="0.45">
      <c r="A117" s="636" t="s">
        <v>78</v>
      </c>
      <c r="B117" s="640"/>
      <c r="C117" s="576"/>
      <c r="D117" s="577" t="s">
        <v>20</v>
      </c>
      <c r="E117" s="578">
        <f>COUNT(E108:E113)</f>
        <v>6</v>
      </c>
      <c r="F117" s="578">
        <f>COUNT(F108:F113)</f>
        <v>6</v>
      </c>
      <c r="I117" s="421"/>
      <c r="J117" s="554"/>
    </row>
    <row r="118" spans="1:10" ht="19.5" customHeight="1" thickBot="1" x14ac:dyDescent="0.35">
      <c r="A118" s="638"/>
      <c r="B118" s="641"/>
      <c r="C118" s="421"/>
      <c r="D118" s="421"/>
      <c r="E118" s="421"/>
      <c r="F118" s="479"/>
      <c r="G118" s="421"/>
      <c r="H118" s="421"/>
      <c r="I118" s="421"/>
    </row>
    <row r="119" spans="1:10" ht="18.75" x14ac:dyDescent="0.3">
      <c r="A119" s="579"/>
      <c r="B119" s="445"/>
      <c r="C119" s="421"/>
      <c r="D119" s="421"/>
      <c r="E119" s="421"/>
      <c r="F119" s="479"/>
      <c r="G119" s="421"/>
      <c r="H119" s="421"/>
      <c r="I119" s="421"/>
    </row>
    <row r="120" spans="1:10" ht="26.25" customHeight="1" x14ac:dyDescent="0.4">
      <c r="A120" s="432" t="s">
        <v>106</v>
      </c>
      <c r="B120" s="433" t="s">
        <v>123</v>
      </c>
      <c r="C120" s="642" t="str">
        <f>B20</f>
        <v>Tenofovir Disoproxil Fumarate 300mg, Lamivudine 300mg &amp; Efavirenz 600mg tablets</v>
      </c>
      <c r="D120" s="642"/>
      <c r="E120" s="421" t="s">
        <v>124</v>
      </c>
      <c r="F120" s="421"/>
      <c r="G120" s="530">
        <f>F115</f>
        <v>0.96489066259902945</v>
      </c>
      <c r="H120" s="421"/>
      <c r="I120" s="421"/>
    </row>
    <row r="121" spans="1:10" ht="19.5" customHeight="1" thickBot="1" x14ac:dyDescent="0.35">
      <c r="A121" s="580"/>
      <c r="B121" s="580"/>
      <c r="C121" s="581"/>
      <c r="D121" s="581"/>
      <c r="E121" s="581"/>
      <c r="F121" s="581"/>
      <c r="G121" s="581"/>
      <c r="H121" s="581"/>
    </row>
    <row r="122" spans="1:10" ht="18.75" x14ac:dyDescent="0.3">
      <c r="B122" s="643" t="s">
        <v>26</v>
      </c>
      <c r="C122" s="643"/>
      <c r="E122" s="533" t="s">
        <v>27</v>
      </c>
      <c r="F122" s="582"/>
      <c r="G122" s="643" t="s">
        <v>28</v>
      </c>
      <c r="H122" s="643"/>
    </row>
    <row r="123" spans="1:10" ht="69.95" customHeight="1" x14ac:dyDescent="0.3">
      <c r="A123" s="432" t="s">
        <v>29</v>
      </c>
      <c r="B123" s="583"/>
      <c r="C123" s="583"/>
      <c r="E123" s="583"/>
      <c r="F123" s="421"/>
      <c r="G123" s="583"/>
      <c r="H123" s="583"/>
    </row>
    <row r="124" spans="1:10" ht="69.95" customHeight="1" x14ac:dyDescent="0.3">
      <c r="A124" s="432" t="s">
        <v>30</v>
      </c>
      <c r="B124" s="584"/>
      <c r="C124" s="584"/>
      <c r="E124" s="584"/>
      <c r="F124" s="421"/>
      <c r="G124" s="585"/>
      <c r="H124" s="585"/>
    </row>
    <row r="125" spans="1:10" ht="18.75" x14ac:dyDescent="0.3">
      <c r="A125" s="479"/>
      <c r="B125" s="479"/>
      <c r="C125" s="479"/>
      <c r="D125" s="479"/>
      <c r="E125" s="479"/>
      <c r="F125" s="481"/>
      <c r="G125" s="479"/>
      <c r="H125" s="479"/>
      <c r="I125" s="421"/>
    </row>
    <row r="126" spans="1:10" ht="18.75" x14ac:dyDescent="0.3">
      <c r="A126" s="479"/>
      <c r="B126" s="479"/>
      <c r="C126" s="479"/>
      <c r="D126" s="479"/>
      <c r="E126" s="479"/>
      <c r="F126" s="481"/>
      <c r="G126" s="479"/>
      <c r="H126" s="479"/>
      <c r="I126" s="421"/>
    </row>
    <row r="127" spans="1:10" ht="18.75" x14ac:dyDescent="0.3">
      <c r="A127" s="479"/>
      <c r="B127" s="479"/>
      <c r="C127" s="479"/>
      <c r="D127" s="479"/>
      <c r="E127" s="479"/>
      <c r="F127" s="481"/>
      <c r="G127" s="479"/>
      <c r="H127" s="479"/>
      <c r="I127" s="421"/>
    </row>
    <row r="128" spans="1:10" ht="18.75" x14ac:dyDescent="0.3">
      <c r="A128" s="479"/>
      <c r="B128" s="479"/>
      <c r="C128" s="479"/>
      <c r="D128" s="479"/>
      <c r="E128" s="479"/>
      <c r="F128" s="481"/>
      <c r="G128" s="479"/>
      <c r="H128" s="479"/>
      <c r="I128" s="421"/>
    </row>
    <row r="129" spans="1:9" ht="18.75" x14ac:dyDescent="0.3">
      <c r="A129" s="479"/>
      <c r="B129" s="479"/>
      <c r="C129" s="479"/>
      <c r="D129" s="479"/>
      <c r="E129" s="479"/>
      <c r="F129" s="481"/>
      <c r="G129" s="479"/>
      <c r="H129" s="479"/>
      <c r="I129" s="421"/>
    </row>
    <row r="130" spans="1:9" ht="18.75" x14ac:dyDescent="0.3">
      <c r="A130" s="479"/>
      <c r="B130" s="479"/>
      <c r="C130" s="479"/>
      <c r="D130" s="479"/>
      <c r="E130" s="479"/>
      <c r="F130" s="481"/>
      <c r="G130" s="479"/>
      <c r="H130" s="479"/>
      <c r="I130" s="421"/>
    </row>
    <row r="131" spans="1:9" ht="18.75" x14ac:dyDescent="0.3">
      <c r="A131" s="479"/>
      <c r="B131" s="479"/>
      <c r="C131" s="479"/>
      <c r="D131" s="479"/>
      <c r="E131" s="479"/>
      <c r="F131" s="481"/>
      <c r="G131" s="479"/>
      <c r="H131" s="479"/>
      <c r="I131" s="421"/>
    </row>
    <row r="132" spans="1:9" ht="18.75" x14ac:dyDescent="0.3">
      <c r="A132" s="479"/>
      <c r="B132" s="479"/>
      <c r="C132" s="479"/>
      <c r="D132" s="479"/>
      <c r="E132" s="479"/>
      <c r="F132" s="481"/>
      <c r="G132" s="479"/>
      <c r="H132" s="479"/>
      <c r="I132" s="421"/>
    </row>
    <row r="133" spans="1:9" ht="18.75" x14ac:dyDescent="0.3">
      <c r="A133" s="479"/>
      <c r="B133" s="479"/>
      <c r="C133" s="479"/>
      <c r="D133" s="479"/>
      <c r="E133" s="479"/>
      <c r="F133" s="481"/>
      <c r="G133" s="479"/>
      <c r="H133" s="479"/>
      <c r="I133" s="421"/>
    </row>
    <row r="250" spans="1:1" x14ac:dyDescent="0.25">
      <c r="A250" s="420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40" zoomScalePageLayoutView="55" workbookViewId="0">
      <selection activeCell="F69" sqref="F69"/>
    </sheetView>
  </sheetViews>
  <sheetFormatPr defaultColWidth="9.140625" defaultRowHeight="13.5" x14ac:dyDescent="0.25"/>
  <cols>
    <col min="1" max="1" width="55.42578125" style="254" customWidth="1"/>
    <col min="2" max="2" width="33.7109375" style="254" customWidth="1"/>
    <col min="3" max="3" width="42.28515625" style="254" customWidth="1"/>
    <col min="4" max="4" width="30.5703125" style="254" customWidth="1"/>
    <col min="5" max="5" width="39.85546875" style="254" customWidth="1"/>
    <col min="6" max="6" width="30.7109375" style="254" customWidth="1"/>
    <col min="7" max="7" width="39.85546875" style="254" customWidth="1"/>
    <col min="8" max="8" width="30" style="254" customWidth="1"/>
    <col min="9" max="9" width="30.28515625" style="254" hidden="1" customWidth="1"/>
    <col min="10" max="10" width="30.42578125" style="254" customWidth="1"/>
    <col min="11" max="11" width="21.28515625" style="254" customWidth="1"/>
    <col min="12" max="12" width="9.140625" style="254"/>
    <col min="13" max="16384" width="9.140625" style="256"/>
  </cols>
  <sheetData>
    <row r="1" spans="1:9" ht="18.75" customHeight="1" x14ac:dyDescent="0.25">
      <c r="A1" s="704" t="s">
        <v>45</v>
      </c>
      <c r="B1" s="704"/>
      <c r="C1" s="704"/>
      <c r="D1" s="704"/>
      <c r="E1" s="704"/>
      <c r="F1" s="704"/>
      <c r="G1" s="704"/>
      <c r="H1" s="704"/>
      <c r="I1" s="704"/>
    </row>
    <row r="2" spans="1:9" ht="18.75" customHeight="1" x14ac:dyDescent="0.25">
      <c r="A2" s="704"/>
      <c r="B2" s="704"/>
      <c r="C2" s="704"/>
      <c r="D2" s="704"/>
      <c r="E2" s="704"/>
      <c r="F2" s="704"/>
      <c r="G2" s="704"/>
      <c r="H2" s="704"/>
      <c r="I2" s="704"/>
    </row>
    <row r="3" spans="1:9" ht="18.75" customHeight="1" x14ac:dyDescent="0.25">
      <c r="A3" s="704"/>
      <c r="B3" s="704"/>
      <c r="C3" s="704"/>
      <c r="D3" s="704"/>
      <c r="E3" s="704"/>
      <c r="F3" s="704"/>
      <c r="G3" s="704"/>
      <c r="H3" s="704"/>
      <c r="I3" s="704"/>
    </row>
    <row r="4" spans="1:9" ht="18.75" customHeight="1" x14ac:dyDescent="0.25">
      <c r="A4" s="704"/>
      <c r="B4" s="704"/>
      <c r="C4" s="704"/>
      <c r="D4" s="704"/>
      <c r="E4" s="704"/>
      <c r="F4" s="704"/>
      <c r="G4" s="704"/>
      <c r="H4" s="704"/>
      <c r="I4" s="704"/>
    </row>
    <row r="5" spans="1:9" ht="18.75" customHeight="1" x14ac:dyDescent="0.25">
      <c r="A5" s="704"/>
      <c r="B5" s="704"/>
      <c r="C5" s="704"/>
      <c r="D5" s="704"/>
      <c r="E5" s="704"/>
      <c r="F5" s="704"/>
      <c r="G5" s="704"/>
      <c r="H5" s="704"/>
      <c r="I5" s="704"/>
    </row>
    <row r="6" spans="1:9" ht="18.75" customHeight="1" x14ac:dyDescent="0.25">
      <c r="A6" s="704"/>
      <c r="B6" s="704"/>
      <c r="C6" s="704"/>
      <c r="D6" s="704"/>
      <c r="E6" s="704"/>
      <c r="F6" s="704"/>
      <c r="G6" s="704"/>
      <c r="H6" s="704"/>
      <c r="I6" s="704"/>
    </row>
    <row r="7" spans="1:9" ht="18.75" customHeight="1" x14ac:dyDescent="0.25">
      <c r="A7" s="704"/>
      <c r="B7" s="704"/>
      <c r="C7" s="704"/>
      <c r="D7" s="704"/>
      <c r="E7" s="704"/>
      <c r="F7" s="704"/>
      <c r="G7" s="704"/>
      <c r="H7" s="704"/>
      <c r="I7" s="704"/>
    </row>
    <row r="8" spans="1:9" x14ac:dyDescent="0.25">
      <c r="A8" s="705" t="s">
        <v>46</v>
      </c>
      <c r="B8" s="705"/>
      <c r="C8" s="705"/>
      <c r="D8" s="705"/>
      <c r="E8" s="705"/>
      <c r="F8" s="705"/>
      <c r="G8" s="705"/>
      <c r="H8" s="705"/>
      <c r="I8" s="705"/>
    </row>
    <row r="9" spans="1:9" x14ac:dyDescent="0.25">
      <c r="A9" s="705"/>
      <c r="B9" s="705"/>
      <c r="C9" s="705"/>
      <c r="D9" s="705"/>
      <c r="E9" s="705"/>
      <c r="F9" s="705"/>
      <c r="G9" s="705"/>
      <c r="H9" s="705"/>
      <c r="I9" s="705"/>
    </row>
    <row r="10" spans="1:9" x14ac:dyDescent="0.25">
      <c r="A10" s="705"/>
      <c r="B10" s="705"/>
      <c r="C10" s="705"/>
      <c r="D10" s="705"/>
      <c r="E10" s="705"/>
      <c r="F10" s="705"/>
      <c r="G10" s="705"/>
      <c r="H10" s="705"/>
      <c r="I10" s="705"/>
    </row>
    <row r="11" spans="1:9" x14ac:dyDescent="0.25">
      <c r="A11" s="705"/>
      <c r="B11" s="705"/>
      <c r="C11" s="705"/>
      <c r="D11" s="705"/>
      <c r="E11" s="705"/>
      <c r="F11" s="705"/>
      <c r="G11" s="705"/>
      <c r="H11" s="705"/>
      <c r="I11" s="705"/>
    </row>
    <row r="12" spans="1:9" x14ac:dyDescent="0.25">
      <c r="A12" s="705"/>
      <c r="B12" s="705"/>
      <c r="C12" s="705"/>
      <c r="D12" s="705"/>
      <c r="E12" s="705"/>
      <c r="F12" s="705"/>
      <c r="G12" s="705"/>
      <c r="H12" s="705"/>
      <c r="I12" s="705"/>
    </row>
    <row r="13" spans="1:9" x14ac:dyDescent="0.25">
      <c r="A13" s="705"/>
      <c r="B13" s="705"/>
      <c r="C13" s="705"/>
      <c r="D13" s="705"/>
      <c r="E13" s="705"/>
      <c r="F13" s="705"/>
      <c r="G13" s="705"/>
      <c r="H13" s="705"/>
      <c r="I13" s="705"/>
    </row>
    <row r="14" spans="1:9" x14ac:dyDescent="0.25">
      <c r="A14" s="705"/>
      <c r="B14" s="705"/>
      <c r="C14" s="705"/>
      <c r="D14" s="705"/>
      <c r="E14" s="705"/>
      <c r="F14" s="705"/>
      <c r="G14" s="705"/>
      <c r="H14" s="705"/>
      <c r="I14" s="705"/>
    </row>
    <row r="15" spans="1:9" ht="19.5" customHeight="1" thickBot="1" x14ac:dyDescent="0.35">
      <c r="A15" s="255"/>
    </row>
    <row r="16" spans="1:9" ht="19.5" customHeight="1" thickBot="1" x14ac:dyDescent="0.35">
      <c r="A16" s="706" t="s">
        <v>31</v>
      </c>
      <c r="B16" s="707"/>
      <c r="C16" s="707"/>
      <c r="D16" s="707"/>
      <c r="E16" s="707"/>
      <c r="F16" s="707"/>
      <c r="G16" s="707"/>
      <c r="H16" s="708"/>
    </row>
    <row r="17" spans="1:14" ht="20.25" customHeight="1" x14ac:dyDescent="0.25">
      <c r="A17" s="709" t="s">
        <v>47</v>
      </c>
      <c r="B17" s="709"/>
      <c r="C17" s="709"/>
      <c r="D17" s="709"/>
      <c r="E17" s="709"/>
      <c r="F17" s="709"/>
      <c r="G17" s="709"/>
      <c r="H17" s="709"/>
    </row>
    <row r="18" spans="1:14" ht="26.25" customHeight="1" x14ac:dyDescent="0.4">
      <c r="A18" s="257" t="s">
        <v>33</v>
      </c>
      <c r="B18" s="710" t="s">
        <v>128</v>
      </c>
      <c r="C18" s="710"/>
      <c r="D18" s="258"/>
      <c r="E18" s="259"/>
      <c r="F18" s="260"/>
      <c r="G18" s="260"/>
      <c r="H18" s="260"/>
    </row>
    <row r="19" spans="1:14" ht="26.25" customHeight="1" x14ac:dyDescent="0.4">
      <c r="A19" s="257" t="s">
        <v>34</v>
      </c>
      <c r="B19" s="261" t="s">
        <v>7</v>
      </c>
      <c r="C19" s="260">
        <v>29</v>
      </c>
      <c r="D19" s="260"/>
      <c r="E19" s="260"/>
      <c r="F19" s="260"/>
      <c r="G19" s="260"/>
      <c r="H19" s="260"/>
    </row>
    <row r="20" spans="1:14" ht="26.25" customHeight="1" x14ac:dyDescent="0.4">
      <c r="A20" s="257" t="s">
        <v>35</v>
      </c>
      <c r="B20" s="711" t="s">
        <v>129</v>
      </c>
      <c r="C20" s="711"/>
      <c r="D20" s="260"/>
      <c r="E20" s="260"/>
      <c r="F20" s="260"/>
      <c r="G20" s="260"/>
      <c r="H20" s="260"/>
    </row>
    <row r="21" spans="1:14" ht="26.25" customHeight="1" x14ac:dyDescent="0.4">
      <c r="A21" s="257" t="s">
        <v>36</v>
      </c>
      <c r="B21" s="711" t="s">
        <v>130</v>
      </c>
      <c r="C21" s="711"/>
      <c r="D21" s="711"/>
      <c r="E21" s="711"/>
      <c r="F21" s="711"/>
      <c r="G21" s="711"/>
      <c r="H21" s="711"/>
      <c r="I21" s="262"/>
    </row>
    <row r="22" spans="1:14" ht="26.25" customHeight="1" x14ac:dyDescent="0.4">
      <c r="A22" s="257" t="s">
        <v>37</v>
      </c>
      <c r="B22" s="99">
        <v>42499.469143518516</v>
      </c>
      <c r="C22" s="260"/>
      <c r="D22" s="260"/>
      <c r="E22" s="260"/>
      <c r="F22" s="260"/>
      <c r="G22" s="260"/>
      <c r="H22" s="260"/>
    </row>
    <row r="23" spans="1:14" ht="26.25" customHeight="1" x14ac:dyDescent="0.4">
      <c r="A23" s="257" t="s">
        <v>38</v>
      </c>
      <c r="B23" s="263">
        <v>42510.469143518516</v>
      </c>
      <c r="C23" s="260"/>
      <c r="D23" s="260"/>
      <c r="E23" s="260"/>
      <c r="F23" s="260"/>
      <c r="G23" s="260"/>
      <c r="H23" s="260"/>
    </row>
    <row r="24" spans="1:14" ht="18.75" x14ac:dyDescent="0.3">
      <c r="A24" s="257"/>
      <c r="B24" s="264"/>
    </row>
    <row r="25" spans="1:14" ht="18.75" x14ac:dyDescent="0.3">
      <c r="A25" s="265" t="s">
        <v>1</v>
      </c>
      <c r="B25" s="264"/>
    </row>
    <row r="26" spans="1:14" ht="26.25" customHeight="1" x14ac:dyDescent="0.4">
      <c r="A26" s="266" t="s">
        <v>4</v>
      </c>
      <c r="B26" s="710" t="s">
        <v>134</v>
      </c>
      <c r="C26" s="710"/>
    </row>
    <row r="27" spans="1:14" ht="26.25" customHeight="1" x14ac:dyDescent="0.4">
      <c r="A27" s="267" t="s">
        <v>48</v>
      </c>
      <c r="B27" s="712" t="s">
        <v>135</v>
      </c>
      <c r="C27" s="712"/>
    </row>
    <row r="28" spans="1:14" ht="27" customHeight="1" thickBot="1" x14ac:dyDescent="0.45">
      <c r="A28" s="267" t="s">
        <v>6</v>
      </c>
      <c r="B28" s="268">
        <v>99.3</v>
      </c>
    </row>
    <row r="29" spans="1:14" s="270" customFormat="1" ht="27" customHeight="1" thickBot="1" x14ac:dyDescent="0.45">
      <c r="A29" s="267" t="s">
        <v>49</v>
      </c>
      <c r="B29" s="269">
        <v>0</v>
      </c>
      <c r="C29" s="693" t="s">
        <v>50</v>
      </c>
      <c r="D29" s="694"/>
      <c r="E29" s="694"/>
      <c r="F29" s="694"/>
      <c r="G29" s="695"/>
      <c r="I29" s="271"/>
      <c r="J29" s="271"/>
      <c r="K29" s="271"/>
      <c r="L29" s="271"/>
    </row>
    <row r="30" spans="1:14" s="270" customFormat="1" ht="19.5" customHeight="1" thickBot="1" x14ac:dyDescent="0.35">
      <c r="A30" s="267" t="s">
        <v>51</v>
      </c>
      <c r="B30" s="272">
        <f>B28-B29</f>
        <v>99.3</v>
      </c>
      <c r="C30" s="273"/>
      <c r="D30" s="273"/>
      <c r="E30" s="273"/>
      <c r="F30" s="273"/>
      <c r="G30" s="274"/>
      <c r="I30" s="271"/>
      <c r="J30" s="271"/>
      <c r="K30" s="271"/>
      <c r="L30" s="271"/>
    </row>
    <row r="31" spans="1:14" s="270" customFormat="1" ht="27" customHeight="1" thickBot="1" x14ac:dyDescent="0.45">
      <c r="A31" s="267" t="s">
        <v>52</v>
      </c>
      <c r="B31" s="275">
        <v>1</v>
      </c>
      <c r="C31" s="696" t="s">
        <v>53</v>
      </c>
      <c r="D31" s="697"/>
      <c r="E31" s="697"/>
      <c r="F31" s="697"/>
      <c r="G31" s="697"/>
      <c r="H31" s="698"/>
      <c r="I31" s="271"/>
      <c r="J31" s="271"/>
      <c r="K31" s="271"/>
      <c r="L31" s="271"/>
    </row>
    <row r="32" spans="1:14" s="270" customFormat="1" ht="27" customHeight="1" thickBot="1" x14ac:dyDescent="0.45">
      <c r="A32" s="267" t="s">
        <v>54</v>
      </c>
      <c r="B32" s="275">
        <v>1</v>
      </c>
      <c r="C32" s="696" t="s">
        <v>55</v>
      </c>
      <c r="D32" s="697"/>
      <c r="E32" s="697"/>
      <c r="F32" s="697"/>
      <c r="G32" s="697"/>
      <c r="H32" s="698"/>
      <c r="I32" s="271"/>
      <c r="J32" s="271"/>
      <c r="K32" s="271"/>
      <c r="L32" s="276"/>
      <c r="M32" s="276"/>
      <c r="N32" s="277"/>
    </row>
    <row r="33" spans="1:14" s="270" customFormat="1" ht="17.25" customHeight="1" x14ac:dyDescent="0.3">
      <c r="A33" s="267"/>
      <c r="B33" s="278"/>
      <c r="C33" s="279"/>
      <c r="D33" s="279"/>
      <c r="E33" s="279"/>
      <c r="F33" s="279"/>
      <c r="G33" s="279"/>
      <c r="H33" s="279"/>
      <c r="I33" s="271"/>
      <c r="J33" s="271"/>
      <c r="K33" s="271"/>
      <c r="L33" s="276"/>
      <c r="M33" s="276"/>
      <c r="N33" s="277"/>
    </row>
    <row r="34" spans="1:14" s="270" customFormat="1" ht="18.75" x14ac:dyDescent="0.3">
      <c r="A34" s="267" t="s">
        <v>56</v>
      </c>
      <c r="B34" s="280">
        <f>B31/B32</f>
        <v>1</v>
      </c>
      <c r="C34" s="255" t="s">
        <v>57</v>
      </c>
      <c r="D34" s="255"/>
      <c r="E34" s="255"/>
      <c r="F34" s="255"/>
      <c r="G34" s="255"/>
      <c r="I34" s="271"/>
      <c r="J34" s="271"/>
      <c r="K34" s="271"/>
      <c r="L34" s="276"/>
      <c r="M34" s="276"/>
      <c r="N34" s="277"/>
    </row>
    <row r="35" spans="1:14" s="270" customFormat="1" ht="19.5" customHeight="1" thickBot="1" x14ac:dyDescent="0.35">
      <c r="A35" s="267"/>
      <c r="B35" s="272"/>
      <c r="G35" s="255"/>
      <c r="I35" s="271"/>
      <c r="J35" s="271"/>
      <c r="K35" s="271"/>
      <c r="L35" s="276"/>
      <c r="M35" s="276"/>
      <c r="N35" s="277"/>
    </row>
    <row r="36" spans="1:14" s="270" customFormat="1" ht="27" customHeight="1" thickBot="1" x14ac:dyDescent="0.45">
      <c r="A36" s="281" t="s">
        <v>58</v>
      </c>
      <c r="B36" s="282">
        <v>25</v>
      </c>
      <c r="C36" s="255"/>
      <c r="D36" s="683" t="s">
        <v>59</v>
      </c>
      <c r="E36" s="703"/>
      <c r="F36" s="683" t="s">
        <v>60</v>
      </c>
      <c r="G36" s="684"/>
      <c r="J36" s="271"/>
      <c r="K36" s="271"/>
      <c r="L36" s="276"/>
      <c r="M36" s="276"/>
      <c r="N36" s="277"/>
    </row>
    <row r="37" spans="1:14" s="270" customFormat="1" ht="27" customHeight="1" thickBot="1" x14ac:dyDescent="0.45">
      <c r="A37" s="283" t="s">
        <v>61</v>
      </c>
      <c r="B37" s="284">
        <v>5</v>
      </c>
      <c r="C37" s="285" t="s">
        <v>62</v>
      </c>
      <c r="D37" s="286" t="s">
        <v>63</v>
      </c>
      <c r="E37" s="287" t="s">
        <v>64</v>
      </c>
      <c r="F37" s="286" t="s">
        <v>63</v>
      </c>
      <c r="G37" s="288" t="s">
        <v>64</v>
      </c>
      <c r="I37" s="289" t="s">
        <v>65</v>
      </c>
      <c r="J37" s="271"/>
      <c r="K37" s="271"/>
      <c r="L37" s="276"/>
      <c r="M37" s="276"/>
      <c r="N37" s="277"/>
    </row>
    <row r="38" spans="1:14" s="270" customFormat="1" ht="26.25" customHeight="1" x14ac:dyDescent="0.4">
      <c r="A38" s="283" t="s">
        <v>66</v>
      </c>
      <c r="B38" s="284">
        <v>50</v>
      </c>
      <c r="C38" s="290">
        <v>1</v>
      </c>
      <c r="D38" s="291">
        <v>45394758</v>
      </c>
      <c r="E38" s="292">
        <f>IF(ISBLANK(D38),"-",$D$48/$D$45*D38)</f>
        <v>46536913.467226133</v>
      </c>
      <c r="F38" s="291">
        <v>48368891</v>
      </c>
      <c r="G38" s="293">
        <f>IF(ISBLANK(F38),"-",$D$48/$F$45*F38)</f>
        <v>45981617.388427615</v>
      </c>
      <c r="I38" s="294"/>
      <c r="J38" s="271"/>
      <c r="K38" s="271"/>
      <c r="L38" s="276"/>
      <c r="M38" s="276"/>
      <c r="N38" s="277"/>
    </row>
    <row r="39" spans="1:14" s="270" customFormat="1" ht="26.25" customHeight="1" x14ac:dyDescent="0.4">
      <c r="A39" s="283" t="s">
        <v>67</v>
      </c>
      <c r="B39" s="284">
        <v>1</v>
      </c>
      <c r="C39" s="295">
        <v>2</v>
      </c>
      <c r="D39" s="296">
        <v>45353917</v>
      </c>
      <c r="E39" s="297">
        <f>IF(ISBLANK(D39),"-",$D$48/$D$45*D39)</f>
        <v>46495044.886653133</v>
      </c>
      <c r="F39" s="296">
        <v>48552798</v>
      </c>
      <c r="G39" s="298">
        <f>IF(ISBLANK(F39),"-",$D$48/$F$45*F39)</f>
        <v>46156447.555798076</v>
      </c>
      <c r="I39" s="674">
        <f>ABS((F43/D43*D42)-F42)/D42</f>
        <v>7.4575639209945033E-3</v>
      </c>
      <c r="J39" s="271"/>
      <c r="K39" s="271"/>
      <c r="L39" s="276"/>
      <c r="M39" s="276"/>
      <c r="N39" s="277"/>
    </row>
    <row r="40" spans="1:14" ht="26.25" customHeight="1" x14ac:dyDescent="0.4">
      <c r="A40" s="283" t="s">
        <v>68</v>
      </c>
      <c r="B40" s="284">
        <v>1</v>
      </c>
      <c r="C40" s="295">
        <v>3</v>
      </c>
      <c r="D40" s="296">
        <v>45191040</v>
      </c>
      <c r="E40" s="297">
        <f>IF(ISBLANK(D40),"-",$D$48/$D$45*D40)</f>
        <v>46328069.817531683</v>
      </c>
      <c r="F40" s="296">
        <v>48659854</v>
      </c>
      <c r="G40" s="298">
        <f>IF(ISBLANK(F40),"-",$D$48/$F$45*F40)</f>
        <v>46258219.747166604</v>
      </c>
      <c r="I40" s="674"/>
      <c r="L40" s="276"/>
      <c r="M40" s="276"/>
      <c r="N40" s="255"/>
    </row>
    <row r="41" spans="1:14" ht="27" customHeight="1" thickBot="1" x14ac:dyDescent="0.45">
      <c r="A41" s="283" t="s">
        <v>69</v>
      </c>
      <c r="B41" s="284">
        <v>1</v>
      </c>
      <c r="C41" s="299">
        <v>4</v>
      </c>
      <c r="D41" s="300"/>
      <c r="E41" s="301" t="str">
        <f>IF(ISBLANK(D41),"-",$D$48/$D$45*D41)</f>
        <v>-</v>
      </c>
      <c r="F41" s="300"/>
      <c r="G41" s="302" t="str">
        <f>IF(ISBLANK(F41),"-",$D$48/$F$45*F41)</f>
        <v>-</v>
      </c>
      <c r="I41" s="303"/>
      <c r="L41" s="276"/>
      <c r="M41" s="276"/>
      <c r="N41" s="255"/>
    </row>
    <row r="42" spans="1:14" ht="27" customHeight="1" thickBot="1" x14ac:dyDescent="0.45">
      <c r="A42" s="283" t="s">
        <v>70</v>
      </c>
      <c r="B42" s="284">
        <v>1</v>
      </c>
      <c r="C42" s="304" t="s">
        <v>71</v>
      </c>
      <c r="D42" s="305">
        <f>AVERAGE(D38:D41)</f>
        <v>45313238.333333336</v>
      </c>
      <c r="E42" s="306">
        <f>AVERAGE(E38:E41)</f>
        <v>46453342.723803647</v>
      </c>
      <c r="F42" s="305">
        <f>AVERAGE(F38:F41)</f>
        <v>48527181</v>
      </c>
      <c r="G42" s="307">
        <f>AVERAGE(G38:G41)</f>
        <v>46132094.897130765</v>
      </c>
      <c r="H42" s="308"/>
    </row>
    <row r="43" spans="1:14" ht="26.25" customHeight="1" x14ac:dyDescent="0.4">
      <c r="A43" s="283" t="s">
        <v>72</v>
      </c>
      <c r="B43" s="284">
        <v>1</v>
      </c>
      <c r="C43" s="309" t="s">
        <v>73</v>
      </c>
      <c r="D43" s="310">
        <v>29.47</v>
      </c>
      <c r="E43" s="255"/>
      <c r="F43" s="310">
        <v>31.78</v>
      </c>
      <c r="H43" s="308"/>
    </row>
    <row r="44" spans="1:14" ht="26.25" customHeight="1" x14ac:dyDescent="0.4">
      <c r="A44" s="283" t="s">
        <v>74</v>
      </c>
      <c r="B44" s="284">
        <v>1</v>
      </c>
      <c r="C44" s="311" t="s">
        <v>75</v>
      </c>
      <c r="D44" s="312">
        <f>D43*$B$34</f>
        <v>29.47</v>
      </c>
      <c r="E44" s="313"/>
      <c r="F44" s="312">
        <f>F43*$B$34</f>
        <v>31.78</v>
      </c>
      <c r="H44" s="308"/>
    </row>
    <row r="45" spans="1:14" ht="19.5" customHeight="1" thickBot="1" x14ac:dyDescent="0.35">
      <c r="A45" s="283" t="s">
        <v>76</v>
      </c>
      <c r="B45" s="295">
        <f>(B44/B43)*(B42/B41)*(B40/B39)*(B38/B37)*B36</f>
        <v>250</v>
      </c>
      <c r="C45" s="311" t="s">
        <v>77</v>
      </c>
      <c r="D45" s="314">
        <f>D44*$B$30/100</f>
        <v>29.263709999999996</v>
      </c>
      <c r="E45" s="315"/>
      <c r="F45" s="314">
        <f>F44*$B$30/100</f>
        <v>31.557539999999999</v>
      </c>
      <c r="H45" s="308"/>
    </row>
    <row r="46" spans="1:14" ht="19.5" customHeight="1" thickBot="1" x14ac:dyDescent="0.35">
      <c r="A46" s="675" t="s">
        <v>78</v>
      </c>
      <c r="B46" s="679"/>
      <c r="C46" s="311" t="s">
        <v>79</v>
      </c>
      <c r="D46" s="316">
        <f>D45/$B$45</f>
        <v>0.11705483999999998</v>
      </c>
      <c r="E46" s="317"/>
      <c r="F46" s="318">
        <f>F45/$B$45</f>
        <v>0.12623016000000001</v>
      </c>
      <c r="H46" s="308"/>
    </row>
    <row r="47" spans="1:14" ht="27" customHeight="1" thickBot="1" x14ac:dyDescent="0.45">
      <c r="A47" s="677"/>
      <c r="B47" s="680"/>
      <c r="C47" s="319" t="s">
        <v>80</v>
      </c>
      <c r="D47" s="320">
        <v>0.12</v>
      </c>
      <c r="E47" s="321"/>
      <c r="F47" s="317"/>
      <c r="H47" s="308"/>
    </row>
    <row r="48" spans="1:14" ht="18.75" x14ac:dyDescent="0.3">
      <c r="C48" s="322" t="s">
        <v>81</v>
      </c>
      <c r="D48" s="314">
        <f>D47*$B$45</f>
        <v>30</v>
      </c>
      <c r="F48" s="323"/>
      <c r="H48" s="308"/>
    </row>
    <row r="49" spans="1:12" ht="19.5" customHeight="1" thickBot="1" x14ac:dyDescent="0.35">
      <c r="C49" s="324" t="s">
        <v>82</v>
      </c>
      <c r="D49" s="325">
        <f>D48/B34</f>
        <v>30</v>
      </c>
      <c r="F49" s="323"/>
      <c r="H49" s="308"/>
    </row>
    <row r="50" spans="1:12" ht="18.75" x14ac:dyDescent="0.3">
      <c r="C50" s="281" t="s">
        <v>83</v>
      </c>
      <c r="D50" s="326">
        <f>AVERAGE(E38:E41,G38:G41)</f>
        <v>46292718.810467206</v>
      </c>
      <c r="F50" s="327"/>
      <c r="H50" s="308"/>
    </row>
    <row r="51" spans="1:12" ht="18.75" x14ac:dyDescent="0.3">
      <c r="C51" s="283" t="s">
        <v>84</v>
      </c>
      <c r="D51" s="328">
        <f>STDEV(E38:E41,G38:G41)/D50</f>
        <v>4.5142909775462798E-3</v>
      </c>
      <c r="F51" s="327"/>
      <c r="H51" s="308"/>
    </row>
    <row r="52" spans="1:12" ht="19.5" customHeight="1" thickBot="1" x14ac:dyDescent="0.35">
      <c r="C52" s="329" t="s">
        <v>20</v>
      </c>
      <c r="D52" s="330">
        <f>COUNT(E38:E41,G38:G41)</f>
        <v>6</v>
      </c>
      <c r="F52" s="327"/>
    </row>
    <row r="54" spans="1:12" ht="18.75" x14ac:dyDescent="0.3">
      <c r="A54" s="331" t="s">
        <v>1</v>
      </c>
      <c r="B54" s="332" t="s">
        <v>85</v>
      </c>
    </row>
    <row r="55" spans="1:12" ht="18.75" x14ac:dyDescent="0.3">
      <c r="A55" s="255" t="s">
        <v>86</v>
      </c>
      <c r="B55" s="333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33" t="s">
        <v>87</v>
      </c>
      <c r="B56" s="334">
        <v>600</v>
      </c>
      <c r="C56" s="255" t="str">
        <f>B20</f>
        <v>Efavirenz 600mg, Lamivudine 300mg and Tenofovir Disoproxil Fumarate 300mg Tablets</v>
      </c>
      <c r="H56" s="313"/>
    </row>
    <row r="57" spans="1:12" ht="18.75" x14ac:dyDescent="0.3">
      <c r="A57" s="333" t="s">
        <v>88</v>
      </c>
      <c r="B57" s="335">
        <f>Uniformity!C46</f>
        <v>1907.2440000000001</v>
      </c>
      <c r="H57" s="313"/>
    </row>
    <row r="58" spans="1:12" ht="19.5" customHeight="1" thickBot="1" x14ac:dyDescent="0.35">
      <c r="H58" s="313"/>
    </row>
    <row r="59" spans="1:12" s="270" customFormat="1" ht="27" customHeight="1" thickBot="1" x14ac:dyDescent="0.45">
      <c r="A59" s="281" t="s">
        <v>89</v>
      </c>
      <c r="B59" s="282">
        <v>200</v>
      </c>
      <c r="C59" s="255"/>
      <c r="D59" s="336" t="s">
        <v>90</v>
      </c>
      <c r="E59" s="337" t="s">
        <v>62</v>
      </c>
      <c r="F59" s="337" t="s">
        <v>63</v>
      </c>
      <c r="G59" s="337" t="s">
        <v>91</v>
      </c>
      <c r="H59" s="285" t="s">
        <v>92</v>
      </c>
      <c r="L59" s="271"/>
    </row>
    <row r="60" spans="1:12" s="270" customFormat="1" ht="26.25" customHeight="1" x14ac:dyDescent="0.4">
      <c r="A60" s="283" t="s">
        <v>93</v>
      </c>
      <c r="B60" s="284">
        <v>4</v>
      </c>
      <c r="C60" s="685" t="s">
        <v>94</v>
      </c>
      <c r="D60" s="688">
        <v>1905.07</v>
      </c>
      <c r="E60" s="338">
        <v>1</v>
      </c>
      <c r="F60" s="339">
        <v>44727638</v>
      </c>
      <c r="G60" s="340">
        <f>IF(ISBLANK(F60),"-",(F60/$D$50*$D$47*$B$68)*($B$57/$D$60))</f>
        <v>580.37653589085187</v>
      </c>
      <c r="H60" s="341">
        <f t="shared" ref="H60:H71" si="0">IF(ISBLANK(F60),"-",G60/$B$56)</f>
        <v>0.96729422648475316</v>
      </c>
      <c r="L60" s="271"/>
    </row>
    <row r="61" spans="1:12" s="270" customFormat="1" ht="26.25" customHeight="1" x14ac:dyDescent="0.4">
      <c r="A61" s="283" t="s">
        <v>95</v>
      </c>
      <c r="B61" s="284">
        <v>100</v>
      </c>
      <c r="C61" s="686"/>
      <c r="D61" s="689"/>
      <c r="E61" s="342">
        <v>2</v>
      </c>
      <c r="F61" s="296">
        <v>44780535</v>
      </c>
      <c r="G61" s="343">
        <f>IF(ISBLANK(F61),"-",(F61/$D$50*$D$47*$B$68)*($B$57/$D$60))</f>
        <v>581.0629163703893</v>
      </c>
      <c r="H61" s="344">
        <f t="shared" si="0"/>
        <v>0.96843819395064878</v>
      </c>
      <c r="L61" s="271"/>
    </row>
    <row r="62" spans="1:12" s="270" customFormat="1" ht="26.25" customHeight="1" x14ac:dyDescent="0.4">
      <c r="A62" s="283" t="s">
        <v>96</v>
      </c>
      <c r="B62" s="284">
        <v>1</v>
      </c>
      <c r="C62" s="686"/>
      <c r="D62" s="689"/>
      <c r="E62" s="342">
        <v>3</v>
      </c>
      <c r="F62" s="345">
        <v>45010691</v>
      </c>
      <c r="G62" s="343">
        <f>IF(ISBLANK(F62),"-",(F62/$D$50*$D$47*$B$68)*($B$57/$D$60))</f>
        <v>584.04937279794524</v>
      </c>
      <c r="H62" s="344">
        <f t="shared" si="0"/>
        <v>0.97341562132990878</v>
      </c>
      <c r="L62" s="271"/>
    </row>
    <row r="63" spans="1:12" ht="27" customHeight="1" thickBot="1" x14ac:dyDescent="0.45">
      <c r="A63" s="283" t="s">
        <v>97</v>
      </c>
      <c r="B63" s="284">
        <v>1</v>
      </c>
      <c r="C63" s="687"/>
      <c r="D63" s="690"/>
      <c r="E63" s="346">
        <v>4</v>
      </c>
      <c r="F63" s="347"/>
      <c r="G63" s="343" t="str">
        <f>IF(ISBLANK(F63),"-",(F63/$D$50*$D$47*$B$68)*($B$57/$D$60))</f>
        <v>-</v>
      </c>
      <c r="H63" s="344" t="str">
        <f t="shared" si="0"/>
        <v>-</v>
      </c>
    </row>
    <row r="64" spans="1:12" ht="26.25" customHeight="1" x14ac:dyDescent="0.4">
      <c r="A64" s="283" t="s">
        <v>98</v>
      </c>
      <c r="B64" s="284">
        <v>1</v>
      </c>
      <c r="C64" s="685" t="s">
        <v>99</v>
      </c>
      <c r="D64" s="688">
        <v>1910.77</v>
      </c>
      <c r="E64" s="338">
        <v>1</v>
      </c>
      <c r="F64" s="339">
        <v>45290104</v>
      </c>
      <c r="G64" s="348">
        <f>IF(ISBLANK(F64),"-",(F64/$D$50*$D$47*$B$68)*($B$57/$D$64))</f>
        <v>585.92189012719177</v>
      </c>
      <c r="H64" s="349">
        <f t="shared" si="0"/>
        <v>0.97653648354531963</v>
      </c>
    </row>
    <row r="65" spans="1:8" ht="26.25" customHeight="1" x14ac:dyDescent="0.4">
      <c r="A65" s="283" t="s">
        <v>100</v>
      </c>
      <c r="B65" s="284">
        <v>1</v>
      </c>
      <c r="C65" s="686"/>
      <c r="D65" s="689"/>
      <c r="E65" s="342">
        <v>2</v>
      </c>
      <c r="F65" s="296">
        <v>45352186</v>
      </c>
      <c r="G65" s="350">
        <f>IF(ISBLANK(F65),"-",(F65/$D$50*$D$47*$B$68)*($B$57/$D$64))</f>
        <v>586.72505019021287</v>
      </c>
      <c r="H65" s="351">
        <f t="shared" si="0"/>
        <v>0.9778750836503548</v>
      </c>
    </row>
    <row r="66" spans="1:8" ht="26.25" customHeight="1" x14ac:dyDescent="0.4">
      <c r="A66" s="283" t="s">
        <v>101</v>
      </c>
      <c r="B66" s="284">
        <v>1</v>
      </c>
      <c r="C66" s="686"/>
      <c r="D66" s="689"/>
      <c r="E66" s="342">
        <v>3</v>
      </c>
      <c r="F66" s="296">
        <v>45337783</v>
      </c>
      <c r="G66" s="350">
        <f>IF(ISBLANK(F66),"-",(F66/$D$50*$D$47*$B$68)*($B$57/$D$64))</f>
        <v>586.5387173660821</v>
      </c>
      <c r="H66" s="351">
        <f t="shared" si="0"/>
        <v>0.97756452894347012</v>
      </c>
    </row>
    <row r="67" spans="1:8" ht="27" customHeight="1" thickBot="1" x14ac:dyDescent="0.45">
      <c r="A67" s="283" t="s">
        <v>102</v>
      </c>
      <c r="B67" s="284">
        <v>1</v>
      </c>
      <c r="C67" s="687"/>
      <c r="D67" s="690"/>
      <c r="E67" s="346">
        <v>4</v>
      </c>
      <c r="F67" s="347"/>
      <c r="G67" s="352" t="str">
        <f>IF(ISBLANK(F67),"-",(F67/$D$50*$D$47*$B$68)*($B$57/$D$64))</f>
        <v>-</v>
      </c>
      <c r="H67" s="353" t="str">
        <f>IF(ISBLANK(F67),"-",G67/$B$56)</f>
        <v>-</v>
      </c>
    </row>
    <row r="68" spans="1:8" ht="26.25" customHeight="1" x14ac:dyDescent="0.4">
      <c r="A68" s="283" t="s">
        <v>103</v>
      </c>
      <c r="B68" s="354">
        <f>(B67/B66)*(B65/B64)*(B63/B62)*(B61/B60)*B59</f>
        <v>5000</v>
      </c>
      <c r="C68" s="685" t="s">
        <v>104</v>
      </c>
      <c r="D68" s="688">
        <v>1910.16</v>
      </c>
      <c r="E68" s="338">
        <v>1</v>
      </c>
      <c r="F68" s="339">
        <v>46488965</v>
      </c>
      <c r="G68" s="348">
        <f>IF(ISBLANK(F68),"-",(F68/$D$50*$D$47*$B$68)*($B$57/$D$68))</f>
        <v>601.62372003935013</v>
      </c>
      <c r="H68" s="344">
        <f>IF(ISBLANK(F68),"-",G68/$B$56)</f>
        <v>1.0027062000655835</v>
      </c>
    </row>
    <row r="69" spans="1:8" ht="27" customHeight="1" thickBot="1" x14ac:dyDescent="0.45">
      <c r="A69" s="329" t="s">
        <v>105</v>
      </c>
      <c r="B69" s="355">
        <f>(D47*B68)/B56*B57</f>
        <v>1907.2440000000001</v>
      </c>
      <c r="C69" s="686"/>
      <c r="D69" s="689"/>
      <c r="E69" s="342">
        <v>2</v>
      </c>
      <c r="F69" s="296"/>
      <c r="G69" s="350" t="str">
        <f>IF(ISBLANK(F69),"-",(F69/$D$50*$D$47*$B$68)*($B$57/$D$68))</f>
        <v>-</v>
      </c>
      <c r="H69" s="344" t="str">
        <f t="shared" si="0"/>
        <v>-</v>
      </c>
    </row>
    <row r="70" spans="1:8" ht="26.25" customHeight="1" x14ac:dyDescent="0.4">
      <c r="A70" s="699" t="s">
        <v>78</v>
      </c>
      <c r="B70" s="700"/>
      <c r="C70" s="686"/>
      <c r="D70" s="689"/>
      <c r="E70" s="342">
        <v>3</v>
      </c>
      <c r="F70" s="296">
        <v>46697151</v>
      </c>
      <c r="G70" s="350">
        <f>IF(ISBLANK(F70),"-",(F70/$D$50*$D$47*$B$68)*($B$57/$D$68))</f>
        <v>604.31789995452164</v>
      </c>
      <c r="H70" s="344">
        <f t="shared" si="0"/>
        <v>1.0071964999242027</v>
      </c>
    </row>
    <row r="71" spans="1:8" ht="27" customHeight="1" thickBot="1" x14ac:dyDescent="0.45">
      <c r="A71" s="701"/>
      <c r="B71" s="702"/>
      <c r="C71" s="691"/>
      <c r="D71" s="690"/>
      <c r="E71" s="346">
        <v>4</v>
      </c>
      <c r="F71" s="347"/>
      <c r="G71" s="352" t="str">
        <f>IF(ISBLANK(F71),"-",(F71/$D$50*$D$47*$B$68)*($B$57/$D$68))</f>
        <v>-</v>
      </c>
      <c r="H71" s="356" t="str">
        <f t="shared" si="0"/>
        <v>-</v>
      </c>
    </row>
    <row r="72" spans="1:8" ht="26.25" customHeight="1" x14ac:dyDescent="0.4">
      <c r="A72" s="313"/>
      <c r="B72" s="313"/>
      <c r="C72" s="313"/>
      <c r="D72" s="313"/>
      <c r="E72" s="313"/>
      <c r="F72" s="357" t="s">
        <v>71</v>
      </c>
      <c r="G72" s="358">
        <f>AVERAGE(G60:G71)</f>
        <v>588.82701284206803</v>
      </c>
      <c r="H72" s="359">
        <f>AVERAGE(H60:H71)</f>
        <v>0.98137835473678026</v>
      </c>
    </row>
    <row r="73" spans="1:8" ht="26.25" customHeight="1" x14ac:dyDescent="0.4">
      <c r="C73" s="313"/>
      <c r="D73" s="313"/>
      <c r="E73" s="313"/>
      <c r="F73" s="360" t="s">
        <v>84</v>
      </c>
      <c r="G73" s="361">
        <f>STDEV(G60:G71)/G72</f>
        <v>1.5409935441588377E-2</v>
      </c>
      <c r="H73" s="361">
        <f>STDEV(H60:H71)/H72</f>
        <v>1.5409935441588354E-2</v>
      </c>
    </row>
    <row r="74" spans="1:8" ht="27" customHeight="1" thickBot="1" x14ac:dyDescent="0.45">
      <c r="A74" s="313"/>
      <c r="B74" s="313"/>
      <c r="C74" s="313"/>
      <c r="D74" s="313"/>
      <c r="E74" s="315"/>
      <c r="F74" s="362" t="s">
        <v>20</v>
      </c>
      <c r="G74" s="363">
        <f>COUNT(G60:G71)</f>
        <v>8</v>
      </c>
      <c r="H74" s="363">
        <f>COUNT(H60:H71)</f>
        <v>8</v>
      </c>
    </row>
    <row r="76" spans="1:8" ht="26.25" customHeight="1" x14ac:dyDescent="0.4">
      <c r="A76" s="266" t="s">
        <v>106</v>
      </c>
      <c r="B76" s="267" t="s">
        <v>107</v>
      </c>
      <c r="C76" s="681" t="str">
        <f>B20</f>
        <v>Efavirenz 600mg, Lamivudine 300mg and Tenofovir Disoproxil Fumarate 300mg Tablets</v>
      </c>
      <c r="D76" s="681"/>
      <c r="E76" s="255" t="s">
        <v>108</v>
      </c>
      <c r="F76" s="255"/>
      <c r="G76" s="364">
        <f>H72</f>
        <v>0.98137835473678026</v>
      </c>
      <c r="H76" s="272"/>
    </row>
    <row r="77" spans="1:8" ht="18.75" x14ac:dyDescent="0.3">
      <c r="A77" s="265" t="s">
        <v>109</v>
      </c>
      <c r="B77" s="265" t="s">
        <v>110</v>
      </c>
    </row>
    <row r="78" spans="1:8" ht="18.75" x14ac:dyDescent="0.3">
      <c r="A78" s="265"/>
      <c r="B78" s="265"/>
    </row>
    <row r="79" spans="1:8" ht="26.25" customHeight="1" x14ac:dyDescent="0.4">
      <c r="A79" s="266" t="s">
        <v>4</v>
      </c>
      <c r="B79" s="692" t="str">
        <f>B26</f>
        <v>Efavirenz</v>
      </c>
      <c r="C79" s="692"/>
    </row>
    <row r="80" spans="1:8" ht="26.25" customHeight="1" x14ac:dyDescent="0.4">
      <c r="A80" s="267" t="s">
        <v>48</v>
      </c>
      <c r="B80" s="692" t="str">
        <f>B27</f>
        <v>E15-3</v>
      </c>
      <c r="C80" s="692"/>
    </row>
    <row r="81" spans="1:12" ht="27" customHeight="1" thickBot="1" x14ac:dyDescent="0.45">
      <c r="A81" s="267" t="s">
        <v>6</v>
      </c>
      <c r="B81" s="268">
        <f>B28</f>
        <v>99.3</v>
      </c>
    </row>
    <row r="82" spans="1:12" s="270" customFormat="1" ht="27" customHeight="1" thickBot="1" x14ac:dyDescent="0.45">
      <c r="A82" s="267" t="s">
        <v>49</v>
      </c>
      <c r="B82" s="269">
        <v>0</v>
      </c>
      <c r="C82" s="693" t="s">
        <v>50</v>
      </c>
      <c r="D82" s="694"/>
      <c r="E82" s="694"/>
      <c r="F82" s="694"/>
      <c r="G82" s="695"/>
      <c r="I82" s="271"/>
      <c r="J82" s="271"/>
      <c r="K82" s="271"/>
      <c r="L82" s="271"/>
    </row>
    <row r="83" spans="1:12" s="270" customFormat="1" ht="19.5" customHeight="1" thickBot="1" x14ac:dyDescent="0.35">
      <c r="A83" s="267" t="s">
        <v>51</v>
      </c>
      <c r="B83" s="272">
        <f>B81-B82</f>
        <v>99.3</v>
      </c>
      <c r="C83" s="273"/>
      <c r="D83" s="273"/>
      <c r="E83" s="273"/>
      <c r="F83" s="273"/>
      <c r="G83" s="274"/>
      <c r="I83" s="271"/>
      <c r="J83" s="271"/>
      <c r="K83" s="271"/>
      <c r="L83" s="271"/>
    </row>
    <row r="84" spans="1:12" s="270" customFormat="1" ht="27" customHeight="1" thickBot="1" x14ac:dyDescent="0.45">
      <c r="A84" s="267" t="s">
        <v>52</v>
      </c>
      <c r="B84" s="275">
        <v>1</v>
      </c>
      <c r="C84" s="696" t="s">
        <v>111</v>
      </c>
      <c r="D84" s="697"/>
      <c r="E84" s="697"/>
      <c r="F84" s="697"/>
      <c r="G84" s="697"/>
      <c r="H84" s="698"/>
      <c r="I84" s="271"/>
      <c r="J84" s="271"/>
      <c r="K84" s="271"/>
      <c r="L84" s="271"/>
    </row>
    <row r="85" spans="1:12" s="270" customFormat="1" ht="27" customHeight="1" thickBot="1" x14ac:dyDescent="0.45">
      <c r="A85" s="267" t="s">
        <v>54</v>
      </c>
      <c r="B85" s="275">
        <v>1</v>
      </c>
      <c r="C85" s="696" t="s">
        <v>112</v>
      </c>
      <c r="D85" s="697"/>
      <c r="E85" s="697"/>
      <c r="F85" s="697"/>
      <c r="G85" s="697"/>
      <c r="H85" s="698"/>
      <c r="I85" s="271"/>
      <c r="J85" s="271"/>
      <c r="K85" s="271"/>
      <c r="L85" s="271"/>
    </row>
    <row r="86" spans="1:12" s="270" customFormat="1" ht="18.75" x14ac:dyDescent="0.3">
      <c r="A86" s="267"/>
      <c r="B86" s="278"/>
      <c r="C86" s="279"/>
      <c r="D86" s="279"/>
      <c r="E86" s="279"/>
      <c r="F86" s="279"/>
      <c r="G86" s="279"/>
      <c r="H86" s="279"/>
      <c r="I86" s="271"/>
      <c r="J86" s="271"/>
      <c r="K86" s="271"/>
      <c r="L86" s="271"/>
    </row>
    <row r="87" spans="1:12" s="270" customFormat="1" ht="18.75" x14ac:dyDescent="0.3">
      <c r="A87" s="267" t="s">
        <v>56</v>
      </c>
      <c r="B87" s="280">
        <f>B84/B85</f>
        <v>1</v>
      </c>
      <c r="C87" s="255" t="s">
        <v>57</v>
      </c>
      <c r="D87" s="255"/>
      <c r="E87" s="255"/>
      <c r="F87" s="255"/>
      <c r="G87" s="255"/>
      <c r="I87" s="271"/>
      <c r="J87" s="271"/>
      <c r="K87" s="271"/>
      <c r="L87" s="271"/>
    </row>
    <row r="88" spans="1:12" ht="19.5" customHeight="1" thickBot="1" x14ac:dyDescent="0.35">
      <c r="A88" s="265"/>
      <c r="B88" s="265"/>
    </row>
    <row r="89" spans="1:12" ht="27" customHeight="1" thickBot="1" x14ac:dyDescent="0.45">
      <c r="A89" s="281" t="s">
        <v>58</v>
      </c>
      <c r="B89" s="282">
        <v>25</v>
      </c>
      <c r="D89" s="365" t="s">
        <v>59</v>
      </c>
      <c r="E89" s="366"/>
      <c r="F89" s="683" t="s">
        <v>60</v>
      </c>
      <c r="G89" s="684"/>
    </row>
    <row r="90" spans="1:12" ht="27" customHeight="1" thickBot="1" x14ac:dyDescent="0.45">
      <c r="A90" s="283" t="s">
        <v>61</v>
      </c>
      <c r="B90" s="284">
        <v>10</v>
      </c>
      <c r="C90" s="367" t="s">
        <v>62</v>
      </c>
      <c r="D90" s="286" t="s">
        <v>63</v>
      </c>
      <c r="E90" s="287" t="s">
        <v>64</v>
      </c>
      <c r="F90" s="286" t="s">
        <v>63</v>
      </c>
      <c r="G90" s="368" t="s">
        <v>64</v>
      </c>
      <c r="I90" s="289" t="s">
        <v>65</v>
      </c>
    </row>
    <row r="91" spans="1:12" ht="26.25" customHeight="1" x14ac:dyDescent="0.4">
      <c r="A91" s="283" t="s">
        <v>66</v>
      </c>
      <c r="B91" s="284">
        <v>20</v>
      </c>
      <c r="C91" s="369">
        <v>1</v>
      </c>
      <c r="D91" s="291">
        <v>193202554</v>
      </c>
      <c r="E91" s="292">
        <f>IF(ISBLANK(D91),"-",$D$101/$D$98*D91)</f>
        <v>198063629.66281447</v>
      </c>
      <c r="F91" s="291">
        <v>208770324</v>
      </c>
      <c r="G91" s="293">
        <f>IF(ISBLANK(F91),"-",$D$101/$F$98*F91)</f>
        <v>198466348.13740233</v>
      </c>
      <c r="I91" s="294"/>
    </row>
    <row r="92" spans="1:12" ht="26.25" customHeight="1" x14ac:dyDescent="0.4">
      <c r="A92" s="283" t="s">
        <v>67</v>
      </c>
      <c r="B92" s="284">
        <v>1</v>
      </c>
      <c r="C92" s="313">
        <v>2</v>
      </c>
      <c r="D92" s="296">
        <v>193110577</v>
      </c>
      <c r="E92" s="297">
        <f>IF(ISBLANK(D92),"-",$D$101/$D$98*D92)</f>
        <v>197969338.47417161</v>
      </c>
      <c r="F92" s="296">
        <v>206887666</v>
      </c>
      <c r="G92" s="298">
        <f>IF(ISBLANK(F92),"-",$D$101/$F$98*F92)</f>
        <v>196676609.77376562</v>
      </c>
      <c r="I92" s="674">
        <f>ABS((F96/D96*D95)-F95)/D95</f>
        <v>5.1419576124139242E-3</v>
      </c>
    </row>
    <row r="93" spans="1:12" ht="26.25" customHeight="1" x14ac:dyDescent="0.4">
      <c r="A93" s="283" t="s">
        <v>68</v>
      </c>
      <c r="B93" s="284">
        <v>1</v>
      </c>
      <c r="C93" s="313">
        <v>3</v>
      </c>
      <c r="D93" s="296">
        <v>195671070</v>
      </c>
      <c r="E93" s="297">
        <f>IF(ISBLANK(D93),"-",$D$101/$D$98*D93)</f>
        <v>200594254.79544461</v>
      </c>
      <c r="F93" s="296">
        <v>208952387</v>
      </c>
      <c r="G93" s="298">
        <f>IF(ISBLANK(F93),"-",$D$101/$F$98*F93)</f>
        <v>198639425.31642199</v>
      </c>
      <c r="I93" s="674"/>
    </row>
    <row r="94" spans="1:12" ht="27" customHeight="1" thickBot="1" x14ac:dyDescent="0.45">
      <c r="A94" s="283" t="s">
        <v>69</v>
      </c>
      <c r="B94" s="284">
        <v>1</v>
      </c>
      <c r="C94" s="370">
        <v>4</v>
      </c>
      <c r="D94" s="300"/>
      <c r="E94" s="301" t="str">
        <f>IF(ISBLANK(D94),"-",$D$101/$D$98*D94)</f>
        <v>-</v>
      </c>
      <c r="F94" s="371"/>
      <c r="G94" s="302" t="str">
        <f>IF(ISBLANK(F94),"-",$D$101/$F$98*F94)</f>
        <v>-</v>
      </c>
      <c r="I94" s="303"/>
    </row>
    <row r="95" spans="1:12" ht="27" customHeight="1" thickBot="1" x14ac:dyDescent="0.45">
      <c r="A95" s="283" t="s">
        <v>70</v>
      </c>
      <c r="B95" s="284">
        <v>1</v>
      </c>
      <c r="C95" s="267" t="s">
        <v>71</v>
      </c>
      <c r="D95" s="372">
        <f>AVERAGE(D91:D94)</f>
        <v>193994733.66666666</v>
      </c>
      <c r="E95" s="306">
        <f>AVERAGE(E91:E94)</f>
        <v>198875740.97747692</v>
      </c>
      <c r="F95" s="373">
        <f>AVERAGE(F91:F94)</f>
        <v>208203459</v>
      </c>
      <c r="G95" s="374">
        <f>AVERAGE(G91:G94)</f>
        <v>197927461.07586333</v>
      </c>
    </row>
    <row r="96" spans="1:12" ht="26.25" customHeight="1" x14ac:dyDescent="0.4">
      <c r="A96" s="283" t="s">
        <v>72</v>
      </c>
      <c r="B96" s="268">
        <v>1</v>
      </c>
      <c r="C96" s="375" t="s">
        <v>113</v>
      </c>
      <c r="D96" s="376">
        <v>29.47</v>
      </c>
      <c r="E96" s="255"/>
      <c r="F96" s="310">
        <v>31.78</v>
      </c>
    </row>
    <row r="97" spans="1:10" ht="26.25" customHeight="1" x14ac:dyDescent="0.4">
      <c r="A97" s="283" t="s">
        <v>74</v>
      </c>
      <c r="B97" s="268">
        <v>1</v>
      </c>
      <c r="C97" s="377" t="s">
        <v>114</v>
      </c>
      <c r="D97" s="378">
        <f>D96*$B$87</f>
        <v>29.47</v>
      </c>
      <c r="E97" s="313"/>
      <c r="F97" s="312">
        <f>F96*$B$87</f>
        <v>31.78</v>
      </c>
    </row>
    <row r="98" spans="1:10" ht="19.5" customHeight="1" thickBot="1" x14ac:dyDescent="0.35">
      <c r="A98" s="283" t="s">
        <v>76</v>
      </c>
      <c r="B98" s="313">
        <f>(B97/B96)*(B95/B94)*(B93/B92)*(B91/B90)*B89</f>
        <v>50</v>
      </c>
      <c r="C98" s="377" t="s">
        <v>115</v>
      </c>
      <c r="D98" s="379">
        <f>D97*$B$83/100</f>
        <v>29.263709999999996</v>
      </c>
      <c r="E98" s="315"/>
      <c r="F98" s="314">
        <f>F97*$B$83/100</f>
        <v>31.557539999999999</v>
      </c>
    </row>
    <row r="99" spans="1:10" ht="19.5" customHeight="1" thickBot="1" x14ac:dyDescent="0.35">
      <c r="A99" s="675" t="s">
        <v>78</v>
      </c>
      <c r="B99" s="676"/>
      <c r="C99" s="377" t="s">
        <v>116</v>
      </c>
      <c r="D99" s="380">
        <f>D98/$B$98</f>
        <v>0.58527419999999997</v>
      </c>
      <c r="E99" s="315"/>
      <c r="F99" s="318">
        <f>F98/$B$98</f>
        <v>0.63115080000000001</v>
      </c>
      <c r="H99" s="308"/>
    </row>
    <row r="100" spans="1:10" ht="19.5" customHeight="1" thickBot="1" x14ac:dyDescent="0.35">
      <c r="A100" s="677"/>
      <c r="B100" s="678"/>
      <c r="C100" s="377" t="s">
        <v>80</v>
      </c>
      <c r="D100" s="381">
        <f>$B$56/$B$116</f>
        <v>0.6</v>
      </c>
      <c r="F100" s="323"/>
      <c r="G100" s="382"/>
      <c r="H100" s="308"/>
    </row>
    <row r="101" spans="1:10" ht="18.75" x14ac:dyDescent="0.3">
      <c r="C101" s="377" t="s">
        <v>81</v>
      </c>
      <c r="D101" s="378">
        <f>D100*$B$98</f>
        <v>30</v>
      </c>
      <c r="F101" s="323"/>
      <c r="H101" s="308"/>
    </row>
    <row r="102" spans="1:10" ht="19.5" customHeight="1" thickBot="1" x14ac:dyDescent="0.35">
      <c r="C102" s="383" t="s">
        <v>82</v>
      </c>
      <c r="D102" s="384">
        <f>D101/B34</f>
        <v>30</v>
      </c>
      <c r="F102" s="327"/>
      <c r="H102" s="308"/>
      <c r="J102" s="385"/>
    </row>
    <row r="103" spans="1:10" ht="18.75" x14ac:dyDescent="0.3">
      <c r="C103" s="386" t="s">
        <v>117</v>
      </c>
      <c r="D103" s="387">
        <f>AVERAGE(E91:E94,G91:G94)</f>
        <v>198401601.0266701</v>
      </c>
      <c r="F103" s="327"/>
      <c r="G103" s="382"/>
      <c r="H103" s="308"/>
      <c r="J103" s="388"/>
    </row>
    <row r="104" spans="1:10" ht="18.75" x14ac:dyDescent="0.3">
      <c r="C104" s="360" t="s">
        <v>84</v>
      </c>
      <c r="D104" s="389">
        <f>STDEV(E91:E94,G91:G94)/D103</f>
        <v>6.4330875561143808E-3</v>
      </c>
      <c r="F104" s="327"/>
      <c r="H104" s="308"/>
      <c r="J104" s="388"/>
    </row>
    <row r="105" spans="1:10" ht="19.5" customHeight="1" thickBot="1" x14ac:dyDescent="0.35">
      <c r="C105" s="362" t="s">
        <v>20</v>
      </c>
      <c r="D105" s="390">
        <f>COUNT(E91:E94,G91:G94)</f>
        <v>6</v>
      </c>
      <c r="F105" s="327"/>
      <c r="H105" s="308"/>
      <c r="J105" s="388"/>
    </row>
    <row r="106" spans="1:10" ht="19.5" customHeight="1" thickBot="1" x14ac:dyDescent="0.35">
      <c r="A106" s="331"/>
      <c r="B106" s="331"/>
      <c r="C106" s="331"/>
      <c r="D106" s="331"/>
      <c r="E106" s="331"/>
    </row>
    <row r="107" spans="1:10" ht="26.25" customHeight="1" x14ac:dyDescent="0.4">
      <c r="A107" s="281" t="s">
        <v>118</v>
      </c>
      <c r="B107" s="282">
        <v>1000</v>
      </c>
      <c r="C107" s="365" t="s">
        <v>119</v>
      </c>
      <c r="D107" s="391" t="s">
        <v>63</v>
      </c>
      <c r="E107" s="392" t="s">
        <v>120</v>
      </c>
      <c r="F107" s="393" t="s">
        <v>121</v>
      </c>
    </row>
    <row r="108" spans="1:10" ht="26.25" customHeight="1" x14ac:dyDescent="0.4">
      <c r="A108" s="283" t="s">
        <v>122</v>
      </c>
      <c r="B108" s="284">
        <v>1</v>
      </c>
      <c r="C108" s="394">
        <v>1</v>
      </c>
      <c r="D108" s="395">
        <v>196369060</v>
      </c>
      <c r="E108" s="396">
        <f t="shared" ref="E108:E113" si="1">IF(ISBLANK(D108),"-",D108/$D$103*$D$100*$B$116)</f>
        <v>593.85325214266732</v>
      </c>
      <c r="F108" s="397">
        <f t="shared" ref="F108:F113" si="2">IF(ISBLANK(D108), "-", E108/$B$56)</f>
        <v>0.98975542023777885</v>
      </c>
    </row>
    <row r="109" spans="1:10" ht="26.25" customHeight="1" x14ac:dyDescent="0.4">
      <c r="A109" s="283" t="s">
        <v>95</v>
      </c>
      <c r="B109" s="284">
        <v>1</v>
      </c>
      <c r="C109" s="394">
        <v>2</v>
      </c>
      <c r="D109" s="395">
        <v>193666416</v>
      </c>
      <c r="E109" s="398">
        <f t="shared" si="1"/>
        <v>585.67999954990205</v>
      </c>
      <c r="F109" s="399">
        <f t="shared" si="2"/>
        <v>0.97613333258317003</v>
      </c>
    </row>
    <row r="110" spans="1:10" ht="26.25" customHeight="1" x14ac:dyDescent="0.4">
      <c r="A110" s="283" t="s">
        <v>96</v>
      </c>
      <c r="B110" s="284">
        <v>1</v>
      </c>
      <c r="C110" s="394">
        <v>3</v>
      </c>
      <c r="D110" s="395">
        <v>193914531</v>
      </c>
      <c r="E110" s="398">
        <f t="shared" si="1"/>
        <v>586.43034127713429</v>
      </c>
      <c r="F110" s="399">
        <f t="shared" si="2"/>
        <v>0.97738390212855719</v>
      </c>
    </row>
    <row r="111" spans="1:10" ht="26.25" customHeight="1" x14ac:dyDescent="0.4">
      <c r="A111" s="283" t="s">
        <v>97</v>
      </c>
      <c r="B111" s="284">
        <v>1</v>
      </c>
      <c r="C111" s="394">
        <v>4</v>
      </c>
      <c r="D111" s="395">
        <v>200769864</v>
      </c>
      <c r="E111" s="398">
        <f t="shared" si="1"/>
        <v>607.16202780947776</v>
      </c>
      <c r="F111" s="399">
        <f t="shared" si="2"/>
        <v>1.0119367130157964</v>
      </c>
    </row>
    <row r="112" spans="1:10" ht="26.25" customHeight="1" x14ac:dyDescent="0.4">
      <c r="A112" s="283" t="s">
        <v>98</v>
      </c>
      <c r="B112" s="284">
        <v>1</v>
      </c>
      <c r="C112" s="394">
        <v>5</v>
      </c>
      <c r="D112" s="395">
        <v>198506005</v>
      </c>
      <c r="E112" s="398">
        <f t="shared" si="1"/>
        <v>600.31573527468402</v>
      </c>
      <c r="F112" s="399">
        <f t="shared" si="2"/>
        <v>1.0005262254578067</v>
      </c>
    </row>
    <row r="113" spans="1:10" ht="26.25" customHeight="1" x14ac:dyDescent="0.4">
      <c r="A113" s="283" t="s">
        <v>100</v>
      </c>
      <c r="B113" s="284">
        <v>1</v>
      </c>
      <c r="C113" s="400">
        <v>6</v>
      </c>
      <c r="D113" s="401">
        <v>195595854</v>
      </c>
      <c r="E113" s="402">
        <f t="shared" si="1"/>
        <v>591.51494641529746</v>
      </c>
      <c r="F113" s="403">
        <f t="shared" si="2"/>
        <v>0.98585824402549571</v>
      </c>
    </row>
    <row r="114" spans="1:10" ht="26.25" customHeight="1" x14ac:dyDescent="0.4">
      <c r="A114" s="283" t="s">
        <v>101</v>
      </c>
      <c r="B114" s="284">
        <v>1</v>
      </c>
      <c r="C114" s="394"/>
      <c r="D114" s="313"/>
      <c r="E114" s="255"/>
      <c r="F114" s="404"/>
    </row>
    <row r="115" spans="1:10" ht="26.25" customHeight="1" x14ac:dyDescent="0.4">
      <c r="A115" s="283" t="s">
        <v>102</v>
      </c>
      <c r="B115" s="284">
        <v>1</v>
      </c>
      <c r="C115" s="394"/>
      <c r="D115" s="405" t="s">
        <v>71</v>
      </c>
      <c r="E115" s="406">
        <f>AVERAGE(E108:E113)</f>
        <v>594.15938374486052</v>
      </c>
      <c r="F115" s="407">
        <f>AVERAGE(F108:F113)</f>
        <v>0.99026563957476765</v>
      </c>
    </row>
    <row r="116" spans="1:10" ht="27" customHeight="1" thickBot="1" x14ac:dyDescent="0.45">
      <c r="A116" s="283" t="s">
        <v>103</v>
      </c>
      <c r="B116" s="295">
        <f>(B115/B114)*(B113/B112)*(B111/B110)*(B109/B108)*B107</f>
        <v>1000</v>
      </c>
      <c r="C116" s="408"/>
      <c r="D116" s="267" t="s">
        <v>84</v>
      </c>
      <c r="E116" s="409">
        <f>STDEV(E108:E113)/E115</f>
        <v>1.3994523202238174E-2</v>
      </c>
      <c r="F116" s="409">
        <f>STDEV(F108:F113)/F115</f>
        <v>1.3994523202238202E-2</v>
      </c>
      <c r="I116" s="255"/>
    </row>
    <row r="117" spans="1:10" ht="27" customHeight="1" thickBot="1" x14ac:dyDescent="0.45">
      <c r="A117" s="675" t="s">
        <v>78</v>
      </c>
      <c r="B117" s="679"/>
      <c r="C117" s="410"/>
      <c r="D117" s="411" t="s">
        <v>20</v>
      </c>
      <c r="E117" s="412">
        <f>COUNT(E108:E113)</f>
        <v>6</v>
      </c>
      <c r="F117" s="412">
        <f>COUNT(F108:F113)</f>
        <v>6</v>
      </c>
      <c r="I117" s="255"/>
      <c r="J117" s="388"/>
    </row>
    <row r="118" spans="1:10" ht="19.5" customHeight="1" thickBot="1" x14ac:dyDescent="0.35">
      <c r="A118" s="677"/>
      <c r="B118" s="680"/>
      <c r="C118" s="255"/>
      <c r="D118" s="255"/>
      <c r="E118" s="255"/>
      <c r="F118" s="313"/>
      <c r="G118" s="255"/>
      <c r="H118" s="255"/>
      <c r="I118" s="255"/>
    </row>
    <row r="119" spans="1:10" ht="18.75" x14ac:dyDescent="0.3">
      <c r="A119" s="413"/>
      <c r="B119" s="279"/>
      <c r="C119" s="255"/>
      <c r="D119" s="255"/>
      <c r="E119" s="255"/>
      <c r="F119" s="313"/>
      <c r="G119" s="255"/>
      <c r="H119" s="255"/>
      <c r="I119" s="255"/>
    </row>
    <row r="120" spans="1:10" ht="26.25" customHeight="1" x14ac:dyDescent="0.4">
      <c r="A120" s="266" t="s">
        <v>106</v>
      </c>
      <c r="B120" s="267" t="s">
        <v>123</v>
      </c>
      <c r="C120" s="681" t="str">
        <f>B20</f>
        <v>Efavirenz 600mg, Lamivudine 300mg and Tenofovir Disoproxil Fumarate 300mg Tablets</v>
      </c>
      <c r="D120" s="681"/>
      <c r="E120" s="255" t="s">
        <v>124</v>
      </c>
      <c r="F120" s="255"/>
      <c r="G120" s="364">
        <f>F115</f>
        <v>0.99026563957476765</v>
      </c>
      <c r="H120" s="255"/>
      <c r="I120" s="255"/>
    </row>
    <row r="121" spans="1:10" ht="19.5" customHeight="1" thickBot="1" x14ac:dyDescent="0.35">
      <c r="A121" s="414"/>
      <c r="B121" s="414"/>
      <c r="C121" s="415"/>
      <c r="D121" s="415"/>
      <c r="E121" s="415"/>
      <c r="F121" s="415"/>
      <c r="G121" s="415"/>
      <c r="H121" s="415"/>
    </row>
    <row r="122" spans="1:10" ht="18.75" x14ac:dyDescent="0.3">
      <c r="B122" s="682" t="s">
        <v>26</v>
      </c>
      <c r="C122" s="682"/>
      <c r="E122" s="367" t="s">
        <v>27</v>
      </c>
      <c r="F122" s="416"/>
      <c r="G122" s="682" t="s">
        <v>28</v>
      </c>
      <c r="H122" s="682"/>
    </row>
    <row r="123" spans="1:10" ht="69.95" customHeight="1" x14ac:dyDescent="0.3">
      <c r="A123" s="266" t="s">
        <v>29</v>
      </c>
      <c r="B123" s="417"/>
      <c r="C123" s="417"/>
      <c r="E123" s="417"/>
      <c r="F123" s="255"/>
      <c r="G123" s="417"/>
      <c r="H123" s="417"/>
    </row>
    <row r="124" spans="1:10" ht="69.95" customHeight="1" x14ac:dyDescent="0.3">
      <c r="A124" s="266" t="s">
        <v>30</v>
      </c>
      <c r="B124" s="418"/>
      <c r="C124" s="418"/>
      <c r="E124" s="418"/>
      <c r="F124" s="255"/>
      <c r="G124" s="419"/>
      <c r="H124" s="419"/>
    </row>
    <row r="125" spans="1:10" ht="18.75" x14ac:dyDescent="0.3">
      <c r="A125" s="313"/>
      <c r="B125" s="313"/>
      <c r="C125" s="313"/>
      <c r="D125" s="313"/>
      <c r="E125" s="313"/>
      <c r="F125" s="315"/>
      <c r="G125" s="313"/>
      <c r="H125" s="313"/>
      <c r="I125" s="255"/>
    </row>
    <row r="126" spans="1:10" ht="18.75" x14ac:dyDescent="0.3">
      <c r="A126" s="313"/>
      <c r="B126" s="313"/>
      <c r="C126" s="313"/>
      <c r="D126" s="313"/>
      <c r="E126" s="313"/>
      <c r="F126" s="315"/>
      <c r="G126" s="313"/>
      <c r="H126" s="313"/>
      <c r="I126" s="255"/>
    </row>
    <row r="127" spans="1:10" ht="18.75" x14ac:dyDescent="0.3">
      <c r="A127" s="313"/>
      <c r="B127" s="313"/>
      <c r="C127" s="313"/>
      <c r="D127" s="313"/>
      <c r="E127" s="313"/>
      <c r="F127" s="315"/>
      <c r="G127" s="313"/>
      <c r="H127" s="313"/>
      <c r="I127" s="255"/>
    </row>
    <row r="128" spans="1:10" ht="18.75" x14ac:dyDescent="0.3">
      <c r="A128" s="313"/>
      <c r="B128" s="313"/>
      <c r="C128" s="313"/>
      <c r="D128" s="313"/>
      <c r="E128" s="313"/>
      <c r="F128" s="315"/>
      <c r="G128" s="313"/>
      <c r="H128" s="313"/>
      <c r="I128" s="255"/>
    </row>
    <row r="129" spans="1:9" ht="18.75" x14ac:dyDescent="0.3">
      <c r="A129" s="313"/>
      <c r="B129" s="313"/>
      <c r="C129" s="313"/>
      <c r="D129" s="313"/>
      <c r="E129" s="313"/>
      <c r="F129" s="315"/>
      <c r="G129" s="313"/>
      <c r="H129" s="313"/>
      <c r="I129" s="255"/>
    </row>
    <row r="130" spans="1:9" ht="18.75" x14ac:dyDescent="0.3">
      <c r="A130" s="313"/>
      <c r="B130" s="313"/>
      <c r="C130" s="313"/>
      <c r="D130" s="313"/>
      <c r="E130" s="313"/>
      <c r="F130" s="315"/>
      <c r="G130" s="313"/>
      <c r="H130" s="313"/>
      <c r="I130" s="255"/>
    </row>
    <row r="131" spans="1:9" ht="18.75" x14ac:dyDescent="0.3">
      <c r="A131" s="313"/>
      <c r="B131" s="313"/>
      <c r="C131" s="313"/>
      <c r="D131" s="313"/>
      <c r="E131" s="313"/>
      <c r="F131" s="315"/>
      <c r="G131" s="313"/>
      <c r="H131" s="313"/>
      <c r="I131" s="255"/>
    </row>
    <row r="132" spans="1:9" ht="18.75" x14ac:dyDescent="0.3">
      <c r="A132" s="313"/>
      <c r="B132" s="313"/>
      <c r="C132" s="313"/>
      <c r="D132" s="313"/>
      <c r="E132" s="313"/>
      <c r="F132" s="315"/>
      <c r="G132" s="313"/>
      <c r="H132" s="313"/>
      <c r="I132" s="255"/>
    </row>
    <row r="133" spans="1:9" ht="18.75" x14ac:dyDescent="0.3">
      <c r="A133" s="313"/>
      <c r="B133" s="313"/>
      <c r="C133" s="313"/>
      <c r="D133" s="313"/>
      <c r="E133" s="313"/>
      <c r="F133" s="315"/>
      <c r="G133" s="313"/>
      <c r="H133" s="313"/>
      <c r="I133" s="255"/>
    </row>
    <row r="250" spans="1:1" x14ac:dyDescent="0.25">
      <c r="A250" s="254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TENOFOVIR</vt:lpstr>
      <vt:lpstr>SST EFAVIRENZ</vt:lpstr>
      <vt:lpstr>Uniformity</vt:lpstr>
      <vt:lpstr>Lamivudine</vt:lpstr>
      <vt:lpstr>Tenofovir Disoproxil Fumarate</vt:lpstr>
      <vt:lpstr>Efavirenz</vt:lpstr>
      <vt:lpstr>Efavirenz!Print_Area</vt:lpstr>
      <vt:lpstr>Lamivudine!Print_Area</vt:lpstr>
      <vt:lpstr>'SST EFAVIRENZ'!Print_Area</vt:lpstr>
      <vt:lpstr>'SST LAMIVUDINE'!Print_Area</vt:lpstr>
      <vt:lpstr>'SST TENOFOVIR'!Print_Area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2016-05-20T11:49:07Z</cp:lastPrinted>
  <dcterms:created xsi:type="dcterms:W3CDTF">2005-07-05T10:19:27Z</dcterms:created>
  <dcterms:modified xsi:type="dcterms:W3CDTF">2016-06-07T07:39:36Z</dcterms:modified>
</cp:coreProperties>
</file>