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5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6">Zidovudine!$A$1:$I$125</definedName>
  </definedNames>
  <calcPr calcId="145621"/>
</workbook>
</file>

<file path=xl/calcChain.xml><?xml version="1.0" encoding="utf-8"?>
<calcChain xmlns="http://schemas.openxmlformats.org/spreadsheetml/2006/main">
  <c r="B42" i="7" l="1"/>
  <c r="B42" i="6"/>
  <c r="B21" i="7" l="1"/>
  <c r="B21" i="6"/>
  <c r="B21" i="1"/>
  <c r="B53" i="7"/>
  <c r="B52" i="7"/>
  <c r="B32" i="7"/>
  <c r="B3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I92" i="5" s="1"/>
  <c r="B87" i="5"/>
  <c r="F97" i="5" s="1"/>
  <c r="B83" i="5"/>
  <c r="B80" i="5"/>
  <c r="B79" i="5"/>
  <c r="C76" i="5"/>
  <c r="B68" i="5"/>
  <c r="C56" i="5"/>
  <c r="B55" i="5"/>
  <c r="B45" i="5"/>
  <c r="D48" i="5" s="1"/>
  <c r="D49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D40" i="2"/>
  <c r="D35" i="2"/>
  <c r="D31" i="2"/>
  <c r="D27" i="2"/>
  <c r="C19" i="2"/>
  <c r="B53" i="1"/>
  <c r="E51" i="1"/>
  <c r="D51" i="1"/>
  <c r="C51" i="1"/>
  <c r="B51" i="1"/>
  <c r="B52" i="1" s="1"/>
  <c r="B32" i="1"/>
  <c r="B31" i="1"/>
  <c r="I39" i="3" l="1"/>
  <c r="D101" i="5"/>
  <c r="D102" i="5" s="1"/>
  <c r="I92" i="4"/>
  <c r="D101" i="4"/>
  <c r="D102" i="4" s="1"/>
  <c r="F98" i="4"/>
  <c r="F99" i="4" s="1"/>
  <c r="D97" i="4"/>
  <c r="D98" i="4" s="1"/>
  <c r="I92" i="3"/>
  <c r="D101" i="3"/>
  <c r="D102" i="3" s="1"/>
  <c r="I39" i="4"/>
  <c r="D45" i="4"/>
  <c r="D46" i="4" s="1"/>
  <c r="I39" i="5"/>
  <c r="D45" i="3"/>
  <c r="D46" i="3" s="1"/>
  <c r="F98" i="3"/>
  <c r="F99" i="3" s="1"/>
  <c r="D49" i="3"/>
  <c r="E41" i="3"/>
  <c r="E39" i="3"/>
  <c r="E38" i="3"/>
  <c r="D49" i="4"/>
  <c r="E40" i="4"/>
  <c r="E38" i="4"/>
  <c r="G94" i="4"/>
  <c r="D28" i="2"/>
  <c r="D36" i="2"/>
  <c r="D41" i="2"/>
  <c r="F44" i="3"/>
  <c r="F45" i="3" s="1"/>
  <c r="F46" i="3" s="1"/>
  <c r="D29" i="2"/>
  <c r="D33" i="2"/>
  <c r="D37" i="2"/>
  <c r="D49" i="2"/>
  <c r="F44" i="4"/>
  <c r="F45" i="4" s="1"/>
  <c r="F46" i="4" s="1"/>
  <c r="B69" i="5"/>
  <c r="D26" i="2"/>
  <c r="D30" i="2"/>
  <c r="D34" i="2"/>
  <c r="D39" i="2"/>
  <c r="D45" i="5"/>
  <c r="E40" i="5" s="1"/>
  <c r="F98" i="5"/>
  <c r="D50" i="2"/>
  <c r="B49" i="2"/>
  <c r="D42" i="2"/>
  <c r="D38" i="2"/>
  <c r="B57" i="5"/>
  <c r="B57" i="3"/>
  <c r="B69" i="3" s="1"/>
  <c r="D97" i="3"/>
  <c r="D98" i="3" s="1"/>
  <c r="D99" i="3" s="1"/>
  <c r="D24" i="2"/>
  <c r="B57" i="4"/>
  <c r="B69" i="4" s="1"/>
  <c r="D32" i="2"/>
  <c r="C49" i="2"/>
  <c r="D25" i="2"/>
  <c r="D43" i="2"/>
  <c r="F44" i="5"/>
  <c r="F45" i="5" s="1"/>
  <c r="D97" i="5"/>
  <c r="D98" i="5" s="1"/>
  <c r="E92" i="5" s="1"/>
  <c r="G93" i="5" l="1"/>
  <c r="G91" i="4"/>
  <c r="D99" i="4"/>
  <c r="E94" i="4"/>
  <c r="E92" i="4"/>
  <c r="E93" i="4"/>
  <c r="G93" i="4"/>
  <c r="G92" i="4"/>
  <c r="E91" i="4"/>
  <c r="G92" i="3"/>
  <c r="G94" i="3"/>
  <c r="E39" i="4"/>
  <c r="E41" i="4"/>
  <c r="E42" i="4" s="1"/>
  <c r="G39" i="4"/>
  <c r="E41" i="5"/>
  <c r="E40" i="3"/>
  <c r="G91" i="3"/>
  <c r="G93" i="3"/>
  <c r="E93" i="3"/>
  <c r="E92" i="3"/>
  <c r="G39" i="3"/>
  <c r="G40" i="4"/>
  <c r="G41" i="4"/>
  <c r="E42" i="3"/>
  <c r="D46" i="5"/>
  <c r="E39" i="5"/>
  <c r="E38" i="5"/>
  <c r="E91" i="3"/>
  <c r="G38" i="3"/>
  <c r="F46" i="5"/>
  <c r="G39" i="5"/>
  <c r="G40" i="5"/>
  <c r="G41" i="5"/>
  <c r="G38" i="5"/>
  <c r="D99" i="5"/>
  <c r="E93" i="5"/>
  <c r="E91" i="5"/>
  <c r="E94" i="5"/>
  <c r="G91" i="5"/>
  <c r="G94" i="5"/>
  <c r="F99" i="5"/>
  <c r="G92" i="5"/>
  <c r="E94" i="3"/>
  <c r="G38" i="4"/>
  <c r="G40" i="3"/>
  <c r="G41" i="3"/>
  <c r="G95" i="5" l="1"/>
  <c r="E95" i="4"/>
  <c r="D103" i="4"/>
  <c r="E108" i="4" s="1"/>
  <c r="G95" i="4"/>
  <c r="D105" i="4"/>
  <c r="D50" i="4"/>
  <c r="G65" i="4" s="1"/>
  <c r="H65" i="4" s="1"/>
  <c r="G42" i="4"/>
  <c r="G42" i="5"/>
  <c r="G42" i="3"/>
  <c r="D50" i="3"/>
  <c r="G63" i="3" s="1"/>
  <c r="H63" i="3" s="1"/>
  <c r="G95" i="3"/>
  <c r="G71" i="4"/>
  <c r="H71" i="4" s="1"/>
  <c r="G64" i="4"/>
  <c r="H64" i="4" s="1"/>
  <c r="D52" i="5"/>
  <c r="D50" i="5"/>
  <c r="E42" i="5"/>
  <c r="D52" i="4"/>
  <c r="E95" i="5"/>
  <c r="D105" i="5"/>
  <c r="D103" i="5"/>
  <c r="E95" i="3"/>
  <c r="D105" i="3"/>
  <c r="D103" i="3"/>
  <c r="D52" i="3"/>
  <c r="G60" i="4" l="1"/>
  <c r="H60" i="4" s="1"/>
  <c r="G68" i="4"/>
  <c r="H68" i="4" s="1"/>
  <c r="G61" i="4"/>
  <c r="H61" i="4" s="1"/>
  <c r="E110" i="4"/>
  <c r="F110" i="4" s="1"/>
  <c r="E109" i="4"/>
  <c r="F109" i="4" s="1"/>
  <c r="D104" i="4"/>
  <c r="E111" i="4"/>
  <c r="F111" i="4" s="1"/>
  <c r="E112" i="4"/>
  <c r="F112" i="4" s="1"/>
  <c r="E113" i="4"/>
  <c r="F113" i="4" s="1"/>
  <c r="G69" i="4"/>
  <c r="H69" i="4" s="1"/>
  <c r="G63" i="4"/>
  <c r="H63" i="4" s="1"/>
  <c r="D51" i="4"/>
  <c r="G66" i="4"/>
  <c r="H66" i="4" s="1"/>
  <c r="G62" i="4"/>
  <c r="H62" i="4" s="1"/>
  <c r="G70" i="4"/>
  <c r="H70" i="4" s="1"/>
  <c r="G67" i="4"/>
  <c r="H67" i="4" s="1"/>
  <c r="G68" i="3"/>
  <c r="H68" i="3" s="1"/>
  <c r="D51" i="3"/>
  <c r="G62" i="3"/>
  <c r="H62" i="3" s="1"/>
  <c r="G64" i="3"/>
  <c r="H64" i="3" s="1"/>
  <c r="G70" i="3"/>
  <c r="H70" i="3" s="1"/>
  <c r="G66" i="3"/>
  <c r="H66" i="3" s="1"/>
  <c r="G60" i="3"/>
  <c r="H60" i="3" s="1"/>
  <c r="G71" i="3"/>
  <c r="H71" i="3" s="1"/>
  <c r="G69" i="3"/>
  <c r="H69" i="3" s="1"/>
  <c r="G61" i="3"/>
  <c r="H61" i="3" s="1"/>
  <c r="G67" i="3"/>
  <c r="H67" i="3" s="1"/>
  <c r="G65" i="3"/>
  <c r="H65" i="3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3"/>
  <c r="F112" i="3" s="1"/>
  <c r="E110" i="3"/>
  <c r="F110" i="3" s="1"/>
  <c r="E108" i="3"/>
  <c r="E113" i="3"/>
  <c r="F113" i="3" s="1"/>
  <c r="D104" i="3"/>
  <c r="E109" i="3"/>
  <c r="F109" i="3" s="1"/>
  <c r="E111" i="3"/>
  <c r="F111" i="3" s="1"/>
  <c r="F108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E117" i="4" l="1"/>
  <c r="E115" i="4"/>
  <c r="E116" i="4" s="1"/>
  <c r="G72" i="4"/>
  <c r="G73" i="4" s="1"/>
  <c r="G74" i="4"/>
  <c r="G74" i="3"/>
  <c r="G72" i="3"/>
  <c r="G73" i="3" s="1"/>
  <c r="E115" i="3"/>
  <c r="E116" i="3" s="1"/>
  <c r="E117" i="3"/>
  <c r="F108" i="3"/>
  <c r="H74" i="3"/>
  <c r="H72" i="3"/>
  <c r="F117" i="4"/>
  <c r="F115" i="4"/>
  <c r="H74" i="4"/>
  <c r="H72" i="4"/>
  <c r="E115" i="5"/>
  <c r="E116" i="5" s="1"/>
  <c r="E117" i="5"/>
  <c r="F108" i="5"/>
  <c r="H60" i="5"/>
  <c r="G74" i="5"/>
  <c r="G72" i="5"/>
  <c r="G73" i="5" s="1"/>
  <c r="G76" i="4" l="1"/>
  <c r="H73" i="4"/>
  <c r="F117" i="5"/>
  <c r="F115" i="5"/>
  <c r="G120" i="4"/>
  <c r="F116" i="4"/>
  <c r="F117" i="3"/>
  <c r="F115" i="3"/>
  <c r="H74" i="5"/>
  <c r="H72" i="5"/>
  <c r="G76" i="3"/>
  <c r="H73" i="3"/>
  <c r="G120" i="3" l="1"/>
  <c r="F116" i="3"/>
  <c r="G120" i="5"/>
  <c r="F116" i="5"/>
  <c r="G76" i="5"/>
  <c r="H73" i="5"/>
</calcChain>
</file>

<file path=xl/sharedStrings.xml><?xml version="1.0" encoding="utf-8"?>
<sst xmlns="http://schemas.openxmlformats.org/spreadsheetml/2006/main" count="647" uniqueCount="131">
  <si>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</si>
  <si>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</si>
  <si>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</si>
  <si>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</si>
  <si>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</si>
  <si>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</si>
  <si>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</si>
  <si>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NDQB201603819</t>
  </si>
  <si>
    <t>Weight (mg):</t>
  </si>
  <si>
    <t xml:space="preserve">Lamivudine 150mg + Zidovudine 300mg + Nevirapine 200mg </t>
  </si>
  <si>
    <t>Standard Conc (mg/mL):</t>
  </si>
  <si>
    <t>2016-03-31 14:49:19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</si>
  <si>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</si>
  <si>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</si>
  <si>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</si>
  <si>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</si>
  <si>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</si>
  <si>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</si>
  <si>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</si>
  <si>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</si>
  <si>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</si>
  <si>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</si>
  <si>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</si>
  <si>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</si>
  <si>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</si>
  <si>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</si>
  <si>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</si>
  <si>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</si>
  <si>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</si>
  <si>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</si>
  <si>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</si>
  <si>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</si>
  <si>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</si>
  <si>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</si>
  <si>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</si>
  <si>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</si>
  <si>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</si>
  <si>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</si>
  <si>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</si>
  <si>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</si>
  <si>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</si>
  <si>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</si>
  <si>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</si>
  <si>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</si>
  <si>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</si>
  <si>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</si>
  <si>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</si>
  <si>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</si>
  <si>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</si>
  <si>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</si>
  <si>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</si>
  <si>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</si>
  <si>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</si>
  <si>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</si>
  <si>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</si>
  <si>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</si>
  <si>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</si>
  <si>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</si>
  <si>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</si>
  <si>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</si>
  <si>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</si>
  <si>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</si>
  <si>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</si>
  <si>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</si>
  <si>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</si>
  <si>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</si>
  <si>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</si>
  <si>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</si>
  <si>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</si>
  <si>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</si>
  <si>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</si>
  <si>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</si>
  <si>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</si>
  <si>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</si>
  <si>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</si>
  <si>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</si>
  <si>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</si>
  <si>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</si>
  <si>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</si>
  <si>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</si>
  <si>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</si>
  <si>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</si>
  <si>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</si>
  <si>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</si>
  <si>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</si>
  <si>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</si>
  <si>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</si>
  <si>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</si>
  <si>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</si>
  <si>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</si>
  <si>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</si>
  <si>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</si>
  <si>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</si>
  <si>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</si>
  <si>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</si>
  <si>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</si>
  <si>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</si>
  <si>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</si>
  <si>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</si>
  <si>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</si>
  <si>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</si>
  <si>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</si>
  <si>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</si>
  <si>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</si>
  <si>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</si>
  <si>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</si>
  <si>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</si>
  <si>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</si>
  <si>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</si>
  <si>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</si>
  <si>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</si>
  <si>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</si>
  <si>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</si>
  <si>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</si>
  <si>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</si>
  <si>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</si>
  <si>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</si>
  <si>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</si>
  <si>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</si>
  <si>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</si>
  <si>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</si>
  <si>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</si>
  <si>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</si>
  <si>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</si>
  <si>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</si>
  <si>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</si>
  <si>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</si>
  <si>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RUTTO/JOYFRIDA</t>
  </si>
  <si>
    <t>L3-9</t>
  </si>
  <si>
    <t>N1-3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</si>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</sst>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19" sqref="E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2">
        <f>15/20*4/20</f>
        <v>0.15</v>
      </c>
      <c r="C21" s="10"/>
      <c r="D21" s="10"/>
      <c r="E21" s="10"/>
    </row>
    <row r="22" spans="1:6" ht="15.75" customHeight="1" x14ac:dyDescent="0.25">
      <c r="A22" s="10"/>
      <c r="B22" s="648">
        <v>42485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147329815</v>
      </c>
      <c r="C24" s="18">
        <v>4062.8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146340797</v>
      </c>
      <c r="C25" s="18">
        <v>4115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146314587</v>
      </c>
      <c r="C26" s="18">
        <v>4180.3999999999996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146303736</v>
      </c>
      <c r="C27" s="18">
        <v>4225.3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146406772</v>
      </c>
      <c r="C28" s="18">
        <v>4240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146376116</v>
      </c>
      <c r="C29" s="21">
        <v>4257.8</v>
      </c>
      <c r="D29" s="22">
        <v>1.1000000000000001</v>
      </c>
      <c r="E29" s="22">
        <v>3.7</v>
      </c>
    </row>
    <row r="30" spans="1:6" ht="16.5" customHeight="1" x14ac:dyDescent="0.3">
      <c r="A30" s="23" t="s">
        <v>17</v>
      </c>
      <c r="B30" s="24">
        <v>146341709.5</v>
      </c>
      <c r="C30" s="25">
        <v>4181.5666666666666</v>
      </c>
      <c r="D30" s="26">
        <v>1.0999999999999999</v>
      </c>
      <c r="E30" s="26">
        <v>3.6999999999999997</v>
      </c>
    </row>
    <row r="31" spans="1:6" ht="16.5" customHeight="1" x14ac:dyDescent="0.3">
      <c r="A31" s="27" t="s">
        <v>18</v>
      </c>
      <c r="B31" s="28">
        <f>(STDEV(B24:B29)/B30)</f>
        <v>2.7503844805596535E-3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</v>
      </c>
      <c r="C42" s="10"/>
      <c r="D42" s="10"/>
      <c r="E42" s="10"/>
    </row>
    <row r="43" spans="1:6" ht="15.75" customHeight="1" x14ac:dyDescent="0.25">
      <c r="A43" s="10"/>
      <c r="B43" s="648">
        <v>42492</v>
      </c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17</v>
      </c>
      <c r="B51" s="24">
        <f>AVERAGE(B45:B50)</f>
        <v>39736425.166666664</v>
      </c>
      <c r="C51" s="25">
        <f>AVERAGE(C45:C50)</f>
        <v>5630.0499999999993</v>
      </c>
      <c r="D51" s="26">
        <f>AVERAGE(D45:D50)</f>
        <v>1.2</v>
      </c>
      <c r="E51" s="26">
        <f>AVERAGE(E45:E50)</f>
        <v>3.4</v>
      </c>
    </row>
    <row r="52" spans="1:7" ht="16.5" customHeight="1" x14ac:dyDescent="0.3">
      <c r="A52" s="27" t="s">
        <v>18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1" t="s">
        <v>25</v>
      </c>
      <c r="C59" s="65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127</v>
      </c>
      <c r="C60" s="48"/>
      <c r="E60" s="649">
        <v>42495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" workbookViewId="0">
      <selection activeCell="B30" sqref="B30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20/20*4/20</f>
        <v>0.2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124097224</v>
      </c>
      <c r="C24" s="18">
        <v>4707.6000000000004</v>
      </c>
      <c r="D24" s="19">
        <v>1.1000000000000001</v>
      </c>
      <c r="E24" s="20">
        <v>6.3</v>
      </c>
    </row>
    <row r="25" spans="1:5" ht="16.5" customHeight="1" x14ac:dyDescent="0.3">
      <c r="A25" s="17">
        <v>2</v>
      </c>
      <c r="B25" s="18">
        <v>123158470</v>
      </c>
      <c r="C25" s="18">
        <v>4797.8</v>
      </c>
      <c r="D25" s="19">
        <v>1.1000000000000001</v>
      </c>
      <c r="E25" s="19">
        <v>6.3</v>
      </c>
    </row>
    <row r="26" spans="1:5" ht="16.5" customHeight="1" x14ac:dyDescent="0.3">
      <c r="A26" s="17">
        <v>3</v>
      </c>
      <c r="B26" s="18">
        <v>123165231</v>
      </c>
      <c r="C26" s="18">
        <v>4884.8999999999996</v>
      </c>
      <c r="D26" s="19">
        <v>1.1000000000000001</v>
      </c>
      <c r="E26" s="19">
        <v>6.3</v>
      </c>
    </row>
    <row r="27" spans="1:5" ht="16.5" customHeight="1" x14ac:dyDescent="0.3">
      <c r="A27" s="17">
        <v>4</v>
      </c>
      <c r="B27" s="18">
        <v>123214896</v>
      </c>
      <c r="C27" s="18">
        <v>4940.8999999999996</v>
      </c>
      <c r="D27" s="19">
        <v>1.1000000000000001</v>
      </c>
      <c r="E27" s="19">
        <v>6.3</v>
      </c>
    </row>
    <row r="28" spans="1:5" ht="16.5" customHeight="1" x14ac:dyDescent="0.3">
      <c r="A28" s="17">
        <v>5</v>
      </c>
      <c r="B28" s="18">
        <v>123283051</v>
      </c>
      <c r="C28" s="18">
        <v>4957.7</v>
      </c>
      <c r="D28" s="19">
        <v>1.1000000000000001</v>
      </c>
      <c r="E28" s="19">
        <v>6.3</v>
      </c>
    </row>
    <row r="29" spans="1:5" ht="16.5" customHeight="1" x14ac:dyDescent="0.3">
      <c r="A29" s="17">
        <v>6</v>
      </c>
      <c r="B29" s="21">
        <v>123257159</v>
      </c>
      <c r="C29" s="21">
        <v>4983.6000000000004</v>
      </c>
      <c r="D29" s="22">
        <v>1.1000000000000001</v>
      </c>
      <c r="E29" s="22">
        <v>6.3</v>
      </c>
    </row>
    <row r="30" spans="1:5" ht="16.5" customHeight="1" x14ac:dyDescent="0.3">
      <c r="A30" s="23" t="s">
        <v>17</v>
      </c>
      <c r="B30" s="24">
        <f>AVERAGE(B24:B29)</f>
        <v>123362671.83333333</v>
      </c>
      <c r="C30" s="25">
        <f>AVERAGE(C24:C29)</f>
        <v>4878.75</v>
      </c>
      <c r="D30" s="26">
        <f>AVERAGE(D24:D29)</f>
        <v>1.0999999999999999</v>
      </c>
      <c r="E30" s="26">
        <f>AVERAGE(E24:E29)</f>
        <v>6.3</v>
      </c>
    </row>
    <row r="31" spans="1:5" ht="16.5" customHeight="1" x14ac:dyDescent="0.3">
      <c r="A31" s="27" t="s">
        <v>18</v>
      </c>
      <c r="B31" s="28">
        <f>(STDEV(B24:B29)/B30)</f>
        <v>2.9441356918372755E-3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f>20/20*4/20</f>
        <v>0.2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17</v>
      </c>
      <c r="B51" s="24">
        <f>AVERAGE(B45:B50)</f>
        <v>36557027.666666664</v>
      </c>
      <c r="C51" s="25">
        <f>AVERAGE(C45:C50)</f>
        <v>6218.4333333333334</v>
      </c>
      <c r="D51" s="26">
        <f>AVERAGE(D45:D50)</f>
        <v>1.2</v>
      </c>
      <c r="E51" s="26">
        <f>AVERAGE(E45:E50)</f>
        <v>8.2000000000000011</v>
      </c>
    </row>
    <row r="52" spans="1:7" ht="16.5" customHeight="1" x14ac:dyDescent="0.3">
      <c r="A52" s="27" t="s">
        <v>18</v>
      </c>
      <c r="B52" s="28">
        <f>(STDEV(B45:B50)/B51)</f>
        <v>4.1400850977365237E-3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127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9" workbookViewId="0">
      <selection activeCell="C39" sqref="C39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5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5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5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5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5" ht="16.5" customHeight="1" x14ac:dyDescent="0.3">
      <c r="A30" s="23" t="s">
        <v>17</v>
      </c>
      <c r="B30" s="24">
        <v>252211740</v>
      </c>
      <c r="C30" s="25">
        <v>4888.9666666666662</v>
      </c>
      <c r="D30" s="26">
        <v>1.1666666666666667</v>
      </c>
      <c r="E30" s="26">
        <v>4.6000000000000005</v>
      </c>
    </row>
    <row r="31" spans="1:5" ht="16.5" customHeight="1" x14ac:dyDescent="0.3">
      <c r="A31" s="27" t="s">
        <v>18</v>
      </c>
      <c r="B31" s="28">
        <f>(STDEV(B24:B29)/B30)</f>
        <v>2.0729649521617206E-3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17</v>
      </c>
      <c r="B51" s="24">
        <v>72728424.5</v>
      </c>
      <c r="C51" s="25">
        <v>6319.6500000000005</v>
      </c>
      <c r="D51" s="26">
        <v>1.2</v>
      </c>
      <c r="E51" s="26">
        <v>4.7</v>
      </c>
    </row>
    <row r="52" spans="1:7" ht="16.5" customHeight="1" x14ac:dyDescent="0.3">
      <c r="A52" s="27" t="s">
        <v>18</v>
      </c>
      <c r="B52" s="28">
        <f>(STDEV(B45:B50)/B51)</f>
        <v>4.0050127307162866E-3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127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A12" sqref="A12:F1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30</v>
      </c>
      <c r="B11" s="656"/>
      <c r="C11" s="656"/>
      <c r="D11" s="656"/>
      <c r="E11" s="656"/>
      <c r="F11" s="657"/>
      <c r="G11" s="91"/>
    </row>
    <row r="12" spans="1:7" ht="16.5" customHeight="1" x14ac:dyDescent="0.3">
      <c r="A12" s="654" t="s">
        <v>31</v>
      </c>
      <c r="B12" s="654"/>
      <c r="C12" s="654"/>
      <c r="D12" s="654"/>
      <c r="E12" s="654"/>
      <c r="F12" s="654"/>
      <c r="G12" s="90"/>
    </row>
    <row r="14" spans="1:7" ht="16.5" customHeight="1" x14ac:dyDescent="0.3">
      <c r="A14" s="659" t="s">
        <v>32</v>
      </c>
      <c r="B14" s="659"/>
      <c r="C14" s="60" t="s">
        <v>5</v>
      </c>
    </row>
    <row r="15" spans="1:7" ht="16.5" customHeight="1" x14ac:dyDescent="0.3">
      <c r="A15" s="659" t="s">
        <v>33</v>
      </c>
      <c r="B15" s="659"/>
      <c r="C15" s="60" t="s">
        <v>7</v>
      </c>
    </row>
    <row r="16" spans="1:7" ht="16.5" customHeight="1" x14ac:dyDescent="0.3">
      <c r="A16" s="659" t="s">
        <v>34</v>
      </c>
      <c r="B16" s="659"/>
      <c r="C16" s="60" t="s">
        <v>9</v>
      </c>
    </row>
    <row r="17" spans="1:5" ht="16.5" customHeight="1" x14ac:dyDescent="0.3">
      <c r="A17" s="659" t="s">
        <v>35</v>
      </c>
      <c r="B17" s="659"/>
      <c r="C17" s="60" t="s">
        <v>9</v>
      </c>
    </row>
    <row r="18" spans="1:5" ht="16.5" customHeight="1" x14ac:dyDescent="0.3">
      <c r="A18" s="659" t="s">
        <v>36</v>
      </c>
      <c r="B18" s="659"/>
      <c r="C18" s="97" t="s">
        <v>11</v>
      </c>
    </row>
    <row r="19" spans="1:5" ht="16.5" customHeight="1" x14ac:dyDescent="0.3">
      <c r="A19" s="659" t="s">
        <v>37</v>
      </c>
      <c r="B19" s="6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4" t="s">
        <v>1</v>
      </c>
      <c r="B21" s="654"/>
      <c r="C21" s="59" t="s">
        <v>38</v>
      </c>
      <c r="D21" s="66"/>
    </row>
    <row r="22" spans="1:5" ht="15.75" customHeight="1" x14ac:dyDescent="0.3">
      <c r="A22" s="658"/>
      <c r="B22" s="658"/>
      <c r="C22" s="57"/>
      <c r="D22" s="658"/>
      <c r="E22" s="65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1148.1199999999999</v>
      </c>
      <c r="D24" s="87">
        <f t="shared" ref="D24:D43" si="0">(C24-$C$46)/$C$46</f>
        <v>1.6293518796366799E-2</v>
      </c>
      <c r="E24" s="53"/>
    </row>
    <row r="25" spans="1:5" ht="15.75" customHeight="1" x14ac:dyDescent="0.3">
      <c r="C25" s="95">
        <v>1118.9000000000001</v>
      </c>
      <c r="D25" s="88">
        <f t="shared" si="0"/>
        <v>-9.5714575294786157E-3</v>
      </c>
      <c r="E25" s="53"/>
    </row>
    <row r="26" spans="1:5" ht="15.75" customHeight="1" x14ac:dyDescent="0.3">
      <c r="C26" s="95">
        <v>1136.0899999999999</v>
      </c>
      <c r="D26" s="88">
        <f t="shared" si="0"/>
        <v>5.6447965102640694E-3</v>
      </c>
      <c r="E26" s="53"/>
    </row>
    <row r="27" spans="1:5" ht="15.75" customHeight="1" x14ac:dyDescent="0.3">
      <c r="C27" s="95">
        <v>1121.3</v>
      </c>
      <c r="D27" s="88">
        <f t="shared" si="0"/>
        <v>-7.4470241556926506E-3</v>
      </c>
      <c r="E27" s="53"/>
    </row>
    <row r="28" spans="1:5" ht="15.75" customHeight="1" x14ac:dyDescent="0.3">
      <c r="C28" s="95">
        <v>1143.1600000000001</v>
      </c>
      <c r="D28" s="88">
        <f t="shared" si="0"/>
        <v>1.1903023157209059E-2</v>
      </c>
      <c r="E28" s="53"/>
    </row>
    <row r="29" spans="1:5" ht="15.75" customHeight="1" x14ac:dyDescent="0.3">
      <c r="C29" s="95">
        <v>1126.74</v>
      </c>
      <c r="D29" s="88">
        <f t="shared" si="0"/>
        <v>-2.6316418417774746E-3</v>
      </c>
      <c r="E29" s="53"/>
    </row>
    <row r="30" spans="1:5" ht="15.75" customHeight="1" x14ac:dyDescent="0.3">
      <c r="C30" s="95">
        <v>1114.53</v>
      </c>
      <c r="D30" s="88">
        <f t="shared" si="0"/>
        <v>-1.3439696630914218E-2</v>
      </c>
      <c r="E30" s="53"/>
    </row>
    <row r="31" spans="1:5" ht="15.75" customHeight="1" x14ac:dyDescent="0.3">
      <c r="C31" s="95">
        <v>1134.54</v>
      </c>
      <c r="D31" s="88">
        <f t="shared" si="0"/>
        <v>4.2727666230272634E-3</v>
      </c>
      <c r="E31" s="53"/>
    </row>
    <row r="32" spans="1:5" ht="15.75" customHeight="1" x14ac:dyDescent="0.3">
      <c r="C32" s="95">
        <v>1117.6199999999999</v>
      </c>
      <c r="D32" s="88">
        <f t="shared" si="0"/>
        <v>-1.0704488662164705E-2</v>
      </c>
      <c r="E32" s="53"/>
    </row>
    <row r="33" spans="1:7" ht="15.75" customHeight="1" x14ac:dyDescent="0.3">
      <c r="C33" s="95">
        <v>1140.6400000000001</v>
      </c>
      <c r="D33" s="88">
        <f t="shared" si="0"/>
        <v>9.672368114733685E-3</v>
      </c>
      <c r="E33" s="53"/>
    </row>
    <row r="34" spans="1:7" ht="15.75" customHeight="1" x14ac:dyDescent="0.3">
      <c r="C34" s="95">
        <v>1130.76</v>
      </c>
      <c r="D34" s="88">
        <f t="shared" si="0"/>
        <v>9.2678405931420236E-4</v>
      </c>
      <c r="E34" s="53"/>
    </row>
    <row r="35" spans="1:7" ht="15.75" customHeight="1" x14ac:dyDescent="0.3">
      <c r="C35" s="95">
        <v>1140.3</v>
      </c>
      <c r="D35" s="88">
        <f t="shared" si="0"/>
        <v>9.3714067201138597E-3</v>
      </c>
      <c r="E35" s="53"/>
    </row>
    <row r="36" spans="1:7" ht="15.75" customHeight="1" x14ac:dyDescent="0.3">
      <c r="C36" s="95">
        <v>1136.93</v>
      </c>
      <c r="D36" s="88">
        <f t="shared" si="0"/>
        <v>6.3883481910893287E-3</v>
      </c>
      <c r="E36" s="53"/>
    </row>
    <row r="37" spans="1:7" ht="15.75" customHeight="1" x14ac:dyDescent="0.3">
      <c r="C37" s="95">
        <v>1115.95</v>
      </c>
      <c r="D37" s="88">
        <f t="shared" si="0"/>
        <v>-1.2182740218090718E-2</v>
      </c>
      <c r="E37" s="53"/>
    </row>
    <row r="38" spans="1:7" ht="15.75" customHeight="1" x14ac:dyDescent="0.3">
      <c r="C38" s="95">
        <v>1122</v>
      </c>
      <c r="D38" s="88">
        <f t="shared" si="0"/>
        <v>-6.8273977550050019E-3</v>
      </c>
      <c r="E38" s="53"/>
    </row>
    <row r="39" spans="1:7" ht="15.75" customHeight="1" x14ac:dyDescent="0.3">
      <c r="C39" s="95">
        <v>1140.01</v>
      </c>
      <c r="D39" s="88">
        <f t="shared" si="0"/>
        <v>9.1147043541147405E-3</v>
      </c>
      <c r="E39" s="53"/>
    </row>
    <row r="40" spans="1:7" ht="15.75" customHeight="1" x14ac:dyDescent="0.3">
      <c r="C40" s="95">
        <v>1131.96</v>
      </c>
      <c r="D40" s="88">
        <f t="shared" si="0"/>
        <v>1.9890007462072855E-3</v>
      </c>
      <c r="E40" s="53"/>
    </row>
    <row r="41" spans="1:7" ht="15.75" customHeight="1" x14ac:dyDescent="0.3">
      <c r="C41" s="95">
        <v>1120.02</v>
      </c>
      <c r="D41" s="88">
        <f t="shared" si="0"/>
        <v>-8.5800552883785377E-3</v>
      </c>
      <c r="E41" s="53"/>
    </row>
    <row r="42" spans="1:7" ht="15.75" customHeight="1" x14ac:dyDescent="0.3">
      <c r="C42" s="95">
        <v>1125.6400000000001</v>
      </c>
      <c r="D42" s="88">
        <f t="shared" si="0"/>
        <v>-3.6053404714293503E-3</v>
      </c>
      <c r="E42" s="53"/>
    </row>
    <row r="43" spans="1:7" ht="16.5" customHeight="1" x14ac:dyDescent="0.3">
      <c r="C43" s="96">
        <v>1129.05</v>
      </c>
      <c r="D43" s="89">
        <f t="shared" si="0"/>
        <v>-5.8687471950841577E-4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22594.26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1129.713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52">
        <f>C46</f>
        <v>1129.713</v>
      </c>
      <c r="C49" s="93">
        <f>-IF(C46&lt;=80,10%,IF(C46&lt;250,7.5%,5%))</f>
        <v>-0.05</v>
      </c>
      <c r="D49" s="81">
        <f>IF(C46&lt;=80,C46*0.9,IF(C46&lt;250,C46*0.925,C46*0.95))</f>
        <v>1073.2273499999999</v>
      </c>
    </row>
    <row r="50" spans="1:6" ht="17.25" customHeight="1" x14ac:dyDescent="0.3">
      <c r="B50" s="653"/>
      <c r="C50" s="94">
        <f>IF(C46&lt;=80, 10%, IF(C46&lt;250, 7.5%, 5%))</f>
        <v>0.05</v>
      </c>
      <c r="D50" s="81">
        <f>IF(C46&lt;=80, C46*1.1, IF(C46&lt;250, C46*1.075, C46*1.05))</f>
        <v>1186.19865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60" zoomScaleNormal="40" zoomScalePageLayoutView="50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44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45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98"/>
    </row>
    <row r="16" spans="1:9" ht="19.5" customHeight="1" x14ac:dyDescent="0.3">
      <c r="A16" s="661" t="s">
        <v>30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46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100" t="s">
        <v>32</v>
      </c>
      <c r="B18" s="660" t="s">
        <v>5</v>
      </c>
      <c r="C18" s="660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65" t="s">
        <v>124</v>
      </c>
      <c r="C20" s="665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65" t="s">
        <v>9</v>
      </c>
      <c r="C21" s="665"/>
      <c r="D21" s="665"/>
      <c r="E21" s="665"/>
      <c r="F21" s="665"/>
      <c r="G21" s="665"/>
      <c r="H21" s="665"/>
      <c r="I21" s="104"/>
    </row>
    <row r="22" spans="1:14" ht="26.25" customHeight="1" x14ac:dyDescent="0.4">
      <c r="A22" s="100" t="s">
        <v>36</v>
      </c>
      <c r="B22" s="105">
        <v>42482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471">
        <v>42485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60" t="s">
        <v>124</v>
      </c>
      <c r="C26" s="660"/>
    </row>
    <row r="27" spans="1:14" ht="26.25" customHeight="1" x14ac:dyDescent="0.4">
      <c r="A27" s="109" t="s">
        <v>47</v>
      </c>
      <c r="B27" s="666" t="s">
        <v>128</v>
      </c>
      <c r="C27" s="666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67" t="s">
        <v>49</v>
      </c>
      <c r="D29" s="668"/>
      <c r="E29" s="668"/>
      <c r="F29" s="668"/>
      <c r="G29" s="669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0" t="s">
        <v>52</v>
      </c>
      <c r="D31" s="671"/>
      <c r="E31" s="671"/>
      <c r="F31" s="671"/>
      <c r="G31" s="671"/>
      <c r="H31" s="672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0" t="s">
        <v>54</v>
      </c>
      <c r="D32" s="671"/>
      <c r="E32" s="671"/>
      <c r="F32" s="671"/>
      <c r="G32" s="671"/>
      <c r="H32" s="67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673" t="s">
        <v>58</v>
      </c>
      <c r="E36" s="674"/>
      <c r="F36" s="673" t="s">
        <v>59</v>
      </c>
      <c r="G36" s="6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145858260</v>
      </c>
      <c r="E38" s="133">
        <f>IF(ISBLANK(D38),"-",$D$48/$D$45*D38)</f>
        <v>142697807.97533664</v>
      </c>
      <c r="F38" s="132">
        <v>147220290</v>
      </c>
      <c r="G38" s="134">
        <f>IF(ISBLANK(F38),"-",$D$48/$F$45*F38)</f>
        <v>146856360.35818437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145903145</v>
      </c>
      <c r="E39" s="138">
        <f>IF(ISBLANK(D39),"-",$D$48/$D$45*D39)</f>
        <v>142741720.40861928</v>
      </c>
      <c r="F39" s="137">
        <v>147253233</v>
      </c>
      <c r="G39" s="139">
        <f>IF(ISBLANK(F39),"-",$D$48/$F$45*F39)</f>
        <v>146889221.9228456</v>
      </c>
      <c r="I39" s="677">
        <f>ABS((F43/D43*D42)-F42)/D42</f>
        <v>2.8623926862576251E-2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145849300</v>
      </c>
      <c r="E40" s="138">
        <f>IF(ISBLANK(D40),"-",$D$48/$D$45*D40)</f>
        <v>142689042.12032467</v>
      </c>
      <c r="F40" s="137">
        <v>147242144</v>
      </c>
      <c r="G40" s="139">
        <f>IF(ISBLANK(F40),"-",$D$48/$F$45*F40)</f>
        <v>146878160.33493534</v>
      </c>
      <c r="I40" s="677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145870235</v>
      </c>
      <c r="E42" s="148">
        <f>AVERAGE(E38:E41)</f>
        <v>142709523.50142688</v>
      </c>
      <c r="F42" s="147">
        <f>AVERAGE(F38:F41)</f>
        <v>147238555.66666666</v>
      </c>
      <c r="G42" s="149">
        <f>AVERAGE(G38:G41)</f>
        <v>146874580.87198842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15.07</v>
      </c>
      <c r="E43" s="140"/>
      <c r="F43" s="152">
        <v>14.78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15.07</v>
      </c>
      <c r="E44" s="155"/>
      <c r="F44" s="154">
        <f>F43*$B$34</f>
        <v>14.78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15.332218000000001</v>
      </c>
      <c r="E45" s="158"/>
      <c r="F45" s="157">
        <f>F44*$B$30/100</f>
        <v>15.037171999999998</v>
      </c>
      <c r="H45" s="150"/>
    </row>
    <row r="46" spans="1:14" ht="19.5" customHeight="1" x14ac:dyDescent="0.3">
      <c r="A46" s="678" t="s">
        <v>77</v>
      </c>
      <c r="B46" s="679"/>
      <c r="C46" s="153" t="s">
        <v>78</v>
      </c>
      <c r="D46" s="159">
        <f>D45/$B$45</f>
        <v>0.15332218</v>
      </c>
      <c r="E46" s="160"/>
      <c r="F46" s="161">
        <f>F45/$B$45</f>
        <v>0.15037171999999999</v>
      </c>
      <c r="H46" s="150"/>
    </row>
    <row r="47" spans="1:14" ht="27" customHeight="1" x14ac:dyDescent="0.4">
      <c r="A47" s="680"/>
      <c r="B47" s="681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144792052.18670765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1.5756322220977816E-2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87</v>
      </c>
      <c r="B57" s="268">
        <f>Uniformity!C46</f>
        <v>1129.713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682" t="s">
        <v>93</v>
      </c>
      <c r="D60" s="685">
        <v>1128.5</v>
      </c>
      <c r="E60" s="182">
        <v>1</v>
      </c>
      <c r="F60" s="183">
        <v>144505344</v>
      </c>
      <c r="G60" s="269">
        <f>IF(ISBLANK(F60),"-",(F60/$D$50*$D$47*$B$68)*($B$57/$D$60))</f>
        <v>149.86389182253743</v>
      </c>
      <c r="H60" s="184">
        <f t="shared" ref="H60:H71" si="0">IF(ISBLANK(F60),"-",G60/$B$56)</f>
        <v>0.99909261215024947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83"/>
      <c r="D61" s="686"/>
      <c r="E61" s="185">
        <v>2</v>
      </c>
      <c r="F61" s="137">
        <v>144377370</v>
      </c>
      <c r="G61" s="270">
        <f>IF(ISBLANK(F61),"-",(F61/$D$50*$D$47*$B$68)*($B$57/$D$60))</f>
        <v>149.73117229008818</v>
      </c>
      <c r="H61" s="186">
        <f t="shared" si="0"/>
        <v>0.99820781526725455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83"/>
      <c r="D62" s="686"/>
      <c r="E62" s="185">
        <v>3</v>
      </c>
      <c r="F62" s="187">
        <v>144562733</v>
      </c>
      <c r="G62" s="270">
        <f>IF(ISBLANK(F62),"-",(F62/$D$50*$D$47*$B$68)*($B$57/$D$60))</f>
        <v>149.92340892169611</v>
      </c>
      <c r="H62" s="186">
        <f t="shared" si="0"/>
        <v>0.99948939281130744</v>
      </c>
      <c r="L62" s="112"/>
    </row>
    <row r="63" spans="1:12" ht="27" customHeight="1" x14ac:dyDescent="0.4">
      <c r="A63" s="124" t="s">
        <v>96</v>
      </c>
      <c r="B63" s="125">
        <v>1</v>
      </c>
      <c r="C63" s="684"/>
      <c r="D63" s="68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82" t="s">
        <v>98</v>
      </c>
      <c r="D64" s="685">
        <v>1130.1500000000001</v>
      </c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99</v>
      </c>
      <c r="B65" s="125">
        <v>1</v>
      </c>
      <c r="C65" s="683"/>
      <c r="D65" s="686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100</v>
      </c>
      <c r="B66" s="125">
        <v>1</v>
      </c>
      <c r="C66" s="683"/>
      <c r="D66" s="686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101</v>
      </c>
      <c r="B67" s="125">
        <v>1</v>
      </c>
      <c r="C67" s="684"/>
      <c r="D67" s="68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682" t="s">
        <v>103</v>
      </c>
      <c r="D68" s="685">
        <v>1130.76</v>
      </c>
      <c r="E68" s="182">
        <v>1</v>
      </c>
      <c r="F68" s="183">
        <v>143944659</v>
      </c>
      <c r="G68" s="271">
        <f>IF(ISBLANK(F68),"-",(F68/$D$50*$D$47*$B$68)*($B$57/$D$68))</f>
        <v>148.98405133752462</v>
      </c>
      <c r="H68" s="186">
        <f t="shared" si="0"/>
        <v>0.9932270089168308</v>
      </c>
    </row>
    <row r="69" spans="1:8" ht="27" customHeight="1" x14ac:dyDescent="0.4">
      <c r="A69" s="172" t="s">
        <v>104</v>
      </c>
      <c r="B69" s="194">
        <f>(D47*B68)/B56*B57</f>
        <v>1129.713</v>
      </c>
      <c r="C69" s="683"/>
      <c r="D69" s="686"/>
      <c r="E69" s="185">
        <v>2</v>
      </c>
      <c r="F69" s="137">
        <v>144129810</v>
      </c>
      <c r="G69" s="272">
        <f>IF(ISBLANK(F69),"-",(F69/$D$50*$D$47*$B$68)*($B$57/$D$68))</f>
        <v>149.17568433232157</v>
      </c>
      <c r="H69" s="186">
        <f t="shared" si="0"/>
        <v>0.99450456221547712</v>
      </c>
    </row>
    <row r="70" spans="1:8" ht="26.25" customHeight="1" x14ac:dyDescent="0.4">
      <c r="A70" s="695" t="s">
        <v>77</v>
      </c>
      <c r="B70" s="696"/>
      <c r="C70" s="683"/>
      <c r="D70" s="686"/>
      <c r="E70" s="185">
        <v>3</v>
      </c>
      <c r="F70" s="137">
        <v>144218070</v>
      </c>
      <c r="G70" s="272">
        <f>IF(ISBLANK(F70),"-",(F70/$D$50*$D$47*$B$68)*($B$57/$D$68))</f>
        <v>149.26703424736809</v>
      </c>
      <c r="H70" s="186">
        <f t="shared" si="0"/>
        <v>0.99511356164912057</v>
      </c>
    </row>
    <row r="71" spans="1:8" ht="27" customHeight="1" x14ac:dyDescent="0.4">
      <c r="A71" s="697"/>
      <c r="B71" s="698"/>
      <c r="C71" s="694"/>
      <c r="D71" s="68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149.49087382525599</v>
      </c>
      <c r="H72" s="199">
        <f>AVERAGE(H60:H71)</f>
        <v>0.99660582550170673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2.6594605921847819E-3</v>
      </c>
      <c r="H73" s="274">
        <f>STDEV(H60:H71)/H72</f>
        <v>2.6594605921847867E-3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690" t="str">
        <f>B20</f>
        <v>Lamivudine</v>
      </c>
      <c r="D76" s="690"/>
      <c r="E76" s="205" t="s">
        <v>107</v>
      </c>
      <c r="F76" s="205"/>
      <c r="G76" s="206">
        <f>H72</f>
        <v>0.99660582550170673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76" t="str">
        <f>B26</f>
        <v>Lamivudine</v>
      </c>
      <c r="C79" s="676"/>
    </row>
    <row r="80" spans="1:8" ht="26.25" customHeight="1" x14ac:dyDescent="0.4">
      <c r="A80" s="109" t="s">
        <v>47</v>
      </c>
      <c r="B80" s="676" t="str">
        <f>B27</f>
        <v>L3-9</v>
      </c>
      <c r="C80" s="676"/>
    </row>
    <row r="81" spans="1:12" ht="27" customHeight="1" x14ac:dyDescent="0.4">
      <c r="A81" s="109" t="s">
        <v>6</v>
      </c>
      <c r="B81" s="208"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67" t="s">
        <v>49</v>
      </c>
      <c r="D82" s="668"/>
      <c r="E82" s="668"/>
      <c r="F82" s="668"/>
      <c r="G82" s="669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0" t="s">
        <v>110</v>
      </c>
      <c r="D84" s="671"/>
      <c r="E84" s="671"/>
      <c r="F84" s="671"/>
      <c r="G84" s="671"/>
      <c r="H84" s="672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0" t="s">
        <v>111</v>
      </c>
      <c r="D85" s="671"/>
      <c r="E85" s="671"/>
      <c r="F85" s="671"/>
      <c r="G85" s="671"/>
      <c r="H85" s="67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673" t="s">
        <v>59</v>
      </c>
      <c r="G89" s="675"/>
    </row>
    <row r="90" spans="1:12" ht="27" customHeight="1" x14ac:dyDescent="0.4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7">
        <f>ABS((F96/D96*D95)-F95)/D95</f>
        <v>1.8152556901570666E-2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7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78" t="s">
        <v>77</v>
      </c>
      <c r="B99" s="692"/>
      <c r="C99" s="222" t="s">
        <v>115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680"/>
      <c r="B100" s="693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41295497</v>
      </c>
      <c r="E108" s="275">
        <f t="shared" ref="E108:E113" si="1">IF(ISBLANK(D108),"-",D108/$D$103*$D$100*$B$116)</f>
        <v>144.41125661263015</v>
      </c>
      <c r="F108" s="245">
        <f t="shared" ref="F108:F113" si="2">IF(ISBLANK(D108), "-", E108/$B$56)</f>
        <v>0.96274171075086767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43343175</v>
      </c>
      <c r="E109" s="276">
        <f t="shared" si="1"/>
        <v>151.57203138470851</v>
      </c>
      <c r="F109" s="246">
        <f t="shared" si="2"/>
        <v>1.01048020923139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41609147</v>
      </c>
      <c r="E110" s="276">
        <f t="shared" si="1"/>
        <v>145.50809752573386</v>
      </c>
      <c r="F110" s="246">
        <f t="shared" si="2"/>
        <v>0.97005398350489236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42854497</v>
      </c>
      <c r="E111" s="276">
        <f t="shared" si="1"/>
        <v>149.86311372574568</v>
      </c>
      <c r="F111" s="246">
        <f t="shared" si="2"/>
        <v>0.99908742483830448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41312213</v>
      </c>
      <c r="E112" s="276">
        <f t="shared" si="1"/>
        <v>144.46971283039977</v>
      </c>
      <c r="F112" s="246">
        <f t="shared" si="2"/>
        <v>0.96313141886933185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41927682</v>
      </c>
      <c r="E113" s="277">
        <f t="shared" si="1"/>
        <v>146.62202139072826</v>
      </c>
      <c r="F113" s="249">
        <f t="shared" si="2"/>
        <v>0.97748014260485505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147.07437224499105</v>
      </c>
      <c r="F115" s="252">
        <f>AVERAGE(F108:F113)</f>
        <v>0.98049581496660687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2.029338595543315E-2</v>
      </c>
      <c r="F116" s="254">
        <f>STDEV(F108:F113)/F115</f>
        <v>2.0293385955433143E-2</v>
      </c>
      <c r="I116" s="98"/>
    </row>
    <row r="117" spans="1:10" ht="27" customHeight="1" x14ac:dyDescent="0.4">
      <c r="A117" s="678" t="s">
        <v>77</v>
      </c>
      <c r="B117" s="679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80"/>
      <c r="B118" s="68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90" t="str">
        <f>B20</f>
        <v>Lamivudine</v>
      </c>
      <c r="D120" s="690"/>
      <c r="E120" s="205" t="s">
        <v>123</v>
      </c>
      <c r="F120" s="205"/>
      <c r="G120" s="206">
        <f>F115</f>
        <v>0.98049581496660687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91" t="s">
        <v>25</v>
      </c>
      <c r="C122" s="691"/>
      <c r="E122" s="211" t="s">
        <v>26</v>
      </c>
      <c r="F122" s="260"/>
      <c r="G122" s="691" t="s">
        <v>27</v>
      </c>
      <c r="H122" s="691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50" workbookViewId="0">
      <selection activeCell="B61" sqref="B6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44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45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281"/>
    </row>
    <row r="16" spans="1:9" ht="19.5" customHeight="1" x14ac:dyDescent="0.3">
      <c r="A16" s="661" t="s">
        <v>30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46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283" t="s">
        <v>32</v>
      </c>
      <c r="B18" s="660" t="s">
        <v>5</v>
      </c>
      <c r="C18" s="660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65" t="s">
        <v>125</v>
      </c>
      <c r="C20" s="665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65" t="s">
        <v>9</v>
      </c>
      <c r="C21" s="665"/>
      <c r="D21" s="665"/>
      <c r="E21" s="665"/>
      <c r="F21" s="665"/>
      <c r="G21" s="665"/>
      <c r="H21" s="665"/>
      <c r="I21" s="287"/>
    </row>
    <row r="22" spans="1:14" ht="26.25" customHeight="1" x14ac:dyDescent="0.4">
      <c r="A22" s="283" t="s">
        <v>36</v>
      </c>
      <c r="B22" s="288">
        <v>42482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42485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60" t="s">
        <v>125</v>
      </c>
      <c r="C26" s="660"/>
    </row>
    <row r="27" spans="1:14" ht="26.25" customHeight="1" x14ac:dyDescent="0.4">
      <c r="A27" s="292" t="s">
        <v>47</v>
      </c>
      <c r="B27" s="666" t="s">
        <v>129</v>
      </c>
      <c r="C27" s="666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48</v>
      </c>
      <c r="B29" s="294">
        <v>0</v>
      </c>
      <c r="C29" s="667" t="s">
        <v>49</v>
      </c>
      <c r="D29" s="668"/>
      <c r="E29" s="668"/>
      <c r="F29" s="668"/>
      <c r="G29" s="669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670" t="s">
        <v>52</v>
      </c>
      <c r="D31" s="671"/>
      <c r="E31" s="671"/>
      <c r="F31" s="671"/>
      <c r="G31" s="671"/>
      <c r="H31" s="672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670" t="s">
        <v>54</v>
      </c>
      <c r="D32" s="671"/>
      <c r="E32" s="671"/>
      <c r="F32" s="671"/>
      <c r="G32" s="671"/>
      <c r="H32" s="672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673" t="s">
        <v>58</v>
      </c>
      <c r="E36" s="674"/>
      <c r="F36" s="673" t="s">
        <v>59</v>
      </c>
      <c r="G36" s="675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4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122873949</v>
      </c>
      <c r="E38" s="316">
        <f>IF(ISBLANK(D38),"-",$D$48/$D$45*D38)</f>
        <v>129766839.07454196</v>
      </c>
      <c r="F38" s="315">
        <v>133207118</v>
      </c>
      <c r="G38" s="317">
        <f>IF(ISBLANK(F38),"-",$D$48/$F$45*F38)</f>
        <v>134281944.25228128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122920685</v>
      </c>
      <c r="E39" s="321">
        <f>IF(ISBLANK(D39),"-",$D$48/$D$45*D39)</f>
        <v>129816196.83540457</v>
      </c>
      <c r="F39" s="320">
        <v>133257341</v>
      </c>
      <c r="G39" s="322">
        <f>IF(ISBLANK(F39),"-",$D$48/$F$45*F39)</f>
        <v>134332572.4933801</v>
      </c>
      <c r="I39" s="677">
        <f>ABS((F43/D43*D42)-F42)/D42</f>
        <v>3.6511660019544839E-2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122922844</v>
      </c>
      <c r="E40" s="321">
        <f>IF(ISBLANK(D40),"-",$D$48/$D$45*D40)</f>
        <v>129818476.94935746</v>
      </c>
      <c r="F40" s="320">
        <v>133282674</v>
      </c>
      <c r="G40" s="322">
        <f>IF(ISBLANK(F40),"-",$D$48/$F$45*F40)</f>
        <v>134358109.90117645</v>
      </c>
      <c r="I40" s="677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122905826</v>
      </c>
      <c r="E42" s="331">
        <f>AVERAGE(E38:E41)</f>
        <v>129800504.28643467</v>
      </c>
      <c r="F42" s="330">
        <f>AVERAGE(F38:F41)</f>
        <v>133249044.33333333</v>
      </c>
      <c r="G42" s="332">
        <f>AVERAGE(G38:G41)</f>
        <v>134324208.88227928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19.100000000000001</v>
      </c>
      <c r="E43" s="323"/>
      <c r="F43" s="335">
        <v>20.010000000000002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19.100000000000001</v>
      </c>
      <c r="E44" s="338"/>
      <c r="F44" s="337">
        <f>F43*$B$34</f>
        <v>20.010000000000002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18.937650000000005</v>
      </c>
      <c r="E45" s="341"/>
      <c r="F45" s="340">
        <f>F44*$B$30/100</f>
        <v>19.839915000000005</v>
      </c>
      <c r="H45" s="333"/>
    </row>
    <row r="46" spans="1:14" ht="19.5" customHeight="1" x14ac:dyDescent="0.3">
      <c r="A46" s="678" t="s">
        <v>77</v>
      </c>
      <c r="B46" s="679"/>
      <c r="C46" s="336" t="s">
        <v>78</v>
      </c>
      <c r="D46" s="342">
        <f>D45/$B$45</f>
        <v>0.18937650000000006</v>
      </c>
      <c r="E46" s="343"/>
      <c r="F46" s="344">
        <f>F45/$B$45</f>
        <v>0.19839915000000005</v>
      </c>
      <c r="H46" s="333"/>
    </row>
    <row r="47" spans="1:14" ht="27" customHeight="1" x14ac:dyDescent="0.4">
      <c r="A47" s="680"/>
      <c r="B47" s="681"/>
      <c r="C47" s="345" t="s">
        <v>79</v>
      </c>
      <c r="D47" s="346">
        <v>0.2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132062356.58435696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1.8763295806797524E-2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86</v>
      </c>
      <c r="B56" s="361">
        <v>200</v>
      </c>
      <c r="C56" s="282" t="str">
        <f>B20</f>
        <v>Nevirapine</v>
      </c>
      <c r="H56" s="362"/>
    </row>
    <row r="57" spans="1:12" ht="18.75" x14ac:dyDescent="0.3">
      <c r="A57" s="359" t="s">
        <v>87</v>
      </c>
      <c r="B57" s="451">
        <f>Uniformity!C46</f>
        <v>1129.713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5</v>
      </c>
      <c r="C60" s="682" t="s">
        <v>93</v>
      </c>
      <c r="D60" s="685">
        <v>1128.5</v>
      </c>
      <c r="E60" s="365">
        <v>1</v>
      </c>
      <c r="F60" s="366">
        <v>129093974</v>
      </c>
      <c r="G60" s="452">
        <f>IF(ISBLANK(F60),"-",(F60/$D$50*$D$47*$B$68)*($B$57/$D$60))</f>
        <v>195.71471785797408</v>
      </c>
      <c r="H60" s="367">
        <f t="shared" ref="H60:H71" si="0">IF(ISBLANK(F60),"-",G60/$B$56)</f>
        <v>0.97857358928987037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683"/>
      <c r="D61" s="686"/>
      <c r="E61" s="368">
        <v>2</v>
      </c>
      <c r="F61" s="320">
        <v>128953601</v>
      </c>
      <c r="G61" s="453">
        <f>IF(ISBLANK(F61),"-",(F61/$D$50*$D$47*$B$68)*($B$57/$D$60))</f>
        <v>195.50190341560611</v>
      </c>
      <c r="H61" s="369">
        <f t="shared" si="0"/>
        <v>0.97750951707803058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683"/>
      <c r="D62" s="686"/>
      <c r="E62" s="368">
        <v>3</v>
      </c>
      <c r="F62" s="370">
        <v>129023559</v>
      </c>
      <c r="G62" s="453">
        <f>IF(ISBLANK(F62),"-",(F62/$D$50*$D$47*$B$68)*($B$57/$D$60))</f>
        <v>195.60796421618159</v>
      </c>
      <c r="H62" s="369">
        <f t="shared" si="0"/>
        <v>0.97803982108090792</v>
      </c>
      <c r="L62" s="295"/>
    </row>
    <row r="63" spans="1:12" ht="27" customHeight="1" x14ac:dyDescent="0.4">
      <c r="A63" s="307" t="s">
        <v>96</v>
      </c>
      <c r="B63" s="308">
        <v>1</v>
      </c>
      <c r="C63" s="684"/>
      <c r="D63" s="687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682" t="s">
        <v>98</v>
      </c>
      <c r="D64" s="685">
        <v>1130.1500000000001</v>
      </c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x14ac:dyDescent="0.4">
      <c r="A65" s="307" t="s">
        <v>99</v>
      </c>
      <c r="B65" s="308">
        <v>1</v>
      </c>
      <c r="C65" s="683"/>
      <c r="D65" s="686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100</v>
      </c>
      <c r="B66" s="308">
        <v>1</v>
      </c>
      <c r="C66" s="683"/>
      <c r="D66" s="686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">
      <c r="A67" s="307" t="s">
        <v>101</v>
      </c>
      <c r="B67" s="308">
        <v>1</v>
      </c>
      <c r="C67" s="684"/>
      <c r="D67" s="687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1000</v>
      </c>
      <c r="C68" s="682" t="s">
        <v>103</v>
      </c>
      <c r="D68" s="685">
        <v>1130.76</v>
      </c>
      <c r="E68" s="365">
        <v>1</v>
      </c>
      <c r="F68" s="366">
        <v>128485343</v>
      </c>
      <c r="G68" s="454">
        <f>IF(ISBLANK(F68),"-",(F68/$D$50*$D$47*$B$68)*($B$57/$D$68))</f>
        <v>194.40267220707773</v>
      </c>
      <c r="H68" s="369">
        <f t="shared" si="0"/>
        <v>0.9720133610353886</v>
      </c>
    </row>
    <row r="69" spans="1:8" ht="27" customHeight="1" x14ac:dyDescent="0.4">
      <c r="A69" s="355" t="s">
        <v>104</v>
      </c>
      <c r="B69" s="377">
        <f>(D47*B68)/B56*B57</f>
        <v>1129.713</v>
      </c>
      <c r="C69" s="683"/>
      <c r="D69" s="686"/>
      <c r="E69" s="368">
        <v>2</v>
      </c>
      <c r="F69" s="320">
        <v>128576023</v>
      </c>
      <c r="G69" s="455">
        <f>IF(ISBLANK(F69),"-",(F69/$D$50*$D$47*$B$68)*($B$57/$D$68))</f>
        <v>194.53987411590356</v>
      </c>
      <c r="H69" s="369">
        <f t="shared" si="0"/>
        <v>0.97269937057951783</v>
      </c>
    </row>
    <row r="70" spans="1:8" ht="26.25" customHeight="1" x14ac:dyDescent="0.4">
      <c r="A70" s="695" t="s">
        <v>77</v>
      </c>
      <c r="B70" s="696"/>
      <c r="C70" s="683"/>
      <c r="D70" s="686"/>
      <c r="E70" s="368">
        <v>3</v>
      </c>
      <c r="F70" s="320">
        <v>128564732</v>
      </c>
      <c r="G70" s="455">
        <f>IF(ISBLANK(F70),"-",(F70/$D$50*$D$47*$B$68)*($B$57/$D$68))</f>
        <v>194.52279045078939</v>
      </c>
      <c r="H70" s="369">
        <f t="shared" si="0"/>
        <v>0.97261395225394698</v>
      </c>
    </row>
    <row r="71" spans="1:8" ht="27" customHeight="1" x14ac:dyDescent="0.4">
      <c r="A71" s="697"/>
      <c r="B71" s="698"/>
      <c r="C71" s="694"/>
      <c r="D71" s="687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195.04832037725544</v>
      </c>
      <c r="H72" s="382">
        <f>AVERAGE(H60:H71)</f>
        <v>0.97524160188627695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3.172562153923069E-3</v>
      </c>
      <c r="H73" s="457">
        <f>STDEV(H60:H71)/H72</f>
        <v>3.1725621539230625E-3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105</v>
      </c>
      <c r="B76" s="387" t="s">
        <v>106</v>
      </c>
      <c r="C76" s="690" t="str">
        <f>B20</f>
        <v>Nevirapine</v>
      </c>
      <c r="D76" s="690"/>
      <c r="E76" s="388" t="s">
        <v>107</v>
      </c>
      <c r="F76" s="388"/>
      <c r="G76" s="389">
        <f>H72</f>
        <v>0.97524160188627695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76" t="str">
        <f>B26</f>
        <v>Nevirapine</v>
      </c>
      <c r="C79" s="676"/>
    </row>
    <row r="80" spans="1:8" ht="26.25" customHeight="1" x14ac:dyDescent="0.4">
      <c r="A80" s="292" t="s">
        <v>47</v>
      </c>
      <c r="B80" s="676" t="str">
        <f>B27</f>
        <v>N1-3</v>
      </c>
      <c r="C80" s="676"/>
    </row>
    <row r="81" spans="1:12" ht="27" customHeight="1" x14ac:dyDescent="0.4">
      <c r="A81" s="292" t="s">
        <v>6</v>
      </c>
      <c r="B81" s="391">
        <v>99.15</v>
      </c>
    </row>
    <row r="82" spans="1:12" s="14" customFormat="1" ht="27" customHeight="1" x14ac:dyDescent="0.4">
      <c r="A82" s="292" t="s">
        <v>48</v>
      </c>
      <c r="B82" s="294">
        <v>0</v>
      </c>
      <c r="C82" s="667" t="s">
        <v>49</v>
      </c>
      <c r="D82" s="668"/>
      <c r="E82" s="668"/>
      <c r="F82" s="668"/>
      <c r="G82" s="669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670" t="s">
        <v>110</v>
      </c>
      <c r="D84" s="671"/>
      <c r="E84" s="671"/>
      <c r="F84" s="671"/>
      <c r="G84" s="671"/>
      <c r="H84" s="672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670" t="s">
        <v>111</v>
      </c>
      <c r="D85" s="671"/>
      <c r="E85" s="671"/>
      <c r="F85" s="671"/>
      <c r="G85" s="671"/>
      <c r="H85" s="672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673" t="s">
        <v>59</v>
      </c>
      <c r="G89" s="675"/>
    </row>
    <row r="90" spans="1:12" ht="27" customHeight="1" x14ac:dyDescent="0.4">
      <c r="A90" s="307" t="s">
        <v>60</v>
      </c>
      <c r="B90" s="308">
        <v>4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37056746</v>
      </c>
      <c r="E91" s="316">
        <f>IF(ISBLANK(D91),"-",$D$101/$D$98*D91)</f>
        <v>38629900.406686813</v>
      </c>
      <c r="F91" s="315">
        <v>32283329</v>
      </c>
      <c r="G91" s="317">
        <f>IF(ISBLANK(F91),"-",$D$101/$F$98*F91)</f>
        <v>37982023.637194954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36916006</v>
      </c>
      <c r="E92" s="321">
        <f>IF(ISBLANK(D92),"-",$D$101/$D$98*D92)</f>
        <v>38483185.630833663</v>
      </c>
      <c r="F92" s="320">
        <v>32473128</v>
      </c>
      <c r="G92" s="322">
        <f>IF(ISBLANK(F92),"-",$D$101/$F$98*F92)</f>
        <v>38205326.200084798</v>
      </c>
      <c r="I92" s="677">
        <f>ABS((F96/D96*D95)-F95)/D95</f>
        <v>1.1670531729992464E-2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37206559</v>
      </c>
      <c r="E93" s="321">
        <f>IF(ISBLANK(D93),"-",$D$101/$D$98*D93)</f>
        <v>38786073.354781799</v>
      </c>
      <c r="F93" s="320">
        <v>32456062</v>
      </c>
      <c r="G93" s="322">
        <f>IF(ISBLANK(F93),"-",$D$101/$F$98*F93)</f>
        <v>38185247.687878318</v>
      </c>
      <c r="I93" s="677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37059770.333333336</v>
      </c>
      <c r="E95" s="331">
        <f>AVERAGE(E91:E94)</f>
        <v>38633053.130767427</v>
      </c>
      <c r="F95" s="401">
        <f>AVERAGE(F91:F94)</f>
        <v>32404173</v>
      </c>
      <c r="G95" s="402">
        <f>AVERAGE(G91:G94)</f>
        <v>38124199.175052695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21.5</v>
      </c>
      <c r="E96" s="323"/>
      <c r="F96" s="335">
        <v>19.05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21.5</v>
      </c>
      <c r="E97" s="338"/>
      <c r="F97" s="337">
        <f>F96*$B$87</f>
        <v>19.05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21.317249999999998</v>
      </c>
      <c r="E98" s="341"/>
      <c r="F98" s="340">
        <f>F97*$B$83/100</f>
        <v>18.888075000000001</v>
      </c>
    </row>
    <row r="99" spans="1:10" ht="19.5" customHeight="1" x14ac:dyDescent="0.3">
      <c r="A99" s="678" t="s">
        <v>77</v>
      </c>
      <c r="B99" s="692"/>
      <c r="C99" s="405" t="s">
        <v>115</v>
      </c>
      <c r="D99" s="409">
        <f>D98/$B$98</f>
        <v>0.21317249999999999</v>
      </c>
      <c r="E99" s="341"/>
      <c r="F99" s="344">
        <f>F98/$B$98</f>
        <v>0.18888075000000001</v>
      </c>
      <c r="G99" s="410"/>
      <c r="H99" s="333"/>
    </row>
    <row r="100" spans="1:10" ht="19.5" customHeight="1" x14ac:dyDescent="0.3">
      <c r="A100" s="680"/>
      <c r="B100" s="693"/>
      <c r="C100" s="405" t="s">
        <v>79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38378626.152910061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7.9444088154699537E-3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36086743</v>
      </c>
      <c r="E108" s="458">
        <f t="shared" ref="E108:E113" si="1">IF(ISBLANK(D108),"-",D108/$D$103*$D$100*$B$116)</f>
        <v>188.05646067798975</v>
      </c>
      <c r="F108" s="428">
        <f t="shared" ref="F108:F113" si="2">IF(ISBLANK(D108), "-", E108/$B$56)</f>
        <v>0.94028230338994878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37760902</v>
      </c>
      <c r="E109" s="459">
        <f t="shared" si="1"/>
        <v>196.78089491557671</v>
      </c>
      <c r="F109" s="429">
        <f t="shared" si="2"/>
        <v>0.98390447457788355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36313391</v>
      </c>
      <c r="E110" s="459">
        <f t="shared" si="1"/>
        <v>189.2375764328736</v>
      </c>
      <c r="F110" s="429">
        <f t="shared" si="2"/>
        <v>0.946187882164368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37377321</v>
      </c>
      <c r="E111" s="459">
        <f t="shared" si="1"/>
        <v>194.78196458142816</v>
      </c>
      <c r="F111" s="429">
        <f t="shared" si="2"/>
        <v>0.97390982290714079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36028469</v>
      </c>
      <c r="E112" s="459">
        <f t="shared" si="1"/>
        <v>187.75278123012299</v>
      </c>
      <c r="F112" s="429">
        <f t="shared" si="2"/>
        <v>0.938763906150615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36514181</v>
      </c>
      <c r="E113" s="460">
        <f t="shared" si="1"/>
        <v>190.28394009998354</v>
      </c>
      <c r="F113" s="432">
        <f t="shared" si="2"/>
        <v>0.95141970049991764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191.14893632299581</v>
      </c>
      <c r="F115" s="435">
        <f>AVERAGE(F108:F113)</f>
        <v>0.95574468161497883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1.9632733331951441E-2</v>
      </c>
      <c r="F116" s="437">
        <f>STDEV(F108:F113)/F115</f>
        <v>1.9632733331951435E-2</v>
      </c>
      <c r="I116" s="281"/>
    </row>
    <row r="117" spans="1:10" ht="27" customHeight="1" x14ac:dyDescent="0.4">
      <c r="A117" s="678" t="s">
        <v>77</v>
      </c>
      <c r="B117" s="679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80"/>
      <c r="B118" s="681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690" t="str">
        <f>B20</f>
        <v>Nevirapine</v>
      </c>
      <c r="D120" s="690"/>
      <c r="E120" s="388" t="s">
        <v>123</v>
      </c>
      <c r="F120" s="388"/>
      <c r="G120" s="389">
        <f>F115</f>
        <v>0.95574468161497883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91" t="s">
        <v>25</v>
      </c>
      <c r="C122" s="691"/>
      <c r="E122" s="394" t="s">
        <v>26</v>
      </c>
      <c r="F122" s="443"/>
      <c r="G122" s="691" t="s">
        <v>27</v>
      </c>
      <c r="H122" s="691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5" zoomScale="60" zoomScaleNormal="40" zoomScalePageLayoutView="50" workbookViewId="0">
      <selection activeCell="E73" sqref="E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44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45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464"/>
    </row>
    <row r="16" spans="1:9" ht="19.5" customHeight="1" x14ac:dyDescent="0.3">
      <c r="A16" s="661" t="s">
        <v>30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46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466" t="s">
        <v>32</v>
      </c>
      <c r="B18" s="660" t="s">
        <v>5</v>
      </c>
      <c r="C18" s="660"/>
      <c r="D18" s="633"/>
      <c r="E18" s="467"/>
      <c r="F18" s="468"/>
      <c r="G18" s="468"/>
      <c r="H18" s="468"/>
    </row>
    <row r="19" spans="1:14" ht="26.25" customHeight="1" x14ac:dyDescent="0.4">
      <c r="A19" s="466" t="s">
        <v>33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34</v>
      </c>
      <c r="B20" s="665" t="s">
        <v>126</v>
      </c>
      <c r="C20" s="665"/>
      <c r="D20" s="468"/>
      <c r="E20" s="468"/>
      <c r="F20" s="468"/>
      <c r="G20" s="468"/>
      <c r="H20" s="468"/>
    </row>
    <row r="21" spans="1:14" ht="26.25" customHeight="1" x14ac:dyDescent="0.4">
      <c r="A21" s="466" t="s">
        <v>35</v>
      </c>
      <c r="B21" s="665" t="s">
        <v>9</v>
      </c>
      <c r="C21" s="665"/>
      <c r="D21" s="665"/>
      <c r="E21" s="665"/>
      <c r="F21" s="665"/>
      <c r="G21" s="665"/>
      <c r="H21" s="665"/>
      <c r="I21" s="470"/>
    </row>
    <row r="22" spans="1:14" ht="26.25" customHeight="1" x14ac:dyDescent="0.4">
      <c r="A22" s="466" t="s">
        <v>36</v>
      </c>
      <c r="B22" s="471">
        <v>42482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37</v>
      </c>
      <c r="B23" s="471">
        <v>42485</v>
      </c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60" t="s">
        <v>126</v>
      </c>
      <c r="C26" s="660"/>
    </row>
    <row r="27" spans="1:14" ht="26.25" customHeight="1" x14ac:dyDescent="0.4">
      <c r="A27" s="475" t="s">
        <v>47</v>
      </c>
      <c r="B27" s="666" t="s">
        <v>130</v>
      </c>
      <c r="C27" s="666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48</v>
      </c>
      <c r="B29" s="477">
        <v>0</v>
      </c>
      <c r="C29" s="667" t="s">
        <v>49</v>
      </c>
      <c r="D29" s="668"/>
      <c r="E29" s="668"/>
      <c r="F29" s="668"/>
      <c r="G29" s="669"/>
      <c r="I29" s="478"/>
      <c r="J29" s="478"/>
      <c r="K29" s="478"/>
      <c r="L29" s="478"/>
    </row>
    <row r="30" spans="1:14" s="14" customFormat="1" ht="19.5" customHeight="1" x14ac:dyDescent="0.3">
      <c r="A30" s="475" t="s">
        <v>50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51</v>
      </c>
      <c r="B31" s="482">
        <v>1</v>
      </c>
      <c r="C31" s="670" t="s">
        <v>52</v>
      </c>
      <c r="D31" s="671"/>
      <c r="E31" s="671"/>
      <c r="F31" s="671"/>
      <c r="G31" s="671"/>
      <c r="H31" s="672"/>
      <c r="I31" s="478"/>
      <c r="J31" s="478"/>
      <c r="K31" s="478"/>
      <c r="L31" s="478"/>
    </row>
    <row r="32" spans="1:14" s="14" customFormat="1" ht="27" customHeight="1" x14ac:dyDescent="0.4">
      <c r="A32" s="475" t="s">
        <v>53</v>
      </c>
      <c r="B32" s="482">
        <v>1</v>
      </c>
      <c r="C32" s="670" t="s">
        <v>54</v>
      </c>
      <c r="D32" s="671"/>
      <c r="E32" s="671"/>
      <c r="F32" s="671"/>
      <c r="G32" s="671"/>
      <c r="H32" s="672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55</v>
      </c>
      <c r="B34" s="487">
        <f>B31/B32</f>
        <v>1</v>
      </c>
      <c r="C34" s="465" t="s">
        <v>56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57</v>
      </c>
      <c r="B36" s="489">
        <v>20</v>
      </c>
      <c r="C36" s="465"/>
      <c r="D36" s="673" t="s">
        <v>58</v>
      </c>
      <c r="E36" s="674"/>
      <c r="F36" s="673" t="s">
        <v>59</v>
      </c>
      <c r="G36" s="675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60</v>
      </c>
      <c r="B37" s="491">
        <v>4</v>
      </c>
      <c r="C37" s="492" t="s">
        <v>61</v>
      </c>
      <c r="D37" s="493" t="s">
        <v>62</v>
      </c>
      <c r="E37" s="494" t="s">
        <v>63</v>
      </c>
      <c r="F37" s="493" t="s">
        <v>62</v>
      </c>
      <c r="G37" s="495" t="s">
        <v>63</v>
      </c>
      <c r="I37" s="496" t="s">
        <v>64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65</v>
      </c>
      <c r="B38" s="491">
        <v>20</v>
      </c>
      <c r="C38" s="497">
        <v>1</v>
      </c>
      <c r="D38" s="498">
        <v>251366363</v>
      </c>
      <c r="E38" s="499">
        <f>IF(ISBLANK(D38),"-",$D$48/$D$45*D38)</f>
        <v>256647833.2103582</v>
      </c>
      <c r="F38" s="498">
        <v>295841825</v>
      </c>
      <c r="G38" s="500">
        <f>IF(ISBLANK(F38),"-",$D$48/$F$45*F38)</f>
        <v>262999343.63174626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66</v>
      </c>
      <c r="B39" s="491">
        <v>1</v>
      </c>
      <c r="C39" s="502">
        <v>2</v>
      </c>
      <c r="D39" s="503">
        <v>251430081</v>
      </c>
      <c r="E39" s="504">
        <f>IF(ISBLANK(D39),"-",$D$48/$D$45*D39)</f>
        <v>256712889.99218586</v>
      </c>
      <c r="F39" s="503">
        <v>295918275</v>
      </c>
      <c r="G39" s="505">
        <f>IF(ISBLANK(F39),"-",$D$48/$F$45*F39)</f>
        <v>263067306.63806102</v>
      </c>
      <c r="I39" s="677">
        <f>ABS((F43/D43*D42)-F42)/D42</f>
        <v>2.8483796933965373E-2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67</v>
      </c>
      <c r="B40" s="491">
        <v>1</v>
      </c>
      <c r="C40" s="502">
        <v>3</v>
      </c>
      <c r="D40" s="503">
        <v>251335156</v>
      </c>
      <c r="E40" s="504">
        <f>IF(ISBLANK(D40),"-",$D$48/$D$45*D40)</f>
        <v>256615970.51864639</v>
      </c>
      <c r="F40" s="503">
        <v>295849248</v>
      </c>
      <c r="G40" s="505">
        <f>IF(ISBLANK(F40),"-",$D$48/$F$45*F40)</f>
        <v>263005942.57740846</v>
      </c>
      <c r="I40" s="677"/>
      <c r="L40" s="483"/>
      <c r="M40" s="483"/>
      <c r="N40" s="506"/>
    </row>
    <row r="41" spans="1:14" ht="27" customHeight="1" x14ac:dyDescent="0.4">
      <c r="A41" s="490" t="s">
        <v>68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69</v>
      </c>
      <c r="B42" s="491">
        <v>1</v>
      </c>
      <c r="C42" s="512" t="s">
        <v>70</v>
      </c>
      <c r="D42" s="513">
        <f>AVERAGE(D38:D41)</f>
        <v>251377200</v>
      </c>
      <c r="E42" s="514">
        <f>AVERAGE(E38:E41)</f>
        <v>256658897.90706348</v>
      </c>
      <c r="F42" s="513">
        <f>AVERAGE(F38:F41)</f>
        <v>295869782.66666669</v>
      </c>
      <c r="G42" s="515">
        <f>AVERAGE(G38:G41)</f>
        <v>263024197.6157386</v>
      </c>
      <c r="H42" s="516"/>
    </row>
    <row r="43" spans="1:14" ht="26.25" customHeight="1" x14ac:dyDescent="0.4">
      <c r="A43" s="490" t="s">
        <v>71</v>
      </c>
      <c r="B43" s="491">
        <v>1</v>
      </c>
      <c r="C43" s="517" t="s">
        <v>72</v>
      </c>
      <c r="D43" s="518">
        <v>29.56</v>
      </c>
      <c r="E43" s="506"/>
      <c r="F43" s="518">
        <v>33.950000000000003</v>
      </c>
      <c r="H43" s="516"/>
    </row>
    <row r="44" spans="1:14" ht="26.25" customHeight="1" x14ac:dyDescent="0.4">
      <c r="A44" s="490" t="s">
        <v>73</v>
      </c>
      <c r="B44" s="491">
        <v>1</v>
      </c>
      <c r="C44" s="519" t="s">
        <v>74</v>
      </c>
      <c r="D44" s="520">
        <f>D43*$B$34</f>
        <v>29.56</v>
      </c>
      <c r="E44" s="521"/>
      <c r="F44" s="520">
        <f>F43*$B$34</f>
        <v>33.950000000000003</v>
      </c>
      <c r="H44" s="516"/>
    </row>
    <row r="45" spans="1:14" ht="19.5" customHeight="1" x14ac:dyDescent="0.3">
      <c r="A45" s="490" t="s">
        <v>75</v>
      </c>
      <c r="B45" s="522">
        <f>(B44/B43)*(B42/B41)*(B40/B39)*(B38/B37)*B36</f>
        <v>100</v>
      </c>
      <c r="C45" s="519" t="s">
        <v>76</v>
      </c>
      <c r="D45" s="523">
        <f>D44*$B$30/100</f>
        <v>29.382640000000002</v>
      </c>
      <c r="E45" s="524"/>
      <c r="F45" s="523">
        <f>F44*$B$30/100</f>
        <v>33.746300000000005</v>
      </c>
      <c r="H45" s="516"/>
    </row>
    <row r="46" spans="1:14" ht="19.5" customHeight="1" x14ac:dyDescent="0.3">
      <c r="A46" s="678" t="s">
        <v>77</v>
      </c>
      <c r="B46" s="679"/>
      <c r="C46" s="519" t="s">
        <v>78</v>
      </c>
      <c r="D46" s="525">
        <f>D45/$B$45</f>
        <v>0.29382640000000004</v>
      </c>
      <c r="E46" s="526"/>
      <c r="F46" s="527">
        <f>F45/$B$45</f>
        <v>0.33746300000000007</v>
      </c>
      <c r="H46" s="516"/>
    </row>
    <row r="47" spans="1:14" ht="27" customHeight="1" x14ac:dyDescent="0.4">
      <c r="A47" s="680"/>
      <c r="B47" s="681"/>
      <c r="C47" s="528" t="s">
        <v>79</v>
      </c>
      <c r="D47" s="529">
        <v>0.3</v>
      </c>
      <c r="E47" s="530"/>
      <c r="F47" s="526"/>
      <c r="H47" s="516"/>
    </row>
    <row r="48" spans="1:14" ht="18.75" x14ac:dyDescent="0.3">
      <c r="C48" s="531" t="s">
        <v>80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81</v>
      </c>
      <c r="D49" s="534">
        <f>D48/B34</f>
        <v>30</v>
      </c>
      <c r="F49" s="532"/>
      <c r="H49" s="516"/>
    </row>
    <row r="50" spans="1:12" ht="18.75" x14ac:dyDescent="0.3">
      <c r="C50" s="488" t="s">
        <v>82</v>
      </c>
      <c r="D50" s="535">
        <f>AVERAGE(E38:E41,G38:G41)</f>
        <v>259841547.76140106</v>
      </c>
      <c r="F50" s="536"/>
      <c r="H50" s="516"/>
    </row>
    <row r="51" spans="1:12" ht="18.75" x14ac:dyDescent="0.3">
      <c r="C51" s="490" t="s">
        <v>83</v>
      </c>
      <c r="D51" s="537">
        <f>STDEV(E38:E41,G38:G41)/D50</f>
        <v>1.341832674585852E-2</v>
      </c>
      <c r="F51" s="536"/>
      <c r="H51" s="516"/>
    </row>
    <row r="52" spans="1:12" ht="19.5" customHeight="1" x14ac:dyDescent="0.3">
      <c r="C52" s="538" t="s">
        <v>19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84</v>
      </c>
    </row>
    <row r="55" spans="1:12" ht="18.75" x14ac:dyDescent="0.3">
      <c r="A55" s="465" t="s">
        <v>85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86</v>
      </c>
      <c r="B56" s="544">
        <v>300</v>
      </c>
      <c r="C56" s="465" t="str">
        <f>B20</f>
        <v>Zidovudine</v>
      </c>
      <c r="H56" s="545"/>
    </row>
    <row r="57" spans="1:12" ht="18.75" x14ac:dyDescent="0.3">
      <c r="A57" s="542" t="s">
        <v>87</v>
      </c>
      <c r="B57" s="634">
        <f>Uniformity!C46</f>
        <v>1129.713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88</v>
      </c>
      <c r="B59" s="489">
        <v>100</v>
      </c>
      <c r="C59" s="465"/>
      <c r="D59" s="546" t="s">
        <v>89</v>
      </c>
      <c r="E59" s="547" t="s">
        <v>61</v>
      </c>
      <c r="F59" s="547" t="s">
        <v>62</v>
      </c>
      <c r="G59" s="547" t="s">
        <v>90</v>
      </c>
      <c r="H59" s="492" t="s">
        <v>91</v>
      </c>
      <c r="L59" s="478"/>
    </row>
    <row r="60" spans="1:12" s="14" customFormat="1" ht="26.25" customHeight="1" x14ac:dyDescent="0.4">
      <c r="A60" s="490" t="s">
        <v>92</v>
      </c>
      <c r="B60" s="491">
        <v>5</v>
      </c>
      <c r="C60" s="682" t="s">
        <v>93</v>
      </c>
      <c r="D60" s="685">
        <v>1128.5</v>
      </c>
      <c r="E60" s="548">
        <v>1</v>
      </c>
      <c r="F60" s="549">
        <v>258391623</v>
      </c>
      <c r="G60" s="635">
        <f>IF(ISBLANK(F60),"-",(F60/$D$50*$D$47*$B$68)*($B$57/$D$60))</f>
        <v>298.64665378571073</v>
      </c>
      <c r="H60" s="550">
        <f t="shared" ref="H60:H71" si="0">IF(ISBLANK(F60),"-",G60/$B$56)</f>
        <v>0.99548884595236908</v>
      </c>
      <c r="L60" s="478"/>
    </row>
    <row r="61" spans="1:12" s="14" customFormat="1" ht="26.25" customHeight="1" x14ac:dyDescent="0.4">
      <c r="A61" s="490" t="s">
        <v>94</v>
      </c>
      <c r="B61" s="491">
        <v>50</v>
      </c>
      <c r="C61" s="683"/>
      <c r="D61" s="686"/>
      <c r="E61" s="551">
        <v>2</v>
      </c>
      <c r="F61" s="503">
        <v>258299469</v>
      </c>
      <c r="G61" s="636">
        <f>IF(ISBLANK(F61),"-",(F61/$D$50*$D$47*$B$68)*($B$57/$D$60))</f>
        <v>298.54014304277933</v>
      </c>
      <c r="H61" s="552">
        <f t="shared" si="0"/>
        <v>0.99513381014259783</v>
      </c>
      <c r="L61" s="478"/>
    </row>
    <row r="62" spans="1:12" s="14" customFormat="1" ht="26.25" customHeight="1" x14ac:dyDescent="0.4">
      <c r="A62" s="490" t="s">
        <v>95</v>
      </c>
      <c r="B62" s="491">
        <v>1</v>
      </c>
      <c r="C62" s="683"/>
      <c r="D62" s="686"/>
      <c r="E62" s="551">
        <v>3</v>
      </c>
      <c r="F62" s="553">
        <v>258537337</v>
      </c>
      <c r="G62" s="636">
        <f>IF(ISBLANK(F62),"-",(F62/$D$50*$D$47*$B$68)*($B$57/$D$60))</f>
        <v>298.81506868246498</v>
      </c>
      <c r="H62" s="552">
        <f t="shared" si="0"/>
        <v>0.99605022894154993</v>
      </c>
      <c r="L62" s="478"/>
    </row>
    <row r="63" spans="1:12" ht="27" customHeight="1" x14ac:dyDescent="0.4">
      <c r="A63" s="490" t="s">
        <v>96</v>
      </c>
      <c r="B63" s="491">
        <v>1</v>
      </c>
      <c r="C63" s="684"/>
      <c r="D63" s="687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97</v>
      </c>
      <c r="B64" s="491">
        <v>1</v>
      </c>
      <c r="C64" s="682" t="s">
        <v>98</v>
      </c>
      <c r="D64" s="685">
        <v>1130.1500000000001</v>
      </c>
      <c r="E64" s="548">
        <v>1</v>
      </c>
      <c r="F64" s="549"/>
      <c r="G64" s="637" t="str">
        <f>IF(ISBLANK(F64),"-",(F64/$D$50*$D$47*$B$68)*($B$57/$D$64))</f>
        <v>-</v>
      </c>
      <c r="H64" s="556" t="str">
        <f t="shared" si="0"/>
        <v>-</v>
      </c>
    </row>
    <row r="65" spans="1:8" ht="26.25" customHeight="1" x14ac:dyDescent="0.4">
      <c r="A65" s="490" t="s">
        <v>99</v>
      </c>
      <c r="B65" s="491">
        <v>1</v>
      </c>
      <c r="C65" s="683"/>
      <c r="D65" s="686"/>
      <c r="E65" s="551">
        <v>2</v>
      </c>
      <c r="F65" s="503"/>
      <c r="G65" s="638" t="str">
        <f>IF(ISBLANK(F65),"-",(F65/$D$50*$D$47*$B$68)*($B$57/$D$64))</f>
        <v>-</v>
      </c>
      <c r="H65" s="557" t="str">
        <f t="shared" si="0"/>
        <v>-</v>
      </c>
    </row>
    <row r="66" spans="1:8" ht="26.25" customHeight="1" x14ac:dyDescent="0.4">
      <c r="A66" s="490" t="s">
        <v>100</v>
      </c>
      <c r="B66" s="491">
        <v>1</v>
      </c>
      <c r="C66" s="683"/>
      <c r="D66" s="686"/>
      <c r="E66" s="551">
        <v>3</v>
      </c>
      <c r="F66" s="503"/>
      <c r="G66" s="638" t="str">
        <f>IF(ISBLANK(F66),"-",(F66/$D$50*$D$47*$B$68)*($B$57/$D$64))</f>
        <v>-</v>
      </c>
      <c r="H66" s="557" t="str">
        <f t="shared" si="0"/>
        <v>-</v>
      </c>
    </row>
    <row r="67" spans="1:8" ht="27" customHeight="1" x14ac:dyDescent="0.4">
      <c r="A67" s="490" t="s">
        <v>101</v>
      </c>
      <c r="B67" s="491">
        <v>1</v>
      </c>
      <c r="C67" s="684"/>
      <c r="D67" s="687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102</v>
      </c>
      <c r="B68" s="559">
        <f>(B67/B66)*(B65/B64)*(B63/B62)*(B61/B60)*B59</f>
        <v>1000</v>
      </c>
      <c r="C68" s="682" t="s">
        <v>103</v>
      </c>
      <c r="D68" s="685">
        <v>1130.76</v>
      </c>
      <c r="E68" s="548">
        <v>1</v>
      </c>
      <c r="F68" s="549">
        <v>256950542</v>
      </c>
      <c r="G68" s="637">
        <f>IF(ISBLANK(F68),"-",(F68/$D$50*$D$47*$B$68)*($B$57/$D$68))</f>
        <v>296.38750274133281</v>
      </c>
      <c r="H68" s="552">
        <f t="shared" si="0"/>
        <v>0.98795834247110936</v>
      </c>
    </row>
    <row r="69" spans="1:8" ht="27" customHeight="1" x14ac:dyDescent="0.4">
      <c r="A69" s="538" t="s">
        <v>104</v>
      </c>
      <c r="B69" s="560">
        <f>(D47*B68)/B56*B57</f>
        <v>1129.713</v>
      </c>
      <c r="C69" s="683"/>
      <c r="D69" s="686"/>
      <c r="E69" s="551">
        <v>2</v>
      </c>
      <c r="F69" s="503">
        <v>257312038</v>
      </c>
      <c r="G69" s="638">
        <f>IF(ISBLANK(F69),"-",(F69/$D$50*$D$47*$B$68)*($B$57/$D$68))</f>
        <v>296.80448141690613</v>
      </c>
      <c r="H69" s="552">
        <f t="shared" si="0"/>
        <v>0.98934827138968706</v>
      </c>
    </row>
    <row r="70" spans="1:8" ht="26.25" customHeight="1" x14ac:dyDescent="0.4">
      <c r="A70" s="695" t="s">
        <v>77</v>
      </c>
      <c r="B70" s="696"/>
      <c r="C70" s="683"/>
      <c r="D70" s="686"/>
      <c r="E70" s="551">
        <v>3</v>
      </c>
      <c r="F70" s="503">
        <v>257415227</v>
      </c>
      <c r="G70" s="638">
        <f>IF(ISBLANK(F70),"-",(F70/$D$50*$D$47*$B$68)*($B$57/$D$68))</f>
        <v>296.92350794155288</v>
      </c>
      <c r="H70" s="552">
        <f t="shared" si="0"/>
        <v>0.98974502647184293</v>
      </c>
    </row>
    <row r="71" spans="1:8" ht="27" customHeight="1" x14ac:dyDescent="0.4">
      <c r="A71" s="697"/>
      <c r="B71" s="698"/>
      <c r="C71" s="694"/>
      <c r="D71" s="687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70</v>
      </c>
      <c r="G72" s="644">
        <f>AVERAGE(G60:G71)</f>
        <v>297.6862262684578</v>
      </c>
      <c r="H72" s="565">
        <f>AVERAGE(H60:H71)</f>
        <v>0.99228742089485944</v>
      </c>
    </row>
    <row r="73" spans="1:8" ht="26.25" customHeight="1" x14ac:dyDescent="0.4">
      <c r="C73" s="562"/>
      <c r="D73" s="562"/>
      <c r="E73" s="562"/>
      <c r="F73" s="566" t="s">
        <v>83</v>
      </c>
      <c r="G73" s="640">
        <f>STDEV(G60:G71)/G72</f>
        <v>3.6711997518459457E-3</v>
      </c>
      <c r="H73" s="640">
        <f>STDEV(H60:H71)/H72</f>
        <v>3.6711997518459596E-3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19</v>
      </c>
      <c r="G74" s="569">
        <f>COUNT(G60:G71)</f>
        <v>6</v>
      </c>
      <c r="H74" s="569">
        <f>COUNT(H60:H71)</f>
        <v>6</v>
      </c>
    </row>
    <row r="76" spans="1:8" ht="26.25" customHeight="1" x14ac:dyDescent="0.4">
      <c r="A76" s="474" t="s">
        <v>105</v>
      </c>
      <c r="B76" s="570" t="s">
        <v>106</v>
      </c>
      <c r="C76" s="690" t="str">
        <f>B20</f>
        <v>Zidovudine</v>
      </c>
      <c r="D76" s="690"/>
      <c r="E76" s="571" t="s">
        <v>107</v>
      </c>
      <c r="F76" s="571"/>
      <c r="G76" s="572">
        <f>H72</f>
        <v>0.99228742089485944</v>
      </c>
      <c r="H76" s="573"/>
    </row>
    <row r="77" spans="1:8" ht="18.75" x14ac:dyDescent="0.3">
      <c r="A77" s="473" t="s">
        <v>108</v>
      </c>
      <c r="B77" s="473" t="s">
        <v>109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76" t="str">
        <f>B26</f>
        <v>Zidovudine</v>
      </c>
      <c r="C79" s="676"/>
    </row>
    <row r="80" spans="1:8" ht="26.25" customHeight="1" x14ac:dyDescent="0.4">
      <c r="A80" s="475" t="s">
        <v>47</v>
      </c>
      <c r="B80" s="676" t="str">
        <f>B27</f>
        <v>Z1-3</v>
      </c>
      <c r="C80" s="676"/>
    </row>
    <row r="81" spans="1:12" ht="27" customHeight="1" x14ac:dyDescent="0.4">
      <c r="A81" s="475" t="s">
        <v>6</v>
      </c>
      <c r="B81" s="574">
        <v>99.4</v>
      </c>
    </row>
    <row r="82" spans="1:12" s="14" customFormat="1" ht="27" customHeight="1" x14ac:dyDescent="0.4">
      <c r="A82" s="475" t="s">
        <v>48</v>
      </c>
      <c r="B82" s="477">
        <v>0</v>
      </c>
      <c r="C82" s="667" t="s">
        <v>49</v>
      </c>
      <c r="D82" s="668"/>
      <c r="E82" s="668"/>
      <c r="F82" s="668"/>
      <c r="G82" s="669"/>
      <c r="I82" s="478"/>
      <c r="J82" s="478"/>
      <c r="K82" s="478"/>
      <c r="L82" s="478"/>
    </row>
    <row r="83" spans="1:12" s="14" customFormat="1" ht="19.5" customHeight="1" x14ac:dyDescent="0.3">
      <c r="A83" s="475" t="s">
        <v>50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51</v>
      </c>
      <c r="B84" s="482">
        <v>1</v>
      </c>
      <c r="C84" s="670" t="s">
        <v>110</v>
      </c>
      <c r="D84" s="671"/>
      <c r="E84" s="671"/>
      <c r="F84" s="671"/>
      <c r="G84" s="671"/>
      <c r="H84" s="672"/>
      <c r="I84" s="478"/>
      <c r="J84" s="478"/>
      <c r="K84" s="478"/>
      <c r="L84" s="478"/>
    </row>
    <row r="85" spans="1:12" s="14" customFormat="1" ht="27" customHeight="1" x14ac:dyDescent="0.4">
      <c r="A85" s="475" t="s">
        <v>53</v>
      </c>
      <c r="B85" s="482">
        <v>1</v>
      </c>
      <c r="C85" s="670" t="s">
        <v>111</v>
      </c>
      <c r="D85" s="671"/>
      <c r="E85" s="671"/>
      <c r="F85" s="671"/>
      <c r="G85" s="671"/>
      <c r="H85" s="672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55</v>
      </c>
      <c r="B87" s="487">
        <f>B84/B85</f>
        <v>1</v>
      </c>
      <c r="C87" s="465" t="s">
        <v>56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57</v>
      </c>
      <c r="B89" s="489">
        <v>20</v>
      </c>
      <c r="D89" s="575" t="s">
        <v>58</v>
      </c>
      <c r="E89" s="576"/>
      <c r="F89" s="673" t="s">
        <v>59</v>
      </c>
      <c r="G89" s="675"/>
    </row>
    <row r="90" spans="1:12" ht="27" customHeight="1" x14ac:dyDescent="0.4">
      <c r="A90" s="490" t="s">
        <v>60</v>
      </c>
      <c r="B90" s="491">
        <v>4</v>
      </c>
      <c r="C90" s="577" t="s">
        <v>61</v>
      </c>
      <c r="D90" s="493" t="s">
        <v>62</v>
      </c>
      <c r="E90" s="494" t="s">
        <v>63</v>
      </c>
      <c r="F90" s="493" t="s">
        <v>62</v>
      </c>
      <c r="G90" s="578" t="s">
        <v>63</v>
      </c>
      <c r="I90" s="496" t="s">
        <v>64</v>
      </c>
    </row>
    <row r="91" spans="1:12" ht="26.25" customHeight="1" x14ac:dyDescent="0.4">
      <c r="A91" s="490" t="s">
        <v>65</v>
      </c>
      <c r="B91" s="491">
        <v>20</v>
      </c>
      <c r="C91" s="579">
        <v>1</v>
      </c>
      <c r="D91" s="498">
        <v>73841241</v>
      </c>
      <c r="E91" s="499">
        <f>IF(ISBLANK(D91),"-",$D$101/$D$98*D91)</f>
        <v>78835787.728600174</v>
      </c>
      <c r="F91" s="498">
        <v>68186027</v>
      </c>
      <c r="G91" s="500">
        <f>IF(ISBLANK(F91),"-",$D$101/$F$98*F91)</f>
        <v>77511426.752606034</v>
      </c>
      <c r="I91" s="501"/>
    </row>
    <row r="92" spans="1:12" ht="26.25" customHeight="1" x14ac:dyDescent="0.4">
      <c r="A92" s="490" t="s">
        <v>66</v>
      </c>
      <c r="B92" s="491">
        <v>1</v>
      </c>
      <c r="C92" s="563">
        <v>2</v>
      </c>
      <c r="D92" s="503">
        <v>73432588</v>
      </c>
      <c r="E92" s="504">
        <f>IF(ISBLANK(D92),"-",$D$101/$D$98*D92)</f>
        <v>78399493.853709102</v>
      </c>
      <c r="F92" s="503">
        <v>68520391</v>
      </c>
      <c r="G92" s="505">
        <f>IF(ISBLANK(F92),"-",$D$101/$F$98*F92)</f>
        <v>77891519.739908367</v>
      </c>
      <c r="I92" s="677">
        <f>ABS((F96/D96*D95)-F95)/D95</f>
        <v>1.2042400359004925E-2</v>
      </c>
    </row>
    <row r="93" spans="1:12" ht="26.25" customHeight="1" x14ac:dyDescent="0.4">
      <c r="A93" s="490" t="s">
        <v>67</v>
      </c>
      <c r="B93" s="491">
        <v>1</v>
      </c>
      <c r="C93" s="563">
        <v>3</v>
      </c>
      <c r="D93" s="503">
        <v>74059505</v>
      </c>
      <c r="E93" s="504">
        <f>IF(ISBLANK(D93),"-",$D$101/$D$98*D93)</f>
        <v>79068814.884424865</v>
      </c>
      <c r="F93" s="503">
        <v>68502548</v>
      </c>
      <c r="G93" s="505">
        <f>IF(ISBLANK(F93),"-",$D$101/$F$98*F93)</f>
        <v>77871236.458297804</v>
      </c>
      <c r="I93" s="677"/>
    </row>
    <row r="94" spans="1:12" ht="27" customHeight="1" x14ac:dyDescent="0.4">
      <c r="A94" s="490" t="s">
        <v>68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69</v>
      </c>
      <c r="B95" s="491">
        <v>1</v>
      </c>
      <c r="C95" s="582" t="s">
        <v>70</v>
      </c>
      <c r="D95" s="583">
        <f>AVERAGE(D91:D94)</f>
        <v>73777778</v>
      </c>
      <c r="E95" s="514">
        <f>AVERAGE(E91:E94)</f>
        <v>78768032.155578047</v>
      </c>
      <c r="F95" s="584">
        <f>AVERAGE(F91:F94)</f>
        <v>68402988.666666672</v>
      </c>
      <c r="G95" s="585">
        <f>AVERAGE(G91:G94)</f>
        <v>77758060.983604074</v>
      </c>
    </row>
    <row r="96" spans="1:12" ht="26.25" customHeight="1" x14ac:dyDescent="0.4">
      <c r="A96" s="490" t="s">
        <v>71</v>
      </c>
      <c r="B96" s="476">
        <v>1</v>
      </c>
      <c r="C96" s="586" t="s">
        <v>112</v>
      </c>
      <c r="D96" s="587">
        <v>31.41</v>
      </c>
      <c r="E96" s="506"/>
      <c r="F96" s="518">
        <v>29.5</v>
      </c>
    </row>
    <row r="97" spans="1:10" ht="26.25" customHeight="1" x14ac:dyDescent="0.4">
      <c r="A97" s="490" t="s">
        <v>73</v>
      </c>
      <c r="B97" s="476">
        <v>1</v>
      </c>
      <c r="C97" s="588" t="s">
        <v>113</v>
      </c>
      <c r="D97" s="589">
        <f>D96*$B$87</f>
        <v>31.41</v>
      </c>
      <c r="E97" s="521"/>
      <c r="F97" s="520">
        <f>F96*$B$87</f>
        <v>29.5</v>
      </c>
    </row>
    <row r="98" spans="1:10" ht="19.5" customHeight="1" x14ac:dyDescent="0.3">
      <c r="A98" s="490" t="s">
        <v>75</v>
      </c>
      <c r="B98" s="590">
        <f>(B97/B96)*(B95/B94)*(B93/B92)*(B91/B90)*B89</f>
        <v>100</v>
      </c>
      <c r="C98" s="588" t="s">
        <v>114</v>
      </c>
      <c r="D98" s="591">
        <f>D97*$B$83/100</f>
        <v>31.221540000000001</v>
      </c>
      <c r="E98" s="524"/>
      <c r="F98" s="523">
        <f>F97*$B$83/100</f>
        <v>29.323</v>
      </c>
    </row>
    <row r="99" spans="1:10" ht="19.5" customHeight="1" x14ac:dyDescent="0.3">
      <c r="A99" s="678" t="s">
        <v>77</v>
      </c>
      <c r="B99" s="692"/>
      <c r="C99" s="588" t="s">
        <v>115</v>
      </c>
      <c r="D99" s="592">
        <f>D98/$B$98</f>
        <v>0.31221540000000003</v>
      </c>
      <c r="E99" s="524"/>
      <c r="F99" s="527">
        <f>F98/$B$98</f>
        <v>0.29322999999999999</v>
      </c>
      <c r="G99" s="593"/>
      <c r="H99" s="516"/>
    </row>
    <row r="100" spans="1:10" ht="19.5" customHeight="1" x14ac:dyDescent="0.3">
      <c r="A100" s="680"/>
      <c r="B100" s="693"/>
      <c r="C100" s="588" t="s">
        <v>79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80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81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116</v>
      </c>
      <c r="D103" s="600">
        <f>AVERAGE(E91:E94,G91:G94)</f>
        <v>78263046.56959106</v>
      </c>
      <c r="F103" s="536"/>
      <c r="G103" s="601"/>
      <c r="H103" s="516"/>
      <c r="J103" s="602"/>
    </row>
    <row r="104" spans="1:10" ht="18.75" x14ac:dyDescent="0.3">
      <c r="C104" s="566" t="s">
        <v>83</v>
      </c>
      <c r="D104" s="603">
        <f>STDEV(E91:E94,G91:G94)/D103</f>
        <v>7.7772267877806341E-3</v>
      </c>
      <c r="F104" s="536"/>
      <c r="G104" s="593"/>
      <c r="H104" s="516"/>
      <c r="J104" s="602"/>
    </row>
    <row r="105" spans="1:10" ht="19.5" customHeight="1" x14ac:dyDescent="0.3">
      <c r="C105" s="568" t="s">
        <v>19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117</v>
      </c>
      <c r="B107" s="489">
        <v>900</v>
      </c>
      <c r="C107" s="605" t="s">
        <v>118</v>
      </c>
      <c r="D107" s="606" t="s">
        <v>62</v>
      </c>
      <c r="E107" s="607" t="s">
        <v>119</v>
      </c>
      <c r="F107" s="608" t="s">
        <v>120</v>
      </c>
    </row>
    <row r="108" spans="1:10" ht="26.25" customHeight="1" x14ac:dyDescent="0.4">
      <c r="A108" s="490" t="s">
        <v>121</v>
      </c>
      <c r="B108" s="491">
        <v>1</v>
      </c>
      <c r="C108" s="609">
        <v>1</v>
      </c>
      <c r="D108" s="610">
        <v>74432048</v>
      </c>
      <c r="E108" s="641">
        <f t="shared" ref="E108:E113" si="1">IF(ISBLANK(D108),"-",D108/$D$103*$D$100*$B$116)</f>
        <v>285.31491398235602</v>
      </c>
      <c r="F108" s="611">
        <f t="shared" ref="F108:F113" si="2">IF(ISBLANK(D108), "-", E108/$B$56)</f>
        <v>0.95104971327452004</v>
      </c>
    </row>
    <row r="109" spans="1:10" ht="26.25" customHeight="1" x14ac:dyDescent="0.4">
      <c r="A109" s="490" t="s">
        <v>94</v>
      </c>
      <c r="B109" s="491">
        <v>1</v>
      </c>
      <c r="C109" s="609">
        <v>2</v>
      </c>
      <c r="D109" s="610">
        <v>78066795</v>
      </c>
      <c r="E109" s="642">
        <f t="shared" si="1"/>
        <v>299.24772324285937</v>
      </c>
      <c r="F109" s="612">
        <f t="shared" si="2"/>
        <v>0.99749241080953122</v>
      </c>
    </row>
    <row r="110" spans="1:10" ht="26.25" customHeight="1" x14ac:dyDescent="0.4">
      <c r="A110" s="490" t="s">
        <v>95</v>
      </c>
      <c r="B110" s="491">
        <v>1</v>
      </c>
      <c r="C110" s="609">
        <v>3</v>
      </c>
      <c r="D110" s="610">
        <v>75087542</v>
      </c>
      <c r="E110" s="642">
        <f t="shared" si="1"/>
        <v>287.82757108707455</v>
      </c>
      <c r="F110" s="612">
        <f t="shared" si="2"/>
        <v>0.95942523695691517</v>
      </c>
    </row>
    <row r="111" spans="1:10" ht="26.25" customHeight="1" x14ac:dyDescent="0.4">
      <c r="A111" s="490" t="s">
        <v>96</v>
      </c>
      <c r="B111" s="491">
        <v>1</v>
      </c>
      <c r="C111" s="609">
        <v>4</v>
      </c>
      <c r="D111" s="610">
        <v>77181808</v>
      </c>
      <c r="E111" s="642">
        <f t="shared" si="1"/>
        <v>295.85536744229745</v>
      </c>
      <c r="F111" s="612">
        <f t="shared" si="2"/>
        <v>0.98618455814099149</v>
      </c>
    </row>
    <row r="112" spans="1:10" ht="26.25" customHeight="1" x14ac:dyDescent="0.4">
      <c r="A112" s="490" t="s">
        <v>97</v>
      </c>
      <c r="B112" s="491">
        <v>1</v>
      </c>
      <c r="C112" s="609">
        <v>5</v>
      </c>
      <c r="D112" s="610">
        <v>74368344</v>
      </c>
      <c r="E112" s="642">
        <f t="shared" si="1"/>
        <v>285.07072210844262</v>
      </c>
      <c r="F112" s="612">
        <f t="shared" si="2"/>
        <v>0.9502357403614754</v>
      </c>
    </row>
    <row r="113" spans="1:10" ht="26.25" customHeight="1" x14ac:dyDescent="0.4">
      <c r="A113" s="490" t="s">
        <v>99</v>
      </c>
      <c r="B113" s="491">
        <v>1</v>
      </c>
      <c r="C113" s="613">
        <v>6</v>
      </c>
      <c r="D113" s="614">
        <v>75675266</v>
      </c>
      <c r="E113" s="643">
        <f t="shared" si="1"/>
        <v>290.08045041810368</v>
      </c>
      <c r="F113" s="615">
        <f t="shared" si="2"/>
        <v>0.96693483472701225</v>
      </c>
    </row>
    <row r="114" spans="1:10" ht="26.25" customHeight="1" x14ac:dyDescent="0.4">
      <c r="A114" s="490" t="s">
        <v>100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101</v>
      </c>
      <c r="B115" s="491">
        <v>1</v>
      </c>
      <c r="C115" s="609"/>
      <c r="D115" s="617" t="s">
        <v>70</v>
      </c>
      <c r="E115" s="645">
        <f>AVERAGE(E108:E113)</f>
        <v>290.5661247135223</v>
      </c>
      <c r="F115" s="618">
        <f>AVERAGE(F108:F113)</f>
        <v>0.96855374904507407</v>
      </c>
    </row>
    <row r="116" spans="1:10" ht="27" customHeight="1" x14ac:dyDescent="0.4">
      <c r="A116" s="490" t="s">
        <v>102</v>
      </c>
      <c r="B116" s="522">
        <f>(B115/B114)*(B113/B112)*(B111/B110)*(B109/B108)*B107</f>
        <v>900</v>
      </c>
      <c r="C116" s="619"/>
      <c r="D116" s="582" t="s">
        <v>83</v>
      </c>
      <c r="E116" s="620">
        <f>STDEV(E108:E113)/E115</f>
        <v>1.9999947614150741E-2</v>
      </c>
      <c r="F116" s="620">
        <f>STDEV(F108:F113)/F115</f>
        <v>1.9999947614150748E-2</v>
      </c>
      <c r="I116" s="464"/>
    </row>
    <row r="117" spans="1:10" ht="27" customHeight="1" x14ac:dyDescent="0.4">
      <c r="A117" s="678" t="s">
        <v>77</v>
      </c>
      <c r="B117" s="679"/>
      <c r="C117" s="621"/>
      <c r="D117" s="622" t="s">
        <v>19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80"/>
      <c r="B118" s="681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105</v>
      </c>
      <c r="B120" s="570" t="s">
        <v>122</v>
      </c>
      <c r="C120" s="690" t="str">
        <f>B20</f>
        <v>Zidovudine</v>
      </c>
      <c r="D120" s="690"/>
      <c r="E120" s="571" t="s">
        <v>123</v>
      </c>
      <c r="F120" s="571"/>
      <c r="G120" s="572">
        <f>F115</f>
        <v>0.96855374904507407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91" t="s">
        <v>25</v>
      </c>
      <c r="C122" s="691"/>
      <c r="E122" s="577" t="s">
        <v>26</v>
      </c>
      <c r="F122" s="626"/>
      <c r="G122" s="691" t="s">
        <v>27</v>
      </c>
      <c r="H122" s="691"/>
    </row>
    <row r="123" spans="1:10" ht="69.95" customHeight="1" x14ac:dyDescent="0.3">
      <c r="A123" s="627" t="s">
        <v>28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29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2016-05-16T13:18:28Z</cp:lastPrinted>
  <dcterms:created xsi:type="dcterms:W3CDTF">2005-07-05T10:19:27Z</dcterms:created>
  <dcterms:modified xsi:type="dcterms:W3CDTF">2016-05-16T13:28:54Z</dcterms:modified>
  <cp:category/>
</cp:coreProperties>
</file>