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55" windowWidth="15015" windowHeight="7620" activeTab="1"/>
  </bookViews>
  <sheets>
    <sheet name="ATAZANAVIR " sheetId="5" r:id="rId1"/>
    <sheet name="RITONAVIR" sheetId="6" r:id="rId2"/>
    <sheet name="SST" sheetId="1" r:id="rId3"/>
    <sheet name="Uniformity" sheetId="2" r:id="rId4"/>
    <sheet name="SST 2" sheetId="7" r:id="rId5"/>
  </sheets>
  <definedNames>
    <definedName name="_xlnm.Print_Area" localSheetId="0">'ATAZANAVIR '!$A$1:$H$145</definedName>
    <definedName name="_xlnm.Print_Area" localSheetId="1">RITONAVIR!$A$1:$H$144</definedName>
    <definedName name="_xlnm.Print_Area" localSheetId="3">Uniformity!$A$1:$F$54</definedName>
  </definedNames>
  <calcPr calcId="145621"/>
</workbook>
</file>

<file path=xl/calcChain.xml><?xml version="1.0" encoding="utf-8"?>
<calcChain xmlns="http://schemas.openxmlformats.org/spreadsheetml/2006/main">
  <c r="B37" i="7" l="1"/>
  <c r="E35" i="7"/>
  <c r="D35" i="7"/>
  <c r="C35" i="7"/>
  <c r="B35" i="7"/>
  <c r="B36" i="7" s="1"/>
  <c r="B27" i="7"/>
  <c r="B17" i="7"/>
  <c r="E15" i="7"/>
  <c r="D15" i="7"/>
  <c r="C15" i="7"/>
  <c r="B15" i="7"/>
  <c r="B16" i="7" s="1"/>
  <c r="B7" i="7"/>
  <c r="F51" i="1"/>
  <c r="B57" i="6" l="1"/>
  <c r="B57" i="5"/>
  <c r="C138" i="6" l="1"/>
  <c r="B134" i="6"/>
  <c r="C121" i="6"/>
  <c r="B117" i="6"/>
  <c r="D101" i="6"/>
  <c r="D102" i="6" s="1"/>
  <c r="B99" i="6"/>
  <c r="F96" i="6"/>
  <c r="D96" i="6"/>
  <c r="G95" i="6"/>
  <c r="E95" i="6"/>
  <c r="B88" i="6"/>
  <c r="D98" i="6" s="1"/>
  <c r="B83" i="6"/>
  <c r="B82" i="6"/>
  <c r="B84" i="6" s="1"/>
  <c r="B81" i="6"/>
  <c r="B80" i="6"/>
  <c r="C76" i="6"/>
  <c r="H71" i="6"/>
  <c r="G71" i="6"/>
  <c r="B68" i="6"/>
  <c r="H67" i="6"/>
  <c r="G67" i="6"/>
  <c r="H63" i="6"/>
  <c r="G63" i="6"/>
  <c r="B69" i="6"/>
  <c r="C56" i="6"/>
  <c r="B55" i="6"/>
  <c r="B45" i="6"/>
  <c r="D48" i="6" s="1"/>
  <c r="F42" i="6"/>
  <c r="D42" i="6"/>
  <c r="G41" i="6"/>
  <c r="E41" i="6"/>
  <c r="B34" i="6"/>
  <c r="D44" i="6" s="1"/>
  <c r="B30" i="6"/>
  <c r="C138" i="5"/>
  <c r="B134" i="5"/>
  <c r="C121" i="5"/>
  <c r="B117" i="5"/>
  <c r="B99" i="5"/>
  <c r="D102" i="5" s="1"/>
  <c r="D98" i="5"/>
  <c r="F96" i="5"/>
  <c r="D96" i="5"/>
  <c r="G95" i="5"/>
  <c r="E95" i="5"/>
  <c r="B88" i="5"/>
  <c r="F98" i="5" s="1"/>
  <c r="B83" i="5"/>
  <c r="B82" i="5"/>
  <c r="B84" i="5" s="1"/>
  <c r="B81" i="5"/>
  <c r="B80" i="5"/>
  <c r="C76" i="5"/>
  <c r="H71" i="5"/>
  <c r="G71" i="5"/>
  <c r="B68" i="5"/>
  <c r="B69" i="5" s="1"/>
  <c r="H67" i="5"/>
  <c r="G67" i="5"/>
  <c r="H63" i="5"/>
  <c r="G63" i="5"/>
  <c r="C56" i="5"/>
  <c r="B55" i="5"/>
  <c r="B45" i="5"/>
  <c r="D48" i="5" s="1"/>
  <c r="D44" i="5"/>
  <c r="F42" i="5"/>
  <c r="D42" i="5"/>
  <c r="G41" i="5"/>
  <c r="E41" i="5"/>
  <c r="B34" i="5"/>
  <c r="F44" i="5" s="1"/>
  <c r="B30" i="5"/>
  <c r="D99" i="6" l="1"/>
  <c r="D100" i="6" s="1"/>
  <c r="D45" i="6"/>
  <c r="D46" i="6" s="1"/>
  <c r="F45" i="5"/>
  <c r="F46" i="5" s="1"/>
  <c r="D45" i="5"/>
  <c r="D46" i="5" s="1"/>
  <c r="F99" i="5"/>
  <c r="F100" i="5" s="1"/>
  <c r="E94" i="6"/>
  <c r="E92" i="6"/>
  <c r="E93" i="6"/>
  <c r="D103" i="6"/>
  <c r="D99" i="5"/>
  <c r="D100" i="5" s="1"/>
  <c r="D49" i="6"/>
  <c r="E40" i="6"/>
  <c r="G39" i="6"/>
  <c r="E39" i="6"/>
  <c r="G38" i="6"/>
  <c r="G40" i="5"/>
  <c r="G38" i="5"/>
  <c r="E40" i="5"/>
  <c r="D49" i="5"/>
  <c r="E38" i="5"/>
  <c r="G39" i="5"/>
  <c r="E39" i="5"/>
  <c r="G94" i="5"/>
  <c r="G92" i="5"/>
  <c r="G96" i="5" s="1"/>
  <c r="D103" i="5"/>
  <c r="E92" i="5"/>
  <c r="G93" i="5"/>
  <c r="F44" i="6"/>
  <c r="F45" i="6" s="1"/>
  <c r="F46" i="6" s="1"/>
  <c r="F98" i="6"/>
  <c r="F99" i="6" s="1"/>
  <c r="F100" i="6" s="1"/>
  <c r="C46" i="2"/>
  <c r="D50" i="2" s="1"/>
  <c r="C4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E38" i="6" l="1"/>
  <c r="D50" i="5"/>
  <c r="E42" i="5"/>
  <c r="D52" i="5"/>
  <c r="E94" i="5"/>
  <c r="E93" i="5"/>
  <c r="E42" i="6"/>
  <c r="G92" i="6"/>
  <c r="G93" i="6"/>
  <c r="G40" i="6"/>
  <c r="G42" i="6" s="1"/>
  <c r="G94" i="6"/>
  <c r="D106" i="6"/>
  <c r="E96" i="6"/>
  <c r="G42" i="5"/>
  <c r="D33" i="2"/>
  <c r="D25" i="2"/>
  <c r="D39" i="2"/>
  <c r="C49" i="2"/>
  <c r="D29" i="2"/>
  <c r="D41" i="2"/>
  <c r="D31" i="2"/>
  <c r="D27" i="2"/>
  <c r="D35" i="2"/>
  <c r="D43" i="2"/>
  <c r="D37" i="2"/>
  <c r="D24" i="2"/>
  <c r="D28" i="2"/>
  <c r="D32" i="2"/>
  <c r="D36" i="2"/>
  <c r="D40" i="2"/>
  <c r="D49" i="2"/>
  <c r="C50" i="2"/>
  <c r="D26" i="2"/>
  <c r="D30" i="2"/>
  <c r="D34" i="2"/>
  <c r="D38" i="2"/>
  <c r="D42" i="2"/>
  <c r="B49" i="2"/>
  <c r="D104" i="6" l="1"/>
  <c r="D106" i="5"/>
  <c r="D50" i="6"/>
  <c r="G68" i="6" s="1"/>
  <c r="H68" i="6" s="1"/>
  <c r="E130" i="6"/>
  <c r="F130" i="6" s="1"/>
  <c r="E128" i="6"/>
  <c r="F128" i="6" s="1"/>
  <c r="E126" i="6"/>
  <c r="F126" i="6" s="1"/>
  <c r="E114" i="6"/>
  <c r="F114" i="6" s="1"/>
  <c r="E112" i="6"/>
  <c r="F112" i="6" s="1"/>
  <c r="E110" i="6"/>
  <c r="F110" i="6" s="1"/>
  <c r="D105" i="6"/>
  <c r="E131" i="6"/>
  <c r="F131" i="6" s="1"/>
  <c r="E129" i="6"/>
  <c r="F129" i="6" s="1"/>
  <c r="E127" i="6"/>
  <c r="F127" i="6" s="1"/>
  <c r="E113" i="6"/>
  <c r="F113" i="6" s="1"/>
  <c r="E111" i="6"/>
  <c r="F111" i="6" s="1"/>
  <c r="E109" i="6"/>
  <c r="F109" i="6" s="1"/>
  <c r="G66" i="6"/>
  <c r="H66" i="6" s="1"/>
  <c r="G64" i="6"/>
  <c r="H64" i="6" s="1"/>
  <c r="D51" i="6"/>
  <c r="G70" i="6"/>
  <c r="H70" i="6" s="1"/>
  <c r="D52" i="6"/>
  <c r="E96" i="5"/>
  <c r="D104" i="5"/>
  <c r="G96" i="6"/>
  <c r="D51" i="5"/>
  <c r="G70" i="5"/>
  <c r="H70" i="5" s="1"/>
  <c r="G65" i="5"/>
  <c r="H65" i="5" s="1"/>
  <c r="G61" i="5"/>
  <c r="H61" i="5" s="1"/>
  <c r="G68" i="5"/>
  <c r="H68" i="5" s="1"/>
  <c r="G69" i="5"/>
  <c r="H69" i="5" s="1"/>
  <c r="G66" i="5"/>
  <c r="H66" i="5" s="1"/>
  <c r="G64" i="5"/>
  <c r="H64" i="5" s="1"/>
  <c r="G62" i="5"/>
  <c r="H62" i="5" s="1"/>
  <c r="G60" i="5"/>
  <c r="H60" i="5" s="1"/>
  <c r="G60" i="6" l="1"/>
  <c r="H60" i="6" s="1"/>
  <c r="G61" i="6"/>
  <c r="H61" i="6" s="1"/>
  <c r="G69" i="6"/>
  <c r="H69" i="6" s="1"/>
  <c r="G65" i="6"/>
  <c r="H65" i="6" s="1"/>
  <c r="H74" i="6" s="1"/>
  <c r="G62" i="6"/>
  <c r="H62" i="6" s="1"/>
  <c r="F133" i="6"/>
  <c r="F135" i="6"/>
  <c r="E130" i="5"/>
  <c r="F130" i="5" s="1"/>
  <c r="E128" i="5"/>
  <c r="F128" i="5" s="1"/>
  <c r="E126" i="5"/>
  <c r="F126" i="5" s="1"/>
  <c r="E114" i="5"/>
  <c r="F114" i="5" s="1"/>
  <c r="E112" i="5"/>
  <c r="F112" i="5" s="1"/>
  <c r="E110" i="5"/>
  <c r="F110" i="5" s="1"/>
  <c r="D105" i="5"/>
  <c r="E131" i="5"/>
  <c r="F131" i="5" s="1"/>
  <c r="E129" i="5"/>
  <c r="F129" i="5" s="1"/>
  <c r="E127" i="5"/>
  <c r="F127" i="5" s="1"/>
  <c r="E113" i="5"/>
  <c r="F113" i="5" s="1"/>
  <c r="E111" i="5"/>
  <c r="F111" i="5" s="1"/>
  <c r="E109" i="5"/>
  <c r="F109" i="5" s="1"/>
  <c r="H72" i="5"/>
  <c r="H74" i="5"/>
  <c r="F118" i="6"/>
  <c r="F116" i="6"/>
  <c r="H72" i="6" l="1"/>
  <c r="F133" i="5"/>
  <c r="F135" i="5"/>
  <c r="G138" i="6"/>
  <c r="F134" i="6"/>
  <c r="H73" i="5"/>
  <c r="G76" i="5"/>
  <c r="H73" i="6"/>
  <c r="G76" i="6"/>
  <c r="F117" i="6"/>
  <c r="G121" i="6"/>
  <c r="F116" i="5"/>
  <c r="F118" i="5"/>
  <c r="F117" i="5" l="1"/>
  <c r="G121" i="5"/>
  <c r="F134" i="5"/>
  <c r="G138" i="5"/>
</calcChain>
</file>

<file path=xl/sharedStrings.xml><?xml version="1.0" encoding="utf-8"?>
<sst xmlns="http://schemas.openxmlformats.org/spreadsheetml/2006/main" count="485" uniqueCount="137">
  <si>
    <t>HPLC System Suitability Report</t>
  </si>
  <si>
    <t>Analysis Data</t>
  </si>
  <si>
    <t>Sample(s)</t>
  </si>
  <si>
    <t>Reference Substance:</t>
  </si>
  <si>
    <t>ATAZANAVIR SULFATE /RITONAVIR TABLETS</t>
  </si>
  <si>
    <t>% age Purity:</t>
  </si>
  <si>
    <t>NDQB201604859</t>
  </si>
  <si>
    <t>Weight (mg):</t>
  </si>
  <si>
    <t>ATAZANAVIR, RITONAVIR</t>
  </si>
  <si>
    <t>Standard Conc (mg/mL):</t>
  </si>
  <si>
    <t>Each Tablet contains Atanazavir 300 mg and Ritonavir 100 mg</t>
  </si>
  <si>
    <t>2016-04-14 10:30:52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</si>
  <si>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</si>
  <si>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</si>
  <si>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</si>
  <si>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</si>
  <si>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</si>
  <si>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</si>
  <si>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</si>
  <si>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</si>
  <si>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</si>
  <si>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</si>
  <si>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</si>
  <si>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</si>
  <si>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</si>
  <si>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</si>
  <si>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</si>
  <si>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</si>
  <si>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</si>
  <si>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</si>
  <si>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</si>
  <si>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</si>
  <si>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</si>
  <si>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</si>
  <si>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</si>
  <si>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</si>
  <si>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</si>
  <si>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</si>
  <si>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</si>
  <si>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</si>
  <si>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</si>
  <si>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</si>
  <si>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</si>
  <si>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</si>
  <si>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</si>
  <si>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</si>
  <si>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</si>
  <si>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</si>
  <si>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</si>
  <si>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</si>
  <si>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</si>
  <si>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</si>
  <si>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</si>
  <si>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</si>
  <si>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</si>
  <si>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</si>
  <si>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Standard A</t>
  </si>
  <si>
    <t>Standard B</t>
  </si>
  <si>
    <t>Injection</t>
  </si>
  <si>
    <t>Response:</t>
  </si>
  <si>
    <t>Normalised Response:</t>
  </si>
  <si>
    <t>Average: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</si>
  <si>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</si>
  <si>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</si>
  <si>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</si>
  <si>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</si>
  <si>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</si>
  <si>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</si>
  <si>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</si>
  <si>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</si>
  <si>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</si>
  <si>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</si>
  <si>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</si>
  <si>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</si>
  <si>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Powder Weight (mg)</t>
  </si>
  <si>
    <t>Determined Amt (mg)</t>
  </si>
  <si>
    <t>% Assay</t>
  </si>
  <si>
    <t>Assay Smp A</t>
  </si>
  <si>
    <t>Assay Smp B</t>
  </si>
  <si>
    <t>Sample Dilution Factor</t>
  </si>
  <si>
    <t>Assay Smp C</t>
  </si>
  <si>
    <t>Desired Sample Weight (mg):</t>
  </si>
  <si>
    <t xml:space="preserve">in the sample as a percentage of the stated  label claim is </t>
  </si>
  <si>
    <t>Amt of RS (mg):</t>
  </si>
  <si>
    <t>Amt of RS as free base (mg):</t>
  </si>
  <si>
    <t>Average Normalised Peak Area:</t>
  </si>
  <si>
    <t>Medium Volume (mL):</t>
  </si>
  <si>
    <t>Amt Released (mg):</t>
  </si>
  <si>
    <t>%age Released:</t>
  </si>
  <si>
    <t xml:space="preserve">The amount  of </t>
  </si>
  <si>
    <t xml:space="preserve">dissolved as a percentage of the stated  label claim is </t>
  </si>
  <si>
    <t xml:space="preserve">ATAZANAVIR </t>
  </si>
  <si>
    <t>Each film coated tablet contains: Atazanavir 300mg</t>
  </si>
  <si>
    <t>Atazanavir sulfate</t>
  </si>
  <si>
    <t>A48-1</t>
  </si>
  <si>
    <t>Initial    Standard dilution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</si>
  <si>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</si>
  <si>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</si>
  <si>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</si>
  <si>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</si>
  <si>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</si>
  <si>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</si>
  <si>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</si>
  <si>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</si>
  <si>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</si>
  <si>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Desired Concetration (mg/mL):</t>
  </si>
  <si>
    <t>Initial    Sample dilution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</si>
  <si>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</si>
  <si>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</si>
  <si>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</si>
  <si>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</si>
  <si>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</si>
  <si>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</si>
  <si>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</si>
  <si>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</si>
  <si>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Comment</t>
  </si>
  <si>
    <t>Analysis Data:</t>
  </si>
  <si>
    <t>Determination of Active Ingredient Dissolved after</t>
  </si>
  <si>
    <t>45 Minutes</t>
  </si>
  <si>
    <t>tablet No.</t>
  </si>
  <si>
    <t>90 Minutes</t>
  </si>
  <si>
    <t xml:space="preserve"> RITONAVIR </t>
  </si>
  <si>
    <t>Each film coated tablet contains: Ritonavir 100mg</t>
  </si>
  <si>
    <t>Ritonavir</t>
  </si>
  <si>
    <t>NDQB201604822</t>
  </si>
  <si>
    <t>R14-2</t>
  </si>
  <si>
    <t>RITONAVIR</t>
  </si>
  <si>
    <t>ATAZANAVIR SST</t>
  </si>
  <si>
    <t xml:space="preserve">Atazanavir Sulfate </t>
  </si>
  <si>
    <t>Peak Resolution (USP)</t>
  </si>
  <si>
    <t>HPLC System Suitability Report (DISSOLUTION REPEAT)</t>
  </si>
  <si>
    <t>Atazanavir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</si>
  <si>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</si>
  <si>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</si>
  <si>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</si>
  <si>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 xml:space="preserve">Ritonavir </t>
  </si>
  <si>
    <t>____________________________________________________________________________________________________________________________________________________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</si>
</sst>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"/>
    <numFmt numFmtId="165" formatCode="0.0%"/>
    <numFmt numFmtId="166" formatCode="0.0000"/>
    <numFmt numFmtId="167" formatCode="[$-409]d/mmm/yy;@"/>
    <numFmt numFmtId="168" formatCode="dd\-mmm\-yy"/>
    <numFmt numFmtId="169" formatCode="0.0000\ &quot;mg&quot;"/>
    <numFmt numFmtId="170" formatCode="0.000"/>
  </numFmts>
  <fonts count="3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20"/>
      <color rgb="FF000000"/>
      <name val="Book Antiqua"/>
    </font>
    <font>
      <sz val="10"/>
      <color rgb="FF000000"/>
      <name val="Arial"/>
    </font>
    <font>
      <b/>
      <sz val="72"/>
      <color rgb="FF000000"/>
      <name val="Book Antiqua"/>
      <family val="1"/>
    </font>
    <font>
      <sz val="10"/>
      <color rgb="FF000000"/>
      <name val="Book Antiqua"/>
      <family val="1"/>
    </font>
    <font>
      <b/>
      <sz val="52"/>
      <color rgb="FF000000"/>
      <name val="Book Antiqua"/>
      <family val="1"/>
    </font>
    <font>
      <b/>
      <i/>
      <sz val="12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sz val="12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vertAlign val="superscript"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u/>
      <sz val="20"/>
      <color rgb="FF000000"/>
      <name val="Book Antiqua"/>
      <family val="1"/>
    </font>
    <font>
      <sz val="11"/>
      <color rgb="FF000000"/>
      <name val="Book Antiqua"/>
      <family val="1"/>
    </font>
    <font>
      <sz val="12"/>
      <color rgb="FF000000"/>
      <name val="Book Antiqua"/>
      <family val="1"/>
    </font>
    <font>
      <sz val="10"/>
      <color rgb="FF000000"/>
      <name val="Arial"/>
      <family val="2"/>
    </font>
    <font>
      <b/>
      <u/>
      <sz val="12"/>
      <color rgb="FF000000"/>
      <name val="Book Antiqua"/>
      <family val="1"/>
    </font>
    <font>
      <b/>
      <sz val="1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2" fillId="2" borderId="0"/>
    <xf numFmtId="0" fontId="32" fillId="2" borderId="0"/>
  </cellStyleXfs>
  <cellXfs count="35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4" fillId="2" borderId="0" xfId="1" applyFont="1" applyFill="1"/>
    <xf numFmtId="0" fontId="17" fillId="2" borderId="0" xfId="1" applyFont="1" applyFill="1"/>
    <xf numFmtId="0" fontId="12" fillId="2" borderId="0" xfId="1" applyFill="1"/>
    <xf numFmtId="0" fontId="18" fillId="2" borderId="0" xfId="1" applyFont="1" applyFill="1"/>
    <xf numFmtId="0" fontId="18" fillId="3" borderId="0" xfId="1" applyFont="1" applyFill="1" applyAlignment="1" applyProtection="1">
      <alignment horizontal="left"/>
      <protection locked="0"/>
    </xf>
    <xf numFmtId="0" fontId="19" fillId="3" borderId="0" xfId="1" applyFont="1" applyFill="1" applyAlignment="1" applyProtection="1">
      <alignment horizontal="left"/>
      <protection locked="0"/>
    </xf>
    <xf numFmtId="0" fontId="19" fillId="2" borderId="0" xfId="1" applyFont="1" applyFill="1" applyProtection="1">
      <protection locked="0"/>
    </xf>
    <xf numFmtId="0" fontId="19" fillId="3" borderId="0" xfId="1" applyFont="1" applyFill="1" applyProtection="1">
      <protection locked="0"/>
    </xf>
    <xf numFmtId="168" fontId="19" fillId="3" borderId="0" xfId="1" applyNumberFormat="1" applyFont="1" applyFill="1" applyAlignment="1" applyProtection="1">
      <alignment horizontal="left"/>
      <protection locked="0"/>
    </xf>
    <xf numFmtId="0" fontId="11" fillId="3" borderId="0" xfId="1" applyFont="1" applyFill="1" applyAlignment="1" applyProtection="1">
      <alignment horizontal="left"/>
      <protection locked="0"/>
    </xf>
    <xf numFmtId="168" fontId="19" fillId="2" borderId="0" xfId="1" applyNumberFormat="1" applyFont="1" applyFill="1" applyAlignment="1">
      <alignment horizontal="left"/>
    </xf>
    <xf numFmtId="0" fontId="17" fillId="2" borderId="0" xfId="1" applyFont="1" applyFill="1" applyAlignment="1">
      <alignment horizontal="left"/>
    </xf>
    <xf numFmtId="0" fontId="18" fillId="2" borderId="0" xfId="1" applyFont="1" applyFill="1" applyAlignment="1">
      <alignment horizontal="right"/>
    </xf>
    <xf numFmtId="0" fontId="19" fillId="2" borderId="0" xfId="1" applyFont="1" applyFill="1" applyAlignment="1">
      <alignment horizontal="right"/>
    </xf>
    <xf numFmtId="0" fontId="20" fillId="3" borderId="0" xfId="1" applyFont="1" applyFill="1" applyAlignment="1" applyProtection="1">
      <alignment horizontal="center"/>
      <protection locked="0"/>
    </xf>
    <xf numFmtId="0" fontId="22" fillId="2" borderId="0" xfId="1" applyFont="1" applyFill="1"/>
    <xf numFmtId="0" fontId="23" fillId="2" borderId="0" xfId="1" applyFont="1" applyFill="1" applyAlignment="1">
      <alignment vertical="center" wrapText="1"/>
    </xf>
    <xf numFmtId="0" fontId="18" fillId="2" borderId="0" xfId="1" applyFont="1" applyFill="1" applyAlignment="1">
      <alignment horizontal="center"/>
    </xf>
    <xf numFmtId="0" fontId="24" fillId="2" borderId="0" xfId="1" applyFont="1" applyFill="1"/>
    <xf numFmtId="0" fontId="25" fillId="2" borderId="0" xfId="1" applyFont="1" applyFill="1"/>
    <xf numFmtId="2" fontId="20" fillId="3" borderId="0" xfId="1" applyNumberFormat="1" applyFont="1" applyFill="1" applyAlignment="1" applyProtection="1">
      <alignment horizontal="center"/>
      <protection locked="0"/>
    </xf>
    <xf numFmtId="0" fontId="18" fillId="2" borderId="0" xfId="1" applyFont="1" applyFill="1" applyAlignment="1">
      <alignment vertical="center" wrapText="1"/>
    </xf>
    <xf numFmtId="0" fontId="26" fillId="2" borderId="0" xfId="1" applyFont="1" applyFill="1"/>
    <xf numFmtId="2" fontId="18" fillId="2" borderId="0" xfId="1" applyNumberFormat="1" applyFont="1" applyFill="1" applyAlignment="1">
      <alignment horizontal="center"/>
    </xf>
    <xf numFmtId="0" fontId="21" fillId="2" borderId="0" xfId="1" applyFont="1" applyFill="1" applyAlignment="1">
      <alignment horizontal="left" vertical="center" wrapText="1"/>
    </xf>
    <xf numFmtId="169" fontId="18" fillId="2" borderId="0" xfId="1" applyNumberFormat="1" applyFont="1" applyFill="1" applyAlignment="1">
      <alignment horizontal="center"/>
    </xf>
    <xf numFmtId="0" fontId="19" fillId="2" borderId="0" xfId="1" applyFont="1" applyFill="1"/>
    <xf numFmtId="0" fontId="19" fillId="2" borderId="21" xfId="1" applyFont="1" applyFill="1" applyBorder="1" applyAlignment="1">
      <alignment horizontal="right"/>
    </xf>
    <xf numFmtId="0" fontId="20" fillId="3" borderId="22" xfId="1" applyFont="1" applyFill="1" applyBorder="1" applyAlignment="1" applyProtection="1">
      <alignment horizontal="center"/>
      <protection locked="0"/>
    </xf>
    <xf numFmtId="0" fontId="19" fillId="2" borderId="23" xfId="1" applyFont="1" applyFill="1" applyBorder="1" applyAlignment="1">
      <alignment horizontal="right"/>
    </xf>
    <xf numFmtId="0" fontId="20" fillId="3" borderId="24" xfId="1" applyFont="1" applyFill="1" applyBorder="1" applyAlignment="1" applyProtection="1">
      <alignment horizontal="center"/>
      <protection locked="0"/>
    </xf>
    <xf numFmtId="0" fontId="18" fillId="2" borderId="22" xfId="1" applyFont="1" applyFill="1" applyBorder="1" applyAlignment="1">
      <alignment horizontal="center"/>
    </xf>
    <xf numFmtId="0" fontId="18" fillId="2" borderId="25" xfId="1" applyFont="1" applyFill="1" applyBorder="1" applyAlignment="1">
      <alignment horizontal="center"/>
    </xf>
    <xf numFmtId="0" fontId="18" fillId="2" borderId="26" xfId="1" applyFont="1" applyFill="1" applyBorder="1" applyAlignment="1">
      <alignment horizontal="center"/>
    </xf>
    <xf numFmtId="0" fontId="18" fillId="2" borderId="30" xfId="1" applyFont="1" applyFill="1" applyBorder="1" applyAlignment="1">
      <alignment horizontal="center"/>
    </xf>
    <xf numFmtId="0" fontId="19" fillId="2" borderId="28" xfId="1" applyFont="1" applyFill="1" applyBorder="1" applyAlignment="1">
      <alignment horizontal="center"/>
    </xf>
    <xf numFmtId="0" fontId="20" fillId="3" borderId="29" xfId="1" applyFont="1" applyFill="1" applyBorder="1" applyAlignment="1" applyProtection="1">
      <alignment horizontal="center"/>
      <protection locked="0"/>
    </xf>
    <xf numFmtId="170" fontId="19" fillId="2" borderId="26" xfId="1" applyNumberFormat="1" applyFont="1" applyFill="1" applyBorder="1" applyAlignment="1">
      <alignment horizontal="center"/>
    </xf>
    <xf numFmtId="170" fontId="19" fillId="2" borderId="30" xfId="1" applyNumberFormat="1" applyFont="1" applyFill="1" applyBorder="1" applyAlignment="1">
      <alignment horizontal="center"/>
    </xf>
    <xf numFmtId="0" fontId="19" fillId="2" borderId="24" xfId="1" applyFont="1" applyFill="1" applyBorder="1" applyAlignment="1">
      <alignment horizontal="center"/>
    </xf>
    <xf numFmtId="0" fontId="20" fillId="3" borderId="23" xfId="1" applyFont="1" applyFill="1" applyBorder="1" applyAlignment="1" applyProtection="1">
      <alignment horizontal="center"/>
      <protection locked="0"/>
    </xf>
    <xf numFmtId="170" fontId="19" fillId="2" borderId="31" xfId="1" applyNumberFormat="1" applyFont="1" applyFill="1" applyBorder="1" applyAlignment="1">
      <alignment horizontal="center"/>
    </xf>
    <xf numFmtId="170" fontId="19" fillId="2" borderId="32" xfId="1" applyNumberFormat="1" applyFont="1" applyFill="1" applyBorder="1" applyAlignment="1">
      <alignment horizontal="center"/>
    </xf>
    <xf numFmtId="0" fontId="19" fillId="2" borderId="33" xfId="1" applyFont="1" applyFill="1" applyBorder="1" applyAlignment="1">
      <alignment horizontal="center"/>
    </xf>
    <xf numFmtId="0" fontId="20" fillId="3" borderId="34" xfId="1" applyFont="1" applyFill="1" applyBorder="1" applyAlignment="1" applyProtection="1">
      <alignment horizontal="center"/>
      <protection locked="0"/>
    </xf>
    <xf numFmtId="170" fontId="19" fillId="2" borderId="35" xfId="1" applyNumberFormat="1" applyFont="1" applyFill="1" applyBorder="1" applyAlignment="1">
      <alignment horizontal="center"/>
    </xf>
    <xf numFmtId="170" fontId="19" fillId="2" borderId="36" xfId="1" applyNumberFormat="1" applyFont="1" applyFill="1" applyBorder="1" applyAlignment="1">
      <alignment horizontal="center"/>
    </xf>
    <xf numFmtId="0" fontId="19" fillId="2" borderId="24" xfId="1" applyFont="1" applyFill="1" applyBorder="1" applyAlignment="1">
      <alignment horizontal="right"/>
    </xf>
    <xf numFmtId="1" fontId="18" fillId="6" borderId="52" xfId="1" applyNumberFormat="1" applyFont="1" applyFill="1" applyBorder="1" applyAlignment="1">
      <alignment horizontal="center"/>
    </xf>
    <xf numFmtId="170" fontId="18" fillId="6" borderId="38" xfId="1" applyNumberFormat="1" applyFont="1" applyFill="1" applyBorder="1" applyAlignment="1">
      <alignment horizontal="center"/>
    </xf>
    <xf numFmtId="1" fontId="18" fillId="6" borderId="37" xfId="1" applyNumberFormat="1" applyFont="1" applyFill="1" applyBorder="1" applyAlignment="1">
      <alignment horizontal="center"/>
    </xf>
    <xf numFmtId="170" fontId="18" fillId="6" borderId="39" xfId="1" applyNumberFormat="1" applyFont="1" applyFill="1" applyBorder="1" applyAlignment="1">
      <alignment horizontal="center"/>
    </xf>
    <xf numFmtId="0" fontId="14" fillId="2" borderId="0" xfId="1" applyFont="1" applyFill="1" applyAlignment="1">
      <alignment horizontal="center"/>
    </xf>
    <xf numFmtId="0" fontId="19" fillId="2" borderId="50" xfId="1" applyFont="1" applyFill="1" applyBorder="1" applyAlignment="1">
      <alignment horizontal="right"/>
    </xf>
    <xf numFmtId="0" fontId="20" fillId="3" borderId="51" xfId="1" applyFont="1" applyFill="1" applyBorder="1" applyAlignment="1" applyProtection="1">
      <alignment horizontal="center"/>
      <protection locked="0"/>
    </xf>
    <xf numFmtId="0" fontId="20" fillId="3" borderId="16" xfId="1" applyFont="1" applyFill="1" applyBorder="1" applyAlignment="1" applyProtection="1">
      <alignment horizontal="center"/>
      <protection locked="0"/>
    </xf>
    <xf numFmtId="0" fontId="19" fillId="2" borderId="25" xfId="1" applyFont="1" applyFill="1" applyBorder="1" applyAlignment="1">
      <alignment horizontal="right"/>
    </xf>
    <xf numFmtId="2" fontId="19" fillId="6" borderId="27" xfId="1" applyNumberFormat="1" applyFont="1" applyFill="1" applyBorder="1" applyAlignment="1">
      <alignment horizontal="center"/>
    </xf>
    <xf numFmtId="0" fontId="19" fillId="2" borderId="0" xfId="1" applyFont="1" applyFill="1" applyAlignment="1">
      <alignment horizontal="center"/>
    </xf>
    <xf numFmtId="2" fontId="19" fillId="6" borderId="41" xfId="1" applyNumberFormat="1" applyFont="1" applyFill="1" applyBorder="1" applyAlignment="1">
      <alignment horizontal="center"/>
    </xf>
    <xf numFmtId="2" fontId="19" fillId="7" borderId="27" xfId="1" applyNumberFormat="1" applyFont="1" applyFill="1" applyBorder="1" applyAlignment="1">
      <alignment horizontal="center"/>
    </xf>
    <xf numFmtId="2" fontId="19" fillId="2" borderId="0" xfId="1" applyNumberFormat="1" applyFont="1" applyFill="1" applyAlignment="1">
      <alignment horizontal="center"/>
    </xf>
    <xf numFmtId="2" fontId="19" fillId="7" borderId="41" xfId="1" applyNumberFormat="1" applyFont="1" applyFill="1" applyBorder="1" applyAlignment="1">
      <alignment horizontal="center"/>
    </xf>
    <xf numFmtId="2" fontId="19" fillId="6" borderId="17" xfId="1" applyNumberFormat="1" applyFont="1" applyFill="1" applyBorder="1" applyAlignment="1">
      <alignment horizontal="center"/>
    </xf>
    <xf numFmtId="0" fontId="20" fillId="3" borderId="27" xfId="1" applyFont="1" applyFill="1" applyBorder="1" applyAlignment="1" applyProtection="1">
      <alignment horizontal="center"/>
      <protection locked="0"/>
    </xf>
    <xf numFmtId="1" fontId="19" fillId="2" borderId="0" xfId="1" applyNumberFormat="1" applyFont="1" applyFill="1" applyAlignment="1">
      <alignment horizontal="center"/>
    </xf>
    <xf numFmtId="0" fontId="19" fillId="2" borderId="52" xfId="1" applyFont="1" applyFill="1" applyBorder="1" applyAlignment="1">
      <alignment horizontal="right"/>
    </xf>
    <xf numFmtId="2" fontId="19" fillId="7" borderId="30" xfId="1" applyNumberFormat="1" applyFont="1" applyFill="1" applyBorder="1" applyAlignment="1">
      <alignment horizontal="center"/>
    </xf>
    <xf numFmtId="170" fontId="19" fillId="2" borderId="0" xfId="1" applyNumberFormat="1" applyFont="1" applyFill="1" applyAlignment="1">
      <alignment horizontal="center"/>
    </xf>
    <xf numFmtId="0" fontId="19" fillId="2" borderId="16" xfId="1" applyFont="1" applyFill="1" applyBorder="1" applyAlignment="1">
      <alignment horizontal="right"/>
    </xf>
    <xf numFmtId="170" fontId="18" fillId="7" borderId="16" xfId="1" applyNumberFormat="1" applyFont="1" applyFill="1" applyBorder="1" applyAlignment="1">
      <alignment horizontal="center"/>
    </xf>
    <xf numFmtId="0" fontId="19" fillId="2" borderId="41" xfId="1" applyFont="1" applyFill="1" applyBorder="1" applyAlignment="1">
      <alignment horizontal="right"/>
    </xf>
    <xf numFmtId="10" fontId="19" fillId="6" borderId="41" xfId="1" applyNumberFormat="1" applyFont="1" applyFill="1" applyBorder="1" applyAlignment="1">
      <alignment horizontal="center"/>
    </xf>
    <xf numFmtId="0" fontId="19" fillId="2" borderId="17" xfId="1" applyFont="1" applyFill="1" applyBorder="1" applyAlignment="1">
      <alignment horizontal="right"/>
    </xf>
    <xf numFmtId="0" fontId="19" fillId="7" borderId="17" xfId="1" applyFont="1" applyFill="1" applyBorder="1" applyAlignment="1">
      <alignment horizontal="center"/>
    </xf>
    <xf numFmtId="0" fontId="18" fillId="2" borderId="0" xfId="1" applyFont="1" applyFill="1" applyAlignment="1">
      <alignment horizontal="left"/>
    </xf>
    <xf numFmtId="0" fontId="19" fillId="2" borderId="0" xfId="1" applyFont="1" applyFill="1" applyAlignment="1">
      <alignment horizontal="left"/>
    </xf>
    <xf numFmtId="166" fontId="18" fillId="2" borderId="0" xfId="1" applyNumberFormat="1" applyFont="1" applyFill="1" applyAlignment="1" applyProtection="1">
      <alignment horizontal="center"/>
      <protection locked="0"/>
    </xf>
    <xf numFmtId="2" fontId="18" fillId="2" borderId="13" xfId="1" applyNumberFormat="1" applyFont="1" applyFill="1" applyBorder="1" applyAlignment="1">
      <alignment horizontal="center"/>
    </xf>
    <xf numFmtId="0" fontId="18" fillId="2" borderId="13" xfId="1" applyFont="1" applyFill="1" applyBorder="1" applyAlignment="1">
      <alignment horizontal="center"/>
    </xf>
    <xf numFmtId="0" fontId="19" fillId="2" borderId="13" xfId="1" applyFont="1" applyFill="1" applyBorder="1" applyAlignment="1">
      <alignment horizontal="center"/>
    </xf>
    <xf numFmtId="0" fontId="20" fillId="3" borderId="21" xfId="1" applyFont="1" applyFill="1" applyBorder="1" applyAlignment="1" applyProtection="1">
      <alignment horizontal="center"/>
      <protection locked="0"/>
    </xf>
    <xf numFmtId="2" fontId="19" fillId="2" borderId="21" xfId="1" applyNumberFormat="1" applyFont="1" applyFill="1" applyBorder="1" applyAlignment="1">
      <alignment horizontal="center"/>
    </xf>
    <xf numFmtId="10" fontId="19" fillId="2" borderId="13" xfId="1" applyNumberFormat="1" applyFont="1" applyFill="1" applyBorder="1" applyAlignment="1">
      <alignment horizontal="center" vertical="center"/>
    </xf>
    <xf numFmtId="0" fontId="19" fillId="2" borderId="14" xfId="1" applyFont="1" applyFill="1" applyBorder="1" applyAlignment="1">
      <alignment horizontal="center"/>
    </xf>
    <xf numFmtId="2" fontId="19" fillId="2" borderId="23" xfId="1" applyNumberFormat="1" applyFont="1" applyFill="1" applyBorder="1" applyAlignment="1">
      <alignment horizontal="center"/>
    </xf>
    <xf numFmtId="10" fontId="19" fillId="2" borderId="14" xfId="1" applyNumberFormat="1" applyFont="1" applyFill="1" applyBorder="1" applyAlignment="1">
      <alignment horizontal="center" vertical="center"/>
    </xf>
    <xf numFmtId="0" fontId="19" fillId="2" borderId="15" xfId="1" applyFont="1" applyFill="1" applyBorder="1" applyAlignment="1">
      <alignment horizontal="center"/>
    </xf>
    <xf numFmtId="0" fontId="20" fillId="3" borderId="42" xfId="1" applyFont="1" applyFill="1" applyBorder="1" applyAlignment="1" applyProtection="1">
      <alignment horizontal="center"/>
      <protection locked="0"/>
    </xf>
    <xf numFmtId="2" fontId="19" fillId="2" borderId="13" xfId="1" applyNumberFormat="1" applyFont="1" applyFill="1" applyBorder="1" applyAlignment="1">
      <alignment horizontal="center"/>
    </xf>
    <xf numFmtId="10" fontId="19" fillId="2" borderId="22" xfId="1" applyNumberFormat="1" applyFont="1" applyFill="1" applyBorder="1" applyAlignment="1">
      <alignment horizontal="center" vertical="center"/>
    </xf>
    <xf numFmtId="2" fontId="19" fillId="2" borderId="14" xfId="1" applyNumberFormat="1" applyFont="1" applyFill="1" applyBorder="1" applyAlignment="1">
      <alignment horizontal="center"/>
    </xf>
    <xf numFmtId="10" fontId="19" fillId="2" borderId="24" xfId="1" applyNumberFormat="1" applyFont="1" applyFill="1" applyBorder="1" applyAlignment="1">
      <alignment horizontal="center" vertical="center"/>
    </xf>
    <xf numFmtId="2" fontId="19" fillId="2" borderId="15" xfId="1" applyNumberFormat="1" applyFont="1" applyFill="1" applyBorder="1" applyAlignment="1">
      <alignment horizontal="center"/>
    </xf>
    <xf numFmtId="10" fontId="19" fillId="2" borderId="43" xfId="1" applyNumberFormat="1" applyFont="1" applyFill="1" applyBorder="1" applyAlignment="1">
      <alignment horizontal="center" vertical="center"/>
    </xf>
    <xf numFmtId="0" fontId="18" fillId="2" borderId="24" xfId="1" applyFont="1" applyFill="1" applyBorder="1" applyAlignment="1">
      <alignment horizontal="center"/>
    </xf>
    <xf numFmtId="0" fontId="19" fillId="2" borderId="42" xfId="1" applyFont="1" applyFill="1" applyBorder="1" applyAlignment="1">
      <alignment horizontal="right"/>
    </xf>
    <xf numFmtId="2" fontId="28" fillId="2" borderId="43" xfId="1" applyNumberFormat="1" applyFont="1" applyFill="1" applyBorder="1" applyAlignment="1">
      <alignment horizontal="center"/>
    </xf>
    <xf numFmtId="10" fontId="19" fillId="2" borderId="15" xfId="1" applyNumberFormat="1" applyFont="1" applyFill="1" applyBorder="1" applyAlignment="1">
      <alignment horizontal="center" vertical="center"/>
    </xf>
    <xf numFmtId="0" fontId="19" fillId="2" borderId="44" xfId="1" applyFont="1" applyFill="1" applyBorder="1" applyAlignment="1">
      <alignment horizontal="right"/>
    </xf>
    <xf numFmtId="10" fontId="20" fillId="7" borderId="33" xfId="1" applyNumberFormat="1" applyFont="1" applyFill="1" applyBorder="1" applyAlignment="1">
      <alignment horizontal="center"/>
    </xf>
    <xf numFmtId="10" fontId="20" fillId="6" borderId="56" xfId="1" applyNumberFormat="1" applyFont="1" applyFill="1" applyBorder="1" applyAlignment="1">
      <alignment horizontal="center"/>
    </xf>
    <xf numFmtId="0" fontId="20" fillId="7" borderId="45" xfId="1" applyFont="1" applyFill="1" applyBorder="1" applyAlignment="1">
      <alignment horizontal="center"/>
    </xf>
    <xf numFmtId="165" fontId="18" fillId="2" borderId="0" xfId="1" applyNumberFormat="1" applyFont="1" applyFill="1" applyAlignment="1">
      <alignment horizontal="center"/>
    </xf>
    <xf numFmtId="0" fontId="29" fillId="3" borderId="0" xfId="1" applyFont="1" applyFill="1" applyAlignment="1" applyProtection="1">
      <alignment horizontal="center"/>
      <protection locked="0"/>
    </xf>
    <xf numFmtId="0" fontId="18" fillId="2" borderId="46" xfId="1" applyFont="1" applyFill="1" applyBorder="1" applyAlignment="1">
      <alignment horizontal="center"/>
    </xf>
    <xf numFmtId="0" fontId="18" fillId="2" borderId="40" xfId="1" applyFont="1" applyFill="1" applyBorder="1" applyAlignment="1">
      <alignment horizontal="center"/>
    </xf>
    <xf numFmtId="0" fontId="18" fillId="2" borderId="10" xfId="1" applyFont="1" applyFill="1" applyBorder="1" applyAlignment="1">
      <alignment horizontal="center"/>
    </xf>
    <xf numFmtId="0" fontId="19" fillId="2" borderId="47" xfId="1" applyFont="1" applyFill="1" applyBorder="1" applyAlignment="1">
      <alignment horizontal="center"/>
    </xf>
    <xf numFmtId="0" fontId="19" fillId="2" borderId="7" xfId="1" applyFont="1" applyFill="1" applyBorder="1" applyAlignment="1">
      <alignment horizontal="center"/>
    </xf>
    <xf numFmtId="170" fontId="20" fillId="3" borderId="34" xfId="1" applyNumberFormat="1" applyFont="1" applyFill="1" applyBorder="1" applyAlignment="1" applyProtection="1">
      <alignment horizontal="center"/>
      <protection locked="0"/>
    </xf>
    <xf numFmtId="1" fontId="18" fillId="6" borderId="48" xfId="1" applyNumberFormat="1" applyFont="1" applyFill="1" applyBorder="1" applyAlignment="1">
      <alignment horizontal="center"/>
    </xf>
    <xf numFmtId="1" fontId="18" fillId="6" borderId="49" xfId="1" applyNumberFormat="1" applyFont="1" applyFill="1" applyBorder="1" applyAlignment="1">
      <alignment horizontal="center"/>
    </xf>
    <xf numFmtId="1" fontId="18" fillId="6" borderId="15" xfId="1" applyNumberFormat="1" applyFont="1" applyFill="1" applyBorder="1" applyAlignment="1">
      <alignment horizontal="center"/>
    </xf>
    <xf numFmtId="2" fontId="14" fillId="2" borderId="0" xfId="1" applyNumberFormat="1" applyFont="1" applyFill="1" applyAlignment="1">
      <alignment horizontal="center"/>
    </xf>
    <xf numFmtId="0" fontId="18" fillId="2" borderId="0" xfId="1" applyFont="1" applyFill="1" applyAlignment="1">
      <alignment horizontal="center" wrapText="1"/>
    </xf>
    <xf numFmtId="10" fontId="19" fillId="2" borderId="0" xfId="1" applyNumberFormat="1" applyFont="1" applyFill="1" applyAlignment="1">
      <alignment horizontal="center"/>
    </xf>
    <xf numFmtId="10" fontId="18" fillId="6" borderId="41" xfId="1" applyNumberFormat="1" applyFont="1" applyFill="1" applyBorder="1" applyAlignment="1">
      <alignment horizontal="center"/>
    </xf>
    <xf numFmtId="0" fontId="18" fillId="7" borderId="17" xfId="1" applyFont="1" applyFill="1" applyBorder="1" applyAlignment="1">
      <alignment horizontal="center"/>
    </xf>
    <xf numFmtId="0" fontId="18" fillId="2" borderId="53" xfId="1" applyFont="1" applyFill="1" applyBorder="1" applyAlignment="1">
      <alignment horizontal="center"/>
    </xf>
    <xf numFmtId="0" fontId="18" fillId="2" borderId="54" xfId="1" applyFont="1" applyFill="1" applyBorder="1"/>
    <xf numFmtId="0" fontId="18" fillId="2" borderId="22" xfId="1" applyFont="1" applyFill="1" applyBorder="1" applyAlignment="1">
      <alignment horizontal="center" wrapText="1"/>
    </xf>
    <xf numFmtId="0" fontId="19" fillId="2" borderId="23" xfId="1" applyFont="1" applyFill="1" applyBorder="1" applyAlignment="1">
      <alignment horizontal="center"/>
    </xf>
    <xf numFmtId="1" fontId="20" fillId="3" borderId="31" xfId="1" applyNumberFormat="1" applyFont="1" applyFill="1" applyBorder="1" applyAlignment="1" applyProtection="1">
      <alignment horizontal="center"/>
      <protection locked="0"/>
    </xf>
    <xf numFmtId="2" fontId="19" fillId="2" borderId="26" xfId="1" applyNumberFormat="1" applyFont="1" applyFill="1" applyBorder="1" applyAlignment="1">
      <alignment horizontal="center"/>
    </xf>
    <xf numFmtId="10" fontId="19" fillId="2" borderId="30" xfId="1" applyNumberFormat="1" applyFont="1" applyFill="1" applyBorder="1" applyAlignment="1">
      <alignment horizontal="center"/>
    </xf>
    <xf numFmtId="2" fontId="19" fillId="2" borderId="31" xfId="1" applyNumberFormat="1" applyFont="1" applyFill="1" applyBorder="1" applyAlignment="1">
      <alignment horizontal="center"/>
    </xf>
    <xf numFmtId="10" fontId="19" fillId="2" borderId="32" xfId="1" applyNumberFormat="1" applyFont="1" applyFill="1" applyBorder="1" applyAlignment="1">
      <alignment horizontal="center"/>
    </xf>
    <xf numFmtId="0" fontId="19" fillId="2" borderId="34" xfId="1" applyFont="1" applyFill="1" applyBorder="1" applyAlignment="1">
      <alignment horizontal="center"/>
    </xf>
    <xf numFmtId="1" fontId="20" fillId="3" borderId="35" xfId="1" applyNumberFormat="1" applyFont="1" applyFill="1" applyBorder="1" applyAlignment="1" applyProtection="1">
      <alignment horizontal="center"/>
      <protection locked="0"/>
    </xf>
    <xf numFmtId="2" fontId="19" fillId="2" borderId="35" xfId="1" applyNumberFormat="1" applyFont="1" applyFill="1" applyBorder="1" applyAlignment="1">
      <alignment horizontal="center"/>
    </xf>
    <xf numFmtId="10" fontId="19" fillId="2" borderId="36" xfId="1" applyNumberFormat="1" applyFont="1" applyFill="1" applyBorder="1" applyAlignment="1">
      <alignment horizontal="center"/>
    </xf>
    <xf numFmtId="2" fontId="19" fillId="2" borderId="24" xfId="1" applyNumberFormat="1" applyFont="1" applyFill="1" applyBorder="1" applyAlignment="1">
      <alignment horizontal="center"/>
    </xf>
    <xf numFmtId="170" fontId="18" fillId="2" borderId="0" xfId="1" applyNumberFormat="1" applyFont="1" applyFill="1" applyAlignment="1">
      <alignment horizontal="center"/>
    </xf>
    <xf numFmtId="170" fontId="19" fillId="2" borderId="2" xfId="1" applyNumberFormat="1" applyFont="1" applyFill="1" applyBorder="1" applyAlignment="1">
      <alignment horizontal="right"/>
    </xf>
    <xf numFmtId="10" fontId="20" fillId="7" borderId="27" xfId="1" applyNumberFormat="1" applyFont="1" applyFill="1" applyBorder="1" applyAlignment="1">
      <alignment horizontal="center"/>
    </xf>
    <xf numFmtId="0" fontId="19" fillId="2" borderId="23" xfId="1" applyFont="1" applyFill="1" applyBorder="1"/>
    <xf numFmtId="0" fontId="19" fillId="2" borderId="6" xfId="1" applyFont="1" applyFill="1" applyBorder="1"/>
    <xf numFmtId="10" fontId="20" fillId="6" borderId="27" xfId="1" applyNumberFormat="1" applyFont="1" applyFill="1" applyBorder="1" applyAlignment="1">
      <alignment horizontal="center"/>
    </xf>
    <xf numFmtId="0" fontId="19" fillId="2" borderId="42" xfId="1" applyFont="1" applyFill="1" applyBorder="1"/>
    <xf numFmtId="0" fontId="19" fillId="2" borderId="58" xfId="1" applyFont="1" applyFill="1" applyBorder="1" applyAlignment="1">
      <alignment horizontal="center"/>
    </xf>
    <xf numFmtId="0" fontId="19" fillId="2" borderId="55" xfId="1" applyFont="1" applyFill="1" applyBorder="1" applyAlignment="1">
      <alignment horizontal="right"/>
    </xf>
    <xf numFmtId="0" fontId="20" fillId="7" borderId="17" xfId="1" applyFont="1" applyFill="1" applyBorder="1" applyAlignment="1">
      <alignment horizontal="center"/>
    </xf>
    <xf numFmtId="165" fontId="20" fillId="2" borderId="0" xfId="1" applyNumberFormat="1" applyFont="1" applyFill="1" applyAlignment="1">
      <alignment horizontal="center"/>
    </xf>
    <xf numFmtId="0" fontId="28" fillId="3" borderId="22" xfId="1" applyFont="1" applyFill="1" applyBorder="1" applyAlignment="1" applyProtection="1">
      <alignment horizontal="center"/>
      <protection locked="0"/>
    </xf>
    <xf numFmtId="0" fontId="28" fillId="3" borderId="24" xfId="1" applyFont="1" applyFill="1" applyBorder="1" applyAlignment="1" applyProtection="1">
      <alignment horizontal="center"/>
      <protection locked="0"/>
    </xf>
    <xf numFmtId="2" fontId="19" fillId="2" borderId="4" xfId="1" applyNumberFormat="1" applyFont="1" applyFill="1" applyBorder="1" applyAlignment="1">
      <alignment horizontal="center"/>
    </xf>
    <xf numFmtId="10" fontId="19" fillId="2" borderId="28" xfId="1" applyNumberFormat="1" applyFont="1" applyFill="1" applyBorder="1" applyAlignment="1">
      <alignment horizontal="center"/>
    </xf>
    <xf numFmtId="2" fontId="19" fillId="2" borderId="3" xfId="1" applyNumberFormat="1" applyFont="1" applyFill="1" applyBorder="1" applyAlignment="1">
      <alignment horizontal="center"/>
    </xf>
    <xf numFmtId="10" fontId="19" fillId="2" borderId="24" xfId="1" applyNumberFormat="1" applyFont="1" applyFill="1" applyBorder="1" applyAlignment="1">
      <alignment horizontal="center"/>
    </xf>
    <xf numFmtId="2" fontId="19" fillId="2" borderId="5" xfId="1" applyNumberFormat="1" applyFont="1" applyFill="1" applyBorder="1" applyAlignment="1">
      <alignment horizontal="center"/>
    </xf>
    <xf numFmtId="10" fontId="19" fillId="2" borderId="33" xfId="1" applyNumberFormat="1" applyFont="1" applyFill="1" applyBorder="1" applyAlignment="1">
      <alignment horizontal="center"/>
    </xf>
    <xf numFmtId="0" fontId="19" fillId="2" borderId="24" xfId="1" applyFont="1" applyFill="1" applyBorder="1" applyAlignment="1" applyProtection="1">
      <alignment horizontal="center"/>
      <protection locked="0"/>
    </xf>
    <xf numFmtId="0" fontId="21" fillId="2" borderId="9" xfId="1" applyFont="1" applyFill="1" applyBorder="1" applyAlignment="1">
      <alignment horizontal="left" vertical="center" wrapText="1"/>
    </xf>
    <xf numFmtId="0" fontId="19" fillId="2" borderId="9" xfId="1" applyFont="1" applyFill="1" applyBorder="1"/>
    <xf numFmtId="0" fontId="19" fillId="2" borderId="10" xfId="1" applyFont="1" applyFill="1" applyBorder="1" applyAlignment="1">
      <alignment horizontal="center"/>
    </xf>
    <xf numFmtId="0" fontId="19" fillId="2" borderId="7" xfId="1" applyFont="1" applyFill="1" applyBorder="1" applyProtection="1">
      <protection locked="0"/>
    </xf>
    <xf numFmtId="0" fontId="19" fillId="2" borderId="7" xfId="1" applyFont="1" applyFill="1" applyBorder="1"/>
    <xf numFmtId="0" fontId="18" fillId="2" borderId="11" xfId="1" applyFont="1" applyFill="1" applyBorder="1" applyProtection="1">
      <protection locked="0"/>
    </xf>
    <xf numFmtId="0" fontId="18" fillId="2" borderId="11" xfId="1" applyFont="1" applyFill="1" applyBorder="1"/>
    <xf numFmtId="0" fontId="19" fillId="2" borderId="11" xfId="1" applyFont="1" applyFill="1" applyBorder="1"/>
    <xf numFmtId="0" fontId="21" fillId="2" borderId="21" xfId="1" applyFont="1" applyFill="1" applyBorder="1" applyAlignment="1">
      <alignment horizontal="left" vertical="center" wrapText="1"/>
    </xf>
    <xf numFmtId="0" fontId="21" fillId="2" borderId="10" xfId="1" applyFont="1" applyFill="1" applyBorder="1" applyAlignment="1">
      <alignment horizontal="left" vertical="center" wrapText="1"/>
    </xf>
    <xf numFmtId="0" fontId="21" fillId="2" borderId="42" xfId="1" applyFont="1" applyFill="1" applyBorder="1" applyAlignment="1">
      <alignment horizontal="left" vertical="center" wrapText="1"/>
    </xf>
    <xf numFmtId="0" fontId="21" fillId="2" borderId="9" xfId="1" applyFont="1" applyFill="1" applyBorder="1" applyAlignment="1">
      <alignment horizontal="left" vertical="center" wrapText="1"/>
    </xf>
    <xf numFmtId="0" fontId="18" fillId="2" borderId="10" xfId="1" applyFont="1" applyFill="1" applyBorder="1" applyAlignment="1">
      <alignment horizontal="center" vertical="center"/>
    </xf>
    <xf numFmtId="0" fontId="18" fillId="2" borderId="0" xfId="1" applyFont="1" applyFill="1" applyAlignment="1">
      <alignment horizontal="center" vertical="center"/>
    </xf>
    <xf numFmtId="0" fontId="18" fillId="2" borderId="9" xfId="1" applyFont="1" applyFill="1" applyBorder="1" applyAlignment="1">
      <alignment horizontal="center" vertical="center"/>
    </xf>
    <xf numFmtId="2" fontId="20" fillId="3" borderId="13" xfId="1" applyNumberFormat="1" applyFont="1" applyFill="1" applyBorder="1" applyAlignment="1" applyProtection="1">
      <alignment horizontal="center" vertical="center"/>
      <protection locked="0"/>
    </xf>
    <xf numFmtId="2" fontId="20" fillId="3" borderId="14" xfId="1" applyNumberFormat="1" applyFont="1" applyFill="1" applyBorder="1" applyAlignment="1" applyProtection="1">
      <alignment horizontal="center" vertical="center"/>
      <protection locked="0"/>
    </xf>
    <xf numFmtId="2" fontId="20" fillId="3" borderId="15" xfId="1" applyNumberFormat="1" applyFont="1" applyFill="1" applyBorder="1" applyAlignment="1" applyProtection="1">
      <alignment horizontal="center" vertical="center"/>
      <protection locked="0"/>
    </xf>
    <xf numFmtId="0" fontId="13" fillId="2" borderId="0" xfId="1" applyFont="1" applyFill="1" applyAlignment="1">
      <alignment horizontal="center" vertical="center"/>
    </xf>
    <xf numFmtId="0" fontId="15" fillId="2" borderId="0" xfId="1" applyFont="1" applyFill="1" applyAlignment="1">
      <alignment horizontal="center" vertical="center"/>
    </xf>
    <xf numFmtId="0" fontId="16" fillId="2" borderId="18" xfId="1" applyFont="1" applyFill="1" applyBorder="1" applyAlignment="1">
      <alignment horizontal="center"/>
    </xf>
    <xf numFmtId="0" fontId="16" fillId="2" borderId="19" xfId="1" applyFont="1" applyFill="1" applyBorder="1" applyAlignment="1">
      <alignment horizontal="center"/>
    </xf>
    <xf numFmtId="0" fontId="16" fillId="2" borderId="20" xfId="1" applyFont="1" applyFill="1" applyBorder="1" applyAlignment="1">
      <alignment horizontal="center"/>
    </xf>
    <xf numFmtId="0" fontId="18" fillId="3" borderId="0" xfId="1" applyFont="1" applyFill="1" applyAlignment="1" applyProtection="1">
      <alignment horizontal="left"/>
      <protection locked="0"/>
    </xf>
    <xf numFmtId="0" fontId="20" fillId="3" borderId="0" xfId="1" applyFont="1" applyFill="1" applyAlignment="1" applyProtection="1">
      <alignment horizontal="left"/>
      <protection locked="0"/>
    </xf>
    <xf numFmtId="0" fontId="21" fillId="2" borderId="18" xfId="1" applyFont="1" applyFill="1" applyBorder="1" applyAlignment="1">
      <alignment horizontal="justify" vertical="center" wrapText="1"/>
    </xf>
    <xf numFmtId="0" fontId="21" fillId="2" borderId="19" xfId="1" applyFont="1" applyFill="1" applyBorder="1" applyAlignment="1">
      <alignment horizontal="justify" vertical="center" wrapText="1"/>
    </xf>
    <xf numFmtId="0" fontId="21" fillId="2" borderId="20" xfId="1" applyFont="1" applyFill="1" applyBorder="1" applyAlignment="1">
      <alignment horizontal="justify" vertical="center" wrapText="1"/>
    </xf>
    <xf numFmtId="0" fontId="18" fillId="2" borderId="0" xfId="1" applyFont="1" applyFill="1" applyAlignment="1">
      <alignment horizontal="center"/>
    </xf>
    <xf numFmtId="0" fontId="21" fillId="2" borderId="18" xfId="1" applyFont="1" applyFill="1" applyBorder="1" applyAlignment="1">
      <alignment horizontal="left" vertical="center" wrapText="1"/>
    </xf>
    <xf numFmtId="0" fontId="21" fillId="2" borderId="19" xfId="1" applyFont="1" applyFill="1" applyBorder="1" applyAlignment="1">
      <alignment horizontal="left" vertical="center" wrapText="1"/>
    </xf>
    <xf numFmtId="0" fontId="21" fillId="2" borderId="20" xfId="1" applyFont="1" applyFill="1" applyBorder="1" applyAlignment="1">
      <alignment horizontal="left" vertical="center" wrapText="1"/>
    </xf>
    <xf numFmtId="0" fontId="18" fillId="2" borderId="46" xfId="1" applyFont="1" applyFill="1" applyBorder="1" applyAlignment="1">
      <alignment horizontal="center"/>
    </xf>
    <xf numFmtId="0" fontId="18" fillId="2" borderId="40" xfId="1" applyFont="1" applyFill="1" applyBorder="1" applyAlignment="1">
      <alignment horizontal="center"/>
    </xf>
    <xf numFmtId="0" fontId="18" fillId="2" borderId="57" xfId="1" applyFont="1" applyFill="1" applyBorder="1" applyAlignment="1">
      <alignment horizontal="center"/>
    </xf>
    <xf numFmtId="0" fontId="18" fillId="2" borderId="42" xfId="1" applyFont="1" applyFill="1" applyBorder="1" applyAlignment="1">
      <alignment horizontal="center" vertical="center"/>
    </xf>
    <xf numFmtId="0" fontId="21" fillId="2" borderId="21" xfId="1" applyFont="1" applyFill="1" applyBorder="1" applyAlignment="1">
      <alignment horizontal="center" vertical="center" wrapText="1"/>
    </xf>
    <xf numFmtId="0" fontId="21" fillId="2" borderId="22" xfId="1" applyFont="1" applyFill="1" applyBorder="1" applyAlignment="1">
      <alignment horizontal="center" vertical="center" wrapText="1"/>
    </xf>
    <xf numFmtId="0" fontId="21" fillId="2" borderId="42" xfId="1" applyFont="1" applyFill="1" applyBorder="1" applyAlignment="1">
      <alignment horizontal="center" vertical="center" wrapText="1"/>
    </xf>
    <xf numFmtId="0" fontId="21" fillId="2" borderId="43" xfId="1" applyFont="1" applyFill="1" applyBorder="1" applyAlignment="1">
      <alignment horizontal="center" vertical="center" wrapText="1"/>
    </xf>
    <xf numFmtId="0" fontId="18" fillId="2" borderId="10" xfId="1" applyFont="1" applyFill="1" applyBorder="1" applyAlignment="1">
      <alignment horizontal="center"/>
    </xf>
    <xf numFmtId="0" fontId="21" fillId="2" borderId="22" xfId="1" applyFont="1" applyFill="1" applyBorder="1" applyAlignment="1">
      <alignment horizontal="left" vertical="center" wrapText="1"/>
    </xf>
    <xf numFmtId="0" fontId="21" fillId="2" borderId="43" xfId="1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2" fillId="2" borderId="1" xfId="0" applyFont="1" applyFill="1" applyBorder="1" applyAlignment="1">
      <alignment horizontal="center"/>
    </xf>
    <xf numFmtId="2" fontId="30" fillId="3" borderId="4" xfId="0" applyNumberFormat="1" applyFont="1" applyFill="1" applyBorder="1" applyAlignment="1" applyProtection="1">
      <alignment horizontal="center"/>
      <protection locked="0"/>
    </xf>
    <xf numFmtId="2" fontId="30" fillId="3" borderId="3" xfId="0" applyNumberFormat="1" applyFont="1" applyFill="1" applyBorder="1" applyAlignment="1" applyProtection="1">
      <alignment horizontal="center"/>
      <protection locked="0"/>
    </xf>
    <xf numFmtId="2" fontId="30" fillId="3" borderId="5" xfId="0" applyNumberFormat="1" applyFont="1" applyFill="1" applyBorder="1" applyAlignment="1" applyProtection="1">
      <alignment horizontal="center"/>
      <protection locked="0"/>
    </xf>
    <xf numFmtId="2" fontId="22" fillId="4" borderId="1" xfId="0" applyNumberFormat="1" applyFont="1" applyFill="1" applyBorder="1" applyAlignment="1">
      <alignment horizontal="center"/>
    </xf>
    <xf numFmtId="0" fontId="31" fillId="2" borderId="6" xfId="0" applyFont="1" applyFill="1" applyBorder="1"/>
    <xf numFmtId="0" fontId="31" fillId="2" borderId="8" xfId="0" applyFont="1" applyFill="1" applyBorder="1"/>
    <xf numFmtId="0" fontId="17" fillId="2" borderId="0" xfId="2" applyFont="1" applyFill="1" applyAlignment="1">
      <alignment horizontal="center"/>
    </xf>
    <xf numFmtId="0" fontId="14" fillId="2" borderId="0" xfId="2" applyFont="1" applyFill="1"/>
    <xf numFmtId="0" fontId="32" fillId="2" borderId="0" xfId="2" applyFill="1"/>
    <xf numFmtId="0" fontId="33" fillId="2" borderId="0" xfId="2" applyFont="1" applyFill="1"/>
    <xf numFmtId="0" fontId="33" fillId="2" borderId="0" xfId="2" applyFont="1" applyFill="1" applyAlignment="1">
      <alignment horizontal="left"/>
    </xf>
    <xf numFmtId="0" fontId="22" fillId="2" borderId="0" xfId="2" applyFont="1" applyFill="1" applyAlignment="1">
      <alignment horizontal="left"/>
    </xf>
    <xf numFmtId="0" fontId="22" fillId="2" borderId="0" xfId="2" applyFont="1" applyFill="1" applyAlignment="1">
      <alignment horizontal="center"/>
    </xf>
    <xf numFmtId="0" fontId="31" fillId="2" borderId="0" xfId="2" applyFont="1" applyFill="1"/>
    <xf numFmtId="0" fontId="22" fillId="2" borderId="0" xfId="2" applyFont="1" applyFill="1"/>
    <xf numFmtId="2" fontId="22" fillId="2" borderId="0" xfId="2" applyNumberFormat="1" applyFont="1" applyFill="1" applyAlignment="1">
      <alignment horizontal="center"/>
    </xf>
    <xf numFmtId="164" fontId="22" fillId="2" borderId="0" xfId="2" applyNumberFormat="1" applyFont="1" applyFill="1" applyAlignment="1">
      <alignment horizontal="center"/>
    </xf>
    <xf numFmtId="0" fontId="22" fillId="2" borderId="1" xfId="2" applyFont="1" applyFill="1" applyBorder="1" applyAlignment="1">
      <alignment horizontal="center"/>
    </xf>
    <xf numFmtId="0" fontId="22" fillId="2" borderId="2" xfId="2" applyFont="1" applyFill="1" applyBorder="1" applyAlignment="1">
      <alignment horizontal="center"/>
    </xf>
    <xf numFmtId="0" fontId="31" fillId="2" borderId="3" xfId="2" applyFont="1" applyFill="1" applyBorder="1" applyAlignment="1">
      <alignment horizontal="center"/>
    </xf>
    <xf numFmtId="0" fontId="30" fillId="3" borderId="3" xfId="2" applyFont="1" applyFill="1" applyBorder="1" applyAlignment="1" applyProtection="1">
      <alignment horizontal="center"/>
      <protection locked="0"/>
    </xf>
    <xf numFmtId="2" fontId="30" fillId="3" borderId="3" xfId="2" applyNumberFormat="1" applyFont="1" applyFill="1" applyBorder="1" applyAlignment="1" applyProtection="1">
      <alignment horizontal="center"/>
      <protection locked="0"/>
    </xf>
    <xf numFmtId="2" fontId="30" fillId="3" borderId="4" xfId="2" applyNumberFormat="1" applyFont="1" applyFill="1" applyBorder="1" applyAlignment="1" applyProtection="1">
      <alignment horizontal="center"/>
      <protection locked="0"/>
    </xf>
    <xf numFmtId="0" fontId="30" fillId="3" borderId="5" xfId="2" applyFont="1" applyFill="1" applyBorder="1" applyAlignment="1" applyProtection="1">
      <alignment horizontal="center"/>
      <protection locked="0"/>
    </xf>
    <xf numFmtId="2" fontId="30" fillId="3" borderId="5" xfId="2" applyNumberFormat="1" applyFont="1" applyFill="1" applyBorder="1" applyAlignment="1" applyProtection="1">
      <alignment horizontal="center"/>
      <protection locked="0"/>
    </xf>
    <xf numFmtId="0" fontId="31" fillId="2" borderId="4" xfId="2" applyFont="1" applyFill="1" applyBorder="1"/>
    <xf numFmtId="1" fontId="22" fillId="4" borderId="2" xfId="2" applyNumberFormat="1" applyFont="1" applyFill="1" applyBorder="1" applyAlignment="1">
      <alignment horizontal="center"/>
    </xf>
    <xf numFmtId="1" fontId="22" fillId="4" borderId="1" xfId="2" applyNumberFormat="1" applyFont="1" applyFill="1" applyBorder="1" applyAlignment="1">
      <alignment horizontal="center"/>
    </xf>
    <xf numFmtId="2" fontId="22" fillId="4" borderId="1" xfId="2" applyNumberFormat="1" applyFont="1" applyFill="1" applyBorder="1" applyAlignment="1">
      <alignment horizontal="center"/>
    </xf>
    <xf numFmtId="0" fontId="31" fillId="2" borderId="3" xfId="2" applyFont="1" applyFill="1" applyBorder="1"/>
    <xf numFmtId="10" fontId="22" fillId="5" borderId="1" xfId="2" applyNumberFormat="1" applyFont="1" applyFill="1" applyBorder="1" applyAlignment="1">
      <alignment horizontal="center"/>
    </xf>
    <xf numFmtId="165" fontId="22" fillId="2" borderId="0" xfId="2" applyNumberFormat="1" applyFont="1" applyFill="1" applyAlignment="1">
      <alignment horizontal="center"/>
    </xf>
    <xf numFmtId="0" fontId="31" fillId="2" borderId="6" xfId="2" applyFont="1" applyFill="1" applyBorder="1"/>
    <xf numFmtId="0" fontId="31" fillId="2" borderId="5" xfId="2" applyFont="1" applyFill="1" applyBorder="1"/>
    <xf numFmtId="0" fontId="22" fillId="4" borderId="1" xfId="2" applyFont="1" applyFill="1" applyBorder="1" applyAlignment="1">
      <alignment horizontal="center"/>
    </xf>
    <xf numFmtId="0" fontId="22" fillId="2" borderId="7" xfId="2" applyFont="1" applyFill="1" applyBorder="1" applyAlignment="1">
      <alignment horizontal="center"/>
    </xf>
    <xf numFmtId="0" fontId="31" fillId="2" borderId="7" xfId="2" applyFont="1" applyFill="1" applyBorder="1"/>
    <xf numFmtId="0" fontId="31" fillId="2" borderId="8" xfId="2" applyFont="1" applyFill="1" applyBorder="1"/>
    <xf numFmtId="0" fontId="31" fillId="2" borderId="0" xfId="2" applyFont="1" applyFill="1" applyAlignment="1" applyProtection="1">
      <alignment horizontal="left"/>
      <protection locked="0"/>
    </xf>
    <xf numFmtId="0" fontId="31" fillId="2" borderId="0" xfId="2" applyFont="1" applyFill="1" applyProtection="1">
      <protection locked="0"/>
    </xf>
    <xf numFmtId="0" fontId="34" fillId="2" borderId="10" xfId="2" applyFont="1" applyFill="1" applyBorder="1" applyAlignment="1">
      <alignment horizontal="center"/>
    </xf>
    <xf numFmtId="0" fontId="34" fillId="2" borderId="10" xfId="2" applyFont="1" applyFill="1" applyBorder="1" applyAlignment="1">
      <alignment horizontal="center"/>
    </xf>
    <xf numFmtId="0" fontId="14" fillId="2" borderId="10" xfId="2" applyFont="1" applyFill="1" applyBorder="1" applyAlignment="1">
      <alignment horizontal="center"/>
    </xf>
    <xf numFmtId="0" fontId="34" fillId="2" borderId="0" xfId="2" applyFont="1" applyFill="1" applyAlignment="1">
      <alignment horizontal="right"/>
    </xf>
    <xf numFmtId="0" fontId="14" fillId="2" borderId="7" xfId="2" applyFont="1" applyFill="1" applyBorder="1"/>
    <xf numFmtId="0" fontId="34" fillId="2" borderId="11" xfId="2" applyFont="1" applyFill="1" applyBorder="1"/>
    <xf numFmtId="0" fontId="14" fillId="2" borderId="11" xfId="2" applyFont="1" applyFill="1" applyBorder="1"/>
  </cellXfs>
  <cellStyles count="3">
    <cellStyle name="Normal" xfId="0" builtinId="0"/>
    <cellStyle name="Normal 2" xfId="1"/>
    <cellStyle name="Normal 3" xfId="2"/>
  </cellStyles>
  <dxfs count="21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0"/>
  <sheetViews>
    <sheetView view="pageBreakPreview" topLeftCell="A57" zoomScale="50" zoomScaleNormal="60" zoomScaleSheetLayoutView="50" workbookViewId="0">
      <selection activeCell="D128" sqref="D128"/>
    </sheetView>
  </sheetViews>
  <sheetFormatPr defaultRowHeight="13.5" x14ac:dyDescent="0.25"/>
  <cols>
    <col min="1" max="1" width="55.42578125" style="98" customWidth="1"/>
    <col min="2" max="2" width="33.7109375" style="98" customWidth="1"/>
    <col min="3" max="3" width="42.28515625" style="98" customWidth="1"/>
    <col min="4" max="4" width="30.5703125" style="98" customWidth="1"/>
    <col min="5" max="5" width="39.85546875" style="98" customWidth="1"/>
    <col min="6" max="6" width="30.7109375" style="98" customWidth="1"/>
    <col min="7" max="7" width="39.85546875" style="98" customWidth="1"/>
    <col min="8" max="8" width="41.140625" style="98" customWidth="1"/>
    <col min="9" max="9" width="30.42578125" style="98" customWidth="1"/>
    <col min="10" max="10" width="21.28515625" style="98" customWidth="1"/>
    <col min="11" max="11" width="9.140625" style="98" customWidth="1"/>
    <col min="12" max="16384" width="9.140625" style="100"/>
  </cols>
  <sheetData>
    <row r="1" spans="1:8" x14ac:dyDescent="0.25">
      <c r="A1" s="269" t="s">
        <v>43</v>
      </c>
      <c r="B1" s="269"/>
      <c r="C1" s="269"/>
      <c r="D1" s="269"/>
      <c r="E1" s="269"/>
      <c r="F1" s="269"/>
      <c r="G1" s="269"/>
      <c r="H1" s="269"/>
    </row>
    <row r="2" spans="1:8" x14ac:dyDescent="0.25">
      <c r="A2" s="269"/>
      <c r="B2" s="269"/>
      <c r="C2" s="269"/>
      <c r="D2" s="269"/>
      <c r="E2" s="269"/>
      <c r="F2" s="269"/>
      <c r="G2" s="269"/>
      <c r="H2" s="269"/>
    </row>
    <row r="3" spans="1:8" x14ac:dyDescent="0.25">
      <c r="A3" s="269"/>
      <c r="B3" s="269"/>
      <c r="C3" s="269"/>
      <c r="D3" s="269"/>
      <c r="E3" s="269"/>
      <c r="F3" s="269"/>
      <c r="G3" s="269"/>
      <c r="H3" s="269"/>
    </row>
    <row r="4" spans="1:8" x14ac:dyDescent="0.25">
      <c r="A4" s="269"/>
      <c r="B4" s="269"/>
      <c r="C4" s="269"/>
      <c r="D4" s="269"/>
      <c r="E4" s="269"/>
      <c r="F4" s="269"/>
      <c r="G4" s="269"/>
      <c r="H4" s="269"/>
    </row>
    <row r="5" spans="1:8" x14ac:dyDescent="0.25">
      <c r="A5" s="269"/>
      <c r="B5" s="269"/>
      <c r="C5" s="269"/>
      <c r="D5" s="269"/>
      <c r="E5" s="269"/>
      <c r="F5" s="269"/>
      <c r="G5" s="269"/>
      <c r="H5" s="269"/>
    </row>
    <row r="6" spans="1:8" x14ac:dyDescent="0.25">
      <c r="A6" s="269"/>
      <c r="B6" s="269"/>
      <c r="C6" s="269"/>
      <c r="D6" s="269"/>
      <c r="E6" s="269"/>
      <c r="F6" s="269"/>
      <c r="G6" s="269"/>
      <c r="H6" s="269"/>
    </row>
    <row r="7" spans="1:8" x14ac:dyDescent="0.25">
      <c r="A7" s="269"/>
      <c r="B7" s="269"/>
      <c r="C7" s="269"/>
      <c r="D7" s="269"/>
      <c r="E7" s="269"/>
      <c r="F7" s="269"/>
      <c r="G7" s="269"/>
      <c r="H7" s="269"/>
    </row>
    <row r="8" spans="1:8" x14ac:dyDescent="0.25">
      <c r="A8" s="270" t="s">
        <v>44</v>
      </c>
      <c r="B8" s="270"/>
      <c r="C8" s="270"/>
      <c r="D8" s="270"/>
      <c r="E8" s="270"/>
      <c r="F8" s="270"/>
      <c r="G8" s="270"/>
      <c r="H8" s="270"/>
    </row>
    <row r="9" spans="1:8" x14ac:dyDescent="0.25">
      <c r="A9" s="270"/>
      <c r="B9" s="270"/>
      <c r="C9" s="270"/>
      <c r="D9" s="270"/>
      <c r="E9" s="270"/>
      <c r="F9" s="270"/>
      <c r="G9" s="270"/>
      <c r="H9" s="270"/>
    </row>
    <row r="10" spans="1:8" x14ac:dyDescent="0.25">
      <c r="A10" s="270"/>
      <c r="B10" s="270"/>
      <c r="C10" s="270"/>
      <c r="D10" s="270"/>
      <c r="E10" s="270"/>
      <c r="F10" s="270"/>
      <c r="G10" s="270"/>
      <c r="H10" s="270"/>
    </row>
    <row r="11" spans="1:8" x14ac:dyDescent="0.25">
      <c r="A11" s="270"/>
      <c r="B11" s="270"/>
      <c r="C11" s="270"/>
      <c r="D11" s="270"/>
      <c r="E11" s="270"/>
      <c r="F11" s="270"/>
      <c r="G11" s="270"/>
      <c r="H11" s="270"/>
    </row>
    <row r="12" spans="1:8" x14ac:dyDescent="0.25">
      <c r="A12" s="270"/>
      <c r="B12" s="270"/>
      <c r="C12" s="270"/>
      <c r="D12" s="270"/>
      <c r="E12" s="270"/>
      <c r="F12" s="270"/>
      <c r="G12" s="270"/>
      <c r="H12" s="270"/>
    </row>
    <row r="13" spans="1:8" x14ac:dyDescent="0.25">
      <c r="A13" s="270"/>
      <c r="B13" s="270"/>
      <c r="C13" s="270"/>
      <c r="D13" s="270"/>
      <c r="E13" s="270"/>
      <c r="F13" s="270"/>
      <c r="G13" s="270"/>
      <c r="H13" s="270"/>
    </row>
    <row r="14" spans="1:8" x14ac:dyDescent="0.25">
      <c r="A14" s="270"/>
      <c r="B14" s="270"/>
      <c r="C14" s="270"/>
      <c r="D14" s="270"/>
      <c r="E14" s="270"/>
      <c r="F14" s="270"/>
      <c r="G14" s="270"/>
      <c r="H14" s="270"/>
    </row>
    <row r="15" spans="1:8" ht="19.5" customHeight="1" thickBot="1" x14ac:dyDescent="0.3"/>
    <row r="16" spans="1:8" ht="19.5" customHeight="1" thickBot="1" x14ac:dyDescent="0.3">
      <c r="A16" s="271" t="s">
        <v>29</v>
      </c>
      <c r="B16" s="272"/>
      <c r="C16" s="272"/>
      <c r="D16" s="272"/>
      <c r="E16" s="272"/>
      <c r="F16" s="272"/>
      <c r="G16" s="272"/>
      <c r="H16" s="273"/>
    </row>
    <row r="17" spans="1:13" ht="18.75" x14ac:dyDescent="0.3">
      <c r="A17" s="99" t="s">
        <v>45</v>
      </c>
      <c r="B17" s="99"/>
    </row>
    <row r="18" spans="1:13" ht="18.75" x14ac:dyDescent="0.3">
      <c r="A18" s="101" t="s">
        <v>31</v>
      </c>
      <c r="B18" s="274" t="s">
        <v>4</v>
      </c>
      <c r="C18" s="274"/>
      <c r="D18" s="102"/>
      <c r="E18" s="102"/>
    </row>
    <row r="19" spans="1:13" ht="18.75" x14ac:dyDescent="0.3">
      <c r="A19" s="101" t="s">
        <v>32</v>
      </c>
      <c r="B19" s="103" t="s">
        <v>124</v>
      </c>
      <c r="C19" s="104">
        <v>35</v>
      </c>
    </row>
    <row r="20" spans="1:13" ht="18.75" x14ac:dyDescent="0.3">
      <c r="A20" s="101" t="s">
        <v>33</v>
      </c>
      <c r="B20" s="103" t="s">
        <v>91</v>
      </c>
    </row>
    <row r="21" spans="1:13" ht="18.75" x14ac:dyDescent="0.3">
      <c r="A21" s="101" t="s">
        <v>34</v>
      </c>
      <c r="B21" s="105" t="s">
        <v>92</v>
      </c>
      <c r="C21" s="105"/>
      <c r="D21" s="105"/>
      <c r="E21" s="105"/>
      <c r="F21" s="105"/>
      <c r="G21" s="105"/>
      <c r="H21" s="105"/>
    </row>
    <row r="22" spans="1:13" ht="18.75" x14ac:dyDescent="0.3">
      <c r="A22" s="101" t="s">
        <v>35</v>
      </c>
      <c r="B22" s="106"/>
    </row>
    <row r="23" spans="1:13" ht="26.25" x14ac:dyDescent="0.4">
      <c r="A23" s="101" t="s">
        <v>36</v>
      </c>
      <c r="B23" s="107"/>
    </row>
    <row r="24" spans="1:13" ht="18.75" x14ac:dyDescent="0.3">
      <c r="A24" s="101"/>
      <c r="B24" s="108"/>
    </row>
    <row r="25" spans="1:13" ht="18.75" x14ac:dyDescent="0.3">
      <c r="A25" s="109" t="s">
        <v>1</v>
      </c>
      <c r="B25" s="108"/>
    </row>
    <row r="26" spans="1:13" ht="26.25" customHeight="1" x14ac:dyDescent="0.4">
      <c r="A26" s="110" t="s">
        <v>3</v>
      </c>
      <c r="B26" s="275" t="s">
        <v>93</v>
      </c>
      <c r="C26" s="275"/>
    </row>
    <row r="27" spans="1:13" ht="26.25" customHeight="1" x14ac:dyDescent="0.4">
      <c r="A27" s="111" t="s">
        <v>46</v>
      </c>
      <c r="B27" s="112" t="s">
        <v>94</v>
      </c>
    </row>
    <row r="28" spans="1:13" ht="27" customHeight="1" thickBot="1" x14ac:dyDescent="0.45">
      <c r="A28" s="111" t="s">
        <v>5</v>
      </c>
      <c r="B28" s="112">
        <v>99.3</v>
      </c>
    </row>
    <row r="29" spans="1:13" s="113" customFormat="1" ht="27" customHeight="1" thickBot="1" x14ac:dyDescent="0.45">
      <c r="A29" s="111" t="s">
        <v>47</v>
      </c>
      <c r="B29" s="112">
        <v>0</v>
      </c>
      <c r="C29" s="276" t="s">
        <v>48</v>
      </c>
      <c r="D29" s="277"/>
      <c r="E29" s="277"/>
      <c r="F29" s="277"/>
      <c r="G29" s="278"/>
      <c r="I29" s="114"/>
      <c r="J29" s="114"/>
      <c r="K29" s="114"/>
    </row>
    <row r="30" spans="1:13" s="113" customFormat="1" ht="19.5" customHeight="1" thickBot="1" x14ac:dyDescent="0.35">
      <c r="A30" s="111" t="s">
        <v>49</v>
      </c>
      <c r="B30" s="115">
        <f>B28-B29</f>
        <v>99.3</v>
      </c>
      <c r="C30" s="116"/>
      <c r="D30" s="116"/>
      <c r="E30" s="116"/>
      <c r="F30" s="116"/>
      <c r="G30" s="117"/>
      <c r="I30" s="114"/>
      <c r="J30" s="114"/>
      <c r="K30" s="114"/>
    </row>
    <row r="31" spans="1:13" s="113" customFormat="1" ht="27" customHeight="1" thickBot="1" x14ac:dyDescent="0.45">
      <c r="A31" s="111" t="s">
        <v>50</v>
      </c>
      <c r="B31" s="118">
        <v>704.9</v>
      </c>
      <c r="C31" s="280" t="s">
        <v>51</v>
      </c>
      <c r="D31" s="281"/>
      <c r="E31" s="281"/>
      <c r="F31" s="281"/>
      <c r="G31" s="281"/>
      <c r="H31" s="282"/>
      <c r="I31" s="114"/>
      <c r="J31" s="114"/>
      <c r="K31" s="114"/>
    </row>
    <row r="32" spans="1:13" s="113" customFormat="1" ht="27" customHeight="1" thickBot="1" x14ac:dyDescent="0.45">
      <c r="A32" s="111" t="s">
        <v>52</v>
      </c>
      <c r="B32" s="118">
        <v>802.9</v>
      </c>
      <c r="C32" s="280" t="s">
        <v>53</v>
      </c>
      <c r="D32" s="281"/>
      <c r="E32" s="281"/>
      <c r="F32" s="281"/>
      <c r="G32" s="281"/>
      <c r="H32" s="282"/>
      <c r="I32" s="114"/>
      <c r="J32" s="114"/>
      <c r="K32" s="119"/>
      <c r="L32" s="119"/>
      <c r="M32" s="120"/>
    </row>
    <row r="33" spans="1:13" s="113" customFormat="1" ht="17.25" customHeight="1" x14ac:dyDescent="0.3">
      <c r="A33" s="111"/>
      <c r="B33" s="121"/>
      <c r="C33" s="122"/>
      <c r="D33" s="122"/>
      <c r="E33" s="122"/>
      <c r="F33" s="122"/>
      <c r="G33" s="122"/>
      <c r="H33" s="122"/>
      <c r="I33" s="114"/>
      <c r="J33" s="114"/>
      <c r="K33" s="119"/>
      <c r="L33" s="119"/>
      <c r="M33" s="120"/>
    </row>
    <row r="34" spans="1:13" s="113" customFormat="1" ht="18.75" x14ac:dyDescent="0.3">
      <c r="A34" s="111" t="s">
        <v>54</v>
      </c>
      <c r="B34" s="123">
        <f>B31/B32</f>
        <v>0.87794245858761988</v>
      </c>
      <c r="C34" s="124" t="s">
        <v>55</v>
      </c>
      <c r="D34" s="124"/>
      <c r="E34" s="124"/>
      <c r="F34" s="124"/>
      <c r="G34" s="124"/>
      <c r="I34" s="114"/>
      <c r="J34" s="114"/>
      <c r="K34" s="119"/>
      <c r="L34" s="119"/>
      <c r="M34" s="120"/>
    </row>
    <row r="35" spans="1:13" s="113" customFormat="1" ht="19.5" customHeight="1" thickBot="1" x14ac:dyDescent="0.35">
      <c r="A35" s="111"/>
      <c r="B35" s="115"/>
      <c r="G35" s="124"/>
      <c r="I35" s="114"/>
      <c r="J35" s="114"/>
      <c r="K35" s="119"/>
      <c r="L35" s="119"/>
      <c r="M35" s="120"/>
    </row>
    <row r="36" spans="1:13" s="113" customFormat="1" ht="27" customHeight="1" thickBot="1" x14ac:dyDescent="0.45">
      <c r="A36" s="125" t="s">
        <v>95</v>
      </c>
      <c r="B36" s="126">
        <v>100</v>
      </c>
      <c r="C36" s="124"/>
      <c r="D36" s="283" t="s">
        <v>56</v>
      </c>
      <c r="E36" s="284"/>
      <c r="F36" s="283" t="s">
        <v>57</v>
      </c>
      <c r="G36" s="285"/>
      <c r="I36" s="114"/>
      <c r="J36" s="114"/>
      <c r="K36" s="119"/>
      <c r="L36" s="119"/>
      <c r="M36" s="120"/>
    </row>
    <row r="37" spans="1:13" s="113" customFormat="1" ht="26.25" customHeight="1" x14ac:dyDescent="0.4">
      <c r="A37" s="127" t="s">
        <v>96</v>
      </c>
      <c r="B37" s="128">
        <v>1</v>
      </c>
      <c r="C37" s="129" t="s">
        <v>97</v>
      </c>
      <c r="D37" s="130" t="s">
        <v>59</v>
      </c>
      <c r="E37" s="131" t="s">
        <v>60</v>
      </c>
      <c r="F37" s="130" t="s">
        <v>59</v>
      </c>
      <c r="G37" s="132" t="s">
        <v>60</v>
      </c>
      <c r="I37" s="114"/>
      <c r="J37" s="114"/>
      <c r="K37" s="119"/>
      <c r="L37" s="119"/>
      <c r="M37" s="120"/>
    </row>
    <row r="38" spans="1:13" s="113" customFormat="1" ht="26.25" customHeight="1" x14ac:dyDescent="0.4">
      <c r="A38" s="127" t="s">
        <v>98</v>
      </c>
      <c r="B38" s="128">
        <v>1</v>
      </c>
      <c r="C38" s="133">
        <v>1</v>
      </c>
      <c r="D38" s="134">
        <v>41754671</v>
      </c>
      <c r="E38" s="135">
        <f>IF(ISBLANK(D38),"-",$D$48/$D$45*D38)</f>
        <v>45876393.189434864</v>
      </c>
      <c r="F38" s="134">
        <v>45015712</v>
      </c>
      <c r="G38" s="136">
        <f>IF(ISBLANK(F38),"-",$D$48/$F$45*F38)</f>
        <v>47098405.417487226</v>
      </c>
      <c r="I38" s="114"/>
      <c r="J38" s="114"/>
      <c r="K38" s="119"/>
      <c r="L38" s="119"/>
      <c r="M38" s="120"/>
    </row>
    <row r="39" spans="1:13" s="113" customFormat="1" ht="26.25" customHeight="1" x14ac:dyDescent="0.4">
      <c r="A39" s="127" t="s">
        <v>99</v>
      </c>
      <c r="B39" s="128">
        <v>1</v>
      </c>
      <c r="C39" s="137">
        <v>2</v>
      </c>
      <c r="D39" s="138">
        <v>41303007</v>
      </c>
      <c r="E39" s="139">
        <f>IF(ISBLANK(D39),"-",$D$48/$D$45*D39)</f>
        <v>45380144.152925558</v>
      </c>
      <c r="F39" s="138">
        <v>44935296</v>
      </c>
      <c r="G39" s="140">
        <f>IF(ISBLANK(F39),"-",$D$48/$F$45*F39)</f>
        <v>47014268.897108458</v>
      </c>
      <c r="I39" s="114"/>
      <c r="J39" s="114"/>
      <c r="K39" s="119"/>
      <c r="L39" s="119"/>
      <c r="M39" s="120"/>
    </row>
    <row r="40" spans="1:13" ht="26.25" customHeight="1" x14ac:dyDescent="0.4">
      <c r="A40" s="127" t="s">
        <v>100</v>
      </c>
      <c r="B40" s="128">
        <v>1</v>
      </c>
      <c r="C40" s="137">
        <v>3</v>
      </c>
      <c r="D40" s="138">
        <v>41604935</v>
      </c>
      <c r="E40" s="139">
        <f>IF(ISBLANK(D40),"-",$D$48/$D$45*D40)</f>
        <v>45711876.323510729</v>
      </c>
      <c r="F40" s="138">
        <v>45012477</v>
      </c>
      <c r="G40" s="140">
        <f>IF(ISBLANK(F40),"-",$D$48/$F$45*F40)</f>
        <v>47095020.747229747</v>
      </c>
      <c r="K40" s="119"/>
      <c r="L40" s="119"/>
      <c r="M40" s="124"/>
    </row>
    <row r="41" spans="1:13" ht="26.25" customHeight="1" x14ac:dyDescent="0.4">
      <c r="A41" s="127" t="s">
        <v>101</v>
      </c>
      <c r="B41" s="128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K41" s="119"/>
      <c r="L41" s="119"/>
      <c r="M41" s="124"/>
    </row>
    <row r="42" spans="1:13" ht="27" customHeight="1" thickBot="1" x14ac:dyDescent="0.45">
      <c r="A42" s="127" t="s">
        <v>102</v>
      </c>
      <c r="B42" s="128">
        <v>1</v>
      </c>
      <c r="C42" s="145" t="s">
        <v>61</v>
      </c>
      <c r="D42" s="146">
        <f>AVERAGE(D38:D41)</f>
        <v>41554204.333333336</v>
      </c>
      <c r="E42" s="147">
        <f>AVERAGE(E38:E41)</f>
        <v>45656137.888623714</v>
      </c>
      <c r="F42" s="148">
        <f>AVERAGE(F38:F41)</f>
        <v>44987828.333333336</v>
      </c>
      <c r="G42" s="149">
        <f>AVERAGE(G38:G41)</f>
        <v>47069231.687275141</v>
      </c>
      <c r="H42" s="150"/>
    </row>
    <row r="43" spans="1:13" ht="26.25" customHeight="1" x14ac:dyDescent="0.4">
      <c r="A43" s="127" t="s">
        <v>103</v>
      </c>
      <c r="B43" s="112">
        <v>1</v>
      </c>
      <c r="C43" s="151" t="s">
        <v>83</v>
      </c>
      <c r="D43" s="152">
        <v>31.32</v>
      </c>
      <c r="E43" s="124"/>
      <c r="F43" s="153">
        <v>32.89</v>
      </c>
      <c r="H43" s="150"/>
    </row>
    <row r="44" spans="1:13" ht="26.25" customHeight="1" x14ac:dyDescent="0.4">
      <c r="A44" s="127" t="s">
        <v>104</v>
      </c>
      <c r="B44" s="112">
        <v>1</v>
      </c>
      <c r="C44" s="154" t="s">
        <v>84</v>
      </c>
      <c r="D44" s="155">
        <f>D43*$B$34</f>
        <v>27.497157802964256</v>
      </c>
      <c r="E44" s="156"/>
      <c r="F44" s="157">
        <f>F43*$B$34</f>
        <v>28.875527462946817</v>
      </c>
      <c r="H44" s="150"/>
    </row>
    <row r="45" spans="1:13" ht="19.5" customHeight="1" thickBot="1" x14ac:dyDescent="0.35">
      <c r="A45" s="127" t="s">
        <v>62</v>
      </c>
      <c r="B45" s="115">
        <f>(B44/B43)*(B42/B41)*(B40/B39)*(B38/B37)*B36</f>
        <v>100</v>
      </c>
      <c r="C45" s="154" t="s">
        <v>63</v>
      </c>
      <c r="D45" s="158">
        <f>D44*$B$30/100</f>
        <v>27.304677698343507</v>
      </c>
      <c r="E45" s="159"/>
      <c r="F45" s="160">
        <f>F44*$B$30/100</f>
        <v>28.673398770706189</v>
      </c>
      <c r="H45" s="150"/>
    </row>
    <row r="46" spans="1:13" ht="19.5" customHeight="1" thickBot="1" x14ac:dyDescent="0.35">
      <c r="A46" s="259" t="s">
        <v>64</v>
      </c>
      <c r="B46" s="260"/>
      <c r="C46" s="154" t="s">
        <v>65</v>
      </c>
      <c r="D46" s="155">
        <f>D45/$B$45</f>
        <v>0.27304677698343505</v>
      </c>
      <c r="E46" s="159"/>
      <c r="F46" s="161">
        <f>F45/$B$45</f>
        <v>0.28673398770706188</v>
      </c>
      <c r="H46" s="150"/>
    </row>
    <row r="47" spans="1:13" ht="27" customHeight="1" thickBot="1" x14ac:dyDescent="0.45">
      <c r="A47" s="261"/>
      <c r="B47" s="262"/>
      <c r="C47" s="154" t="s">
        <v>105</v>
      </c>
      <c r="D47" s="162">
        <v>0.3</v>
      </c>
      <c r="F47" s="163"/>
      <c r="H47" s="150"/>
    </row>
    <row r="48" spans="1:13" ht="18.75" x14ac:dyDescent="0.3">
      <c r="C48" s="154" t="s">
        <v>66</v>
      </c>
      <c r="D48" s="155">
        <f>D47*$B$45</f>
        <v>30</v>
      </c>
      <c r="F48" s="163"/>
      <c r="H48" s="150"/>
    </row>
    <row r="49" spans="1:11" ht="19.5" customHeight="1" thickBot="1" x14ac:dyDescent="0.35">
      <c r="C49" s="164" t="s">
        <v>67</v>
      </c>
      <c r="D49" s="165">
        <f>D48/B34</f>
        <v>34.1708043694141</v>
      </c>
      <c r="F49" s="166"/>
      <c r="H49" s="150"/>
    </row>
    <row r="50" spans="1:11" ht="18.75" x14ac:dyDescent="0.3">
      <c r="C50" s="167" t="s">
        <v>68</v>
      </c>
      <c r="D50" s="168">
        <f>AVERAGE(E38:E41,G38:G41)</f>
        <v>46362684.787949435</v>
      </c>
      <c r="F50" s="166"/>
      <c r="H50" s="150"/>
    </row>
    <row r="51" spans="1:11" ht="18.75" x14ac:dyDescent="0.3">
      <c r="C51" s="169" t="s">
        <v>69</v>
      </c>
      <c r="D51" s="170">
        <f>STDEV(E38:E41,G38:G41)/D50</f>
        <v>1.7058884518840103E-2</v>
      </c>
      <c r="F51" s="166"/>
    </row>
    <row r="52" spans="1:11" ht="19.5" customHeight="1" thickBot="1" x14ac:dyDescent="0.35">
      <c r="C52" s="171" t="s">
        <v>19</v>
      </c>
      <c r="D52" s="172">
        <f>COUNT(E38:E41,G38:G41)</f>
        <v>6</v>
      </c>
      <c r="F52" s="166"/>
    </row>
    <row r="54" spans="1:11" ht="18.75" x14ac:dyDescent="0.3">
      <c r="A54" s="99" t="s">
        <v>1</v>
      </c>
      <c r="B54" s="173" t="s">
        <v>70</v>
      </c>
    </row>
    <row r="55" spans="1:11" ht="18.75" x14ac:dyDescent="0.3">
      <c r="A55" s="124" t="s">
        <v>71</v>
      </c>
      <c r="B55" s="174" t="str">
        <f>B21</f>
        <v>Each film coated tablet contains: Atazanavir 300mg</v>
      </c>
    </row>
    <row r="56" spans="1:11" ht="26.25" customHeight="1" x14ac:dyDescent="0.4">
      <c r="A56" s="174" t="s">
        <v>72</v>
      </c>
      <c r="B56" s="112">
        <v>300</v>
      </c>
      <c r="C56" s="124" t="str">
        <f>B20</f>
        <v xml:space="preserve">ATAZANAVIR </v>
      </c>
      <c r="H56" s="156"/>
    </row>
    <row r="57" spans="1:11" ht="18.75" x14ac:dyDescent="0.3">
      <c r="A57" s="174" t="s">
        <v>73</v>
      </c>
      <c r="B57" s="175">
        <f>Uniformity!C46</f>
        <v>1976.5670000000002</v>
      </c>
      <c r="H57" s="156"/>
    </row>
    <row r="58" spans="1:11" ht="19.5" customHeight="1" thickBot="1" x14ac:dyDescent="0.35">
      <c r="H58" s="156"/>
    </row>
    <row r="59" spans="1:11" s="113" customFormat="1" ht="27" customHeight="1" thickBot="1" x14ac:dyDescent="0.45">
      <c r="A59" s="125" t="s">
        <v>106</v>
      </c>
      <c r="B59" s="126">
        <v>100</v>
      </c>
      <c r="C59" s="124"/>
      <c r="D59" s="176" t="s">
        <v>74</v>
      </c>
      <c r="E59" s="177" t="s">
        <v>58</v>
      </c>
      <c r="F59" s="177" t="s">
        <v>59</v>
      </c>
      <c r="G59" s="177" t="s">
        <v>75</v>
      </c>
      <c r="H59" s="129" t="s">
        <v>76</v>
      </c>
      <c r="K59" s="114"/>
    </row>
    <row r="60" spans="1:11" s="113" customFormat="1" ht="22.5" customHeight="1" x14ac:dyDescent="0.4">
      <c r="A60" s="127" t="s">
        <v>107</v>
      </c>
      <c r="B60" s="128">
        <v>5</v>
      </c>
      <c r="C60" s="263" t="s">
        <v>77</v>
      </c>
      <c r="D60" s="266">
        <v>1202.43</v>
      </c>
      <c r="E60" s="178">
        <v>1</v>
      </c>
      <c r="F60" s="179">
        <v>27317906</v>
      </c>
      <c r="G60" s="180">
        <f>IF(ISBLANK(F60),"-",(F60/$D$50*$D$47*$B$68)*($B$57/$D$60))</f>
        <v>290.57070081736418</v>
      </c>
      <c r="H60" s="181">
        <f t="shared" ref="H60:H71" si="0">IF(ISBLANK(F60),"-",G60/$B$56)</f>
        <v>0.96856900272454727</v>
      </c>
      <c r="K60" s="114"/>
    </row>
    <row r="61" spans="1:11" s="113" customFormat="1" ht="26.25" customHeight="1" x14ac:dyDescent="0.4">
      <c r="A61" s="127" t="s">
        <v>108</v>
      </c>
      <c r="B61" s="128">
        <v>50</v>
      </c>
      <c r="C61" s="264"/>
      <c r="D61" s="267"/>
      <c r="E61" s="182">
        <v>2</v>
      </c>
      <c r="F61" s="138">
        <v>27244515</v>
      </c>
      <c r="G61" s="183">
        <f>IF(ISBLANK(F61),"-",(F61/$D$50*$D$47*$B$68)*($B$57/$D$60))</f>
        <v>289.79006725402712</v>
      </c>
      <c r="H61" s="184">
        <f t="shared" si="0"/>
        <v>0.96596689084675702</v>
      </c>
      <c r="K61" s="114"/>
    </row>
    <row r="62" spans="1:11" s="113" customFormat="1" ht="26.25" customHeight="1" x14ac:dyDescent="0.4">
      <c r="A62" s="127" t="s">
        <v>109</v>
      </c>
      <c r="B62" s="128">
        <v>1</v>
      </c>
      <c r="C62" s="264"/>
      <c r="D62" s="267"/>
      <c r="E62" s="182">
        <v>3</v>
      </c>
      <c r="F62" s="138">
        <v>27205705</v>
      </c>
      <c r="G62" s="183">
        <f>IF(ISBLANK(F62),"-",(F62/$D$50*$D$47*$B$68)*($B$57/$D$60))</f>
        <v>289.37725929946708</v>
      </c>
      <c r="H62" s="184">
        <f t="shared" si="0"/>
        <v>0.96459086433155694</v>
      </c>
      <c r="K62" s="114"/>
    </row>
    <row r="63" spans="1:11" ht="21" customHeight="1" thickBot="1" x14ac:dyDescent="0.45">
      <c r="A63" s="127" t="s">
        <v>110</v>
      </c>
      <c r="B63" s="128">
        <v>1</v>
      </c>
      <c r="C63" s="265"/>
      <c r="D63" s="268"/>
      <c r="E63" s="185">
        <v>4</v>
      </c>
      <c r="F63" s="186"/>
      <c r="G63" s="183" t="str">
        <f>IF(ISBLANK(F63),"-",(F63/$D$50*$D$47*$B$68)*($B$57/$D$60))</f>
        <v>-</v>
      </c>
      <c r="H63" s="184" t="str">
        <f t="shared" si="0"/>
        <v>-</v>
      </c>
    </row>
    <row r="64" spans="1:11" ht="26.25" customHeight="1" x14ac:dyDescent="0.4">
      <c r="A64" s="127" t="s">
        <v>111</v>
      </c>
      <c r="B64" s="128">
        <v>1</v>
      </c>
      <c r="C64" s="263" t="s">
        <v>78</v>
      </c>
      <c r="D64" s="266">
        <v>1203.1099999999999</v>
      </c>
      <c r="E64" s="178">
        <v>1</v>
      </c>
      <c r="F64" s="179">
        <v>27652926</v>
      </c>
      <c r="G64" s="187">
        <f>IF(ISBLANK(F64),"-",(F64/$D$50*$D$47*$B$68)*($B$57/$D$64))</f>
        <v>293.96794238421057</v>
      </c>
      <c r="H64" s="188">
        <f t="shared" si="0"/>
        <v>0.97989314128070193</v>
      </c>
    </row>
    <row r="65" spans="1:8" ht="26.25" customHeight="1" x14ac:dyDescent="0.4">
      <c r="A65" s="127" t="s">
        <v>112</v>
      </c>
      <c r="B65" s="128">
        <v>1</v>
      </c>
      <c r="C65" s="264"/>
      <c r="D65" s="267"/>
      <c r="E65" s="182">
        <v>2</v>
      </c>
      <c r="F65" s="138">
        <v>27899740</v>
      </c>
      <c r="G65" s="189">
        <f>IF(ISBLANK(F65),"-",(F65/$D$50*$D$47*$B$68)*($B$57/$D$64))</f>
        <v>296.59172996211879</v>
      </c>
      <c r="H65" s="190">
        <f t="shared" si="0"/>
        <v>0.98863909987372933</v>
      </c>
    </row>
    <row r="66" spans="1:8" ht="26.25" customHeight="1" x14ac:dyDescent="0.4">
      <c r="A66" s="127" t="s">
        <v>113</v>
      </c>
      <c r="B66" s="128">
        <v>1</v>
      </c>
      <c r="C66" s="264"/>
      <c r="D66" s="267"/>
      <c r="E66" s="182">
        <v>3</v>
      </c>
      <c r="F66" s="138">
        <v>27782453</v>
      </c>
      <c r="G66" s="189">
        <f>IF(ISBLANK(F66),"-",(F66/$D$50*$D$47*$B$68)*($B$57/$D$64))</f>
        <v>295.34489561054187</v>
      </c>
      <c r="H66" s="190">
        <f t="shared" si="0"/>
        <v>0.9844829853684729</v>
      </c>
    </row>
    <row r="67" spans="1:8" ht="21" customHeight="1" thickBot="1" x14ac:dyDescent="0.45">
      <c r="A67" s="127" t="s">
        <v>114</v>
      </c>
      <c r="B67" s="128">
        <v>1</v>
      </c>
      <c r="C67" s="265"/>
      <c r="D67" s="268"/>
      <c r="E67" s="185">
        <v>4</v>
      </c>
      <c r="F67" s="186"/>
      <c r="G67" s="191" t="str">
        <f>IF(ISBLANK(F67),"-",(F67/$D$50*$D$47*$B$68)*($B$57/$D$64))</f>
        <v>-</v>
      </c>
      <c r="H67" s="192" t="str">
        <f t="shared" si="0"/>
        <v>-</v>
      </c>
    </row>
    <row r="68" spans="1:8" ht="21.75" customHeight="1" x14ac:dyDescent="0.4">
      <c r="A68" s="127" t="s">
        <v>79</v>
      </c>
      <c r="B68" s="193">
        <f>(B67/B66)*(B65/B64)*(B63/B62)*(B61/B60)*B59</f>
        <v>1000</v>
      </c>
      <c r="C68" s="263" t="s">
        <v>80</v>
      </c>
      <c r="D68" s="266">
        <v>1204.6300000000001</v>
      </c>
      <c r="E68" s="178">
        <v>1</v>
      </c>
      <c r="F68" s="179">
        <v>27680316</v>
      </c>
      <c r="G68" s="187">
        <f>IF(ISBLANK(F68),"-",(F68/$D$50*$D$47*$B$68)*($B$57/$D$68))</f>
        <v>293.88781962800078</v>
      </c>
      <c r="H68" s="184">
        <f t="shared" si="0"/>
        <v>0.9796260654266693</v>
      </c>
    </row>
    <row r="69" spans="1:8" ht="21.75" customHeight="1" thickBot="1" x14ac:dyDescent="0.45">
      <c r="A69" s="194" t="s">
        <v>81</v>
      </c>
      <c r="B69" s="195">
        <f>D47*B68/B56*B57</f>
        <v>1976.5670000000002</v>
      </c>
      <c r="C69" s="264"/>
      <c r="D69" s="267"/>
      <c r="E69" s="182">
        <v>2</v>
      </c>
      <c r="F69" s="138">
        <v>27546567</v>
      </c>
      <c r="G69" s="189">
        <f>IF(ISBLANK(F69),"-",(F69/$D$50*$D$47*$B$68)*($B$57/$D$68))</f>
        <v>292.46777796419082</v>
      </c>
      <c r="H69" s="184">
        <f t="shared" si="0"/>
        <v>0.97489259321396937</v>
      </c>
    </row>
    <row r="70" spans="1:8" ht="22.5" customHeight="1" x14ac:dyDescent="0.4">
      <c r="A70" s="287" t="s">
        <v>64</v>
      </c>
      <c r="B70" s="288"/>
      <c r="C70" s="264"/>
      <c r="D70" s="267"/>
      <c r="E70" s="182">
        <v>3</v>
      </c>
      <c r="F70" s="138">
        <v>27664389</v>
      </c>
      <c r="G70" s="189">
        <f>IF(ISBLANK(F70),"-",(F70/$D$50*$D$47*$B$68)*($B$57/$D$68))</f>
        <v>293.71871927151585</v>
      </c>
      <c r="H70" s="184">
        <f t="shared" si="0"/>
        <v>0.97906239757171953</v>
      </c>
    </row>
    <row r="71" spans="1:8" ht="21.75" customHeight="1" thickBot="1" x14ac:dyDescent="0.45">
      <c r="A71" s="289"/>
      <c r="B71" s="290"/>
      <c r="C71" s="286"/>
      <c r="D71" s="268"/>
      <c r="E71" s="185">
        <v>4</v>
      </c>
      <c r="F71" s="186"/>
      <c r="G71" s="191" t="str">
        <f>IF(ISBLANK(F71),"-",(F71/$D$50*$D$47*$B$68)*($B$57/$D$68))</f>
        <v>-</v>
      </c>
      <c r="H71" s="196" t="str">
        <f t="shared" si="0"/>
        <v>-</v>
      </c>
    </row>
    <row r="72" spans="1:8" ht="26.25" customHeight="1" x14ac:dyDescent="0.4">
      <c r="A72" s="156"/>
      <c r="B72" s="156"/>
      <c r="C72" s="156"/>
      <c r="D72" s="156"/>
      <c r="E72" s="156"/>
      <c r="F72" s="156"/>
      <c r="G72" s="197" t="s">
        <v>61</v>
      </c>
      <c r="H72" s="198">
        <f>AVERAGE(H60:H71)</f>
        <v>0.97619144895979149</v>
      </c>
    </row>
    <row r="73" spans="1:8" ht="26.25" customHeight="1" x14ac:dyDescent="0.4">
      <c r="C73" s="156"/>
      <c r="D73" s="156"/>
      <c r="E73" s="156"/>
      <c r="F73" s="156"/>
      <c r="G73" s="169" t="s">
        <v>69</v>
      </c>
      <c r="H73" s="199">
        <f>STDEV(H60:H71)/H72</f>
        <v>8.5425932395910044E-3</v>
      </c>
    </row>
    <row r="74" spans="1:8" ht="27" customHeight="1" thickBot="1" x14ac:dyDescent="0.45">
      <c r="A74" s="156"/>
      <c r="B74" s="156"/>
      <c r="C74" s="156"/>
      <c r="D74" s="156"/>
      <c r="E74" s="159"/>
      <c r="F74" s="156"/>
      <c r="G74" s="171" t="s">
        <v>19</v>
      </c>
      <c r="H74" s="200">
        <f>COUNT(H60:H71)</f>
        <v>9</v>
      </c>
    </row>
    <row r="75" spans="1:8" ht="18.75" x14ac:dyDescent="0.3">
      <c r="A75" s="156"/>
      <c r="B75" s="156"/>
      <c r="C75" s="156"/>
      <c r="D75" s="156"/>
      <c r="E75" s="159"/>
      <c r="F75" s="156"/>
      <c r="G75" s="111"/>
      <c r="H75" s="115"/>
    </row>
    <row r="76" spans="1:8" ht="18.75" x14ac:dyDescent="0.3">
      <c r="A76" s="110" t="s">
        <v>115</v>
      </c>
      <c r="B76" s="111" t="s">
        <v>89</v>
      </c>
      <c r="C76" s="279" t="str">
        <f>B20</f>
        <v xml:space="preserve">ATAZANAVIR </v>
      </c>
      <c r="D76" s="279"/>
      <c r="E76" s="124" t="s">
        <v>82</v>
      </c>
      <c r="F76" s="124"/>
      <c r="G76" s="201">
        <f>H72</f>
        <v>0.97619144895979149</v>
      </c>
      <c r="H76" s="115"/>
    </row>
    <row r="77" spans="1:8" ht="18.75" x14ac:dyDescent="0.3">
      <c r="A77" s="156"/>
      <c r="B77" s="156"/>
      <c r="C77" s="156"/>
      <c r="D77" s="156"/>
      <c r="E77" s="159"/>
      <c r="F77" s="156"/>
      <c r="G77" s="111"/>
      <c r="H77" s="115"/>
    </row>
    <row r="78" spans="1:8" ht="26.25" customHeight="1" x14ac:dyDescent="0.4">
      <c r="A78" s="109" t="s">
        <v>116</v>
      </c>
      <c r="B78" s="109" t="s">
        <v>117</v>
      </c>
      <c r="D78" s="202" t="s">
        <v>118</v>
      </c>
    </row>
    <row r="79" spans="1:8" ht="18.75" x14ac:dyDescent="0.3">
      <c r="A79" s="109"/>
      <c r="B79" s="109"/>
    </row>
    <row r="80" spans="1:8" ht="26.25" customHeight="1" x14ac:dyDescent="0.4">
      <c r="A80" s="110" t="s">
        <v>3</v>
      </c>
      <c r="B80" s="275" t="str">
        <f>B26</f>
        <v>Atazanavir sulfate</v>
      </c>
      <c r="C80" s="275"/>
    </row>
    <row r="81" spans="1:11" ht="26.25" customHeight="1" x14ac:dyDescent="0.4">
      <c r="A81" s="111" t="s">
        <v>46</v>
      </c>
      <c r="B81" s="112" t="str">
        <f>B27</f>
        <v>A48-1</v>
      </c>
    </row>
    <row r="82" spans="1:11" ht="27" customHeight="1" thickBot="1" x14ac:dyDescent="0.45">
      <c r="A82" s="111" t="s">
        <v>5</v>
      </c>
      <c r="B82" s="112">
        <f>B28</f>
        <v>99.3</v>
      </c>
    </row>
    <row r="83" spans="1:11" s="113" customFormat="1" ht="27" customHeight="1" thickBot="1" x14ac:dyDescent="0.45">
      <c r="A83" s="111" t="s">
        <v>47</v>
      </c>
      <c r="B83" s="112">
        <f>B29</f>
        <v>0</v>
      </c>
      <c r="C83" s="276" t="s">
        <v>48</v>
      </c>
      <c r="D83" s="277"/>
      <c r="E83" s="277"/>
      <c r="F83" s="277"/>
      <c r="G83" s="278"/>
      <c r="I83" s="114"/>
      <c r="J83" s="114"/>
      <c r="K83" s="114"/>
    </row>
    <row r="84" spans="1:11" s="113" customFormat="1" ht="19.5" customHeight="1" thickBot="1" x14ac:dyDescent="0.35">
      <c r="A84" s="111" t="s">
        <v>49</v>
      </c>
      <c r="B84" s="115">
        <f>B82-B83</f>
        <v>99.3</v>
      </c>
      <c r="C84" s="116"/>
      <c r="D84" s="116"/>
      <c r="E84" s="116"/>
      <c r="F84" s="116"/>
      <c r="G84" s="117"/>
      <c r="I84" s="114"/>
      <c r="J84" s="114"/>
      <c r="K84" s="114"/>
    </row>
    <row r="85" spans="1:11" s="113" customFormat="1" ht="27" customHeight="1" thickBot="1" x14ac:dyDescent="0.45">
      <c r="A85" s="111" t="s">
        <v>50</v>
      </c>
      <c r="B85" s="118">
        <v>704.9</v>
      </c>
      <c r="C85" s="280" t="s">
        <v>51</v>
      </c>
      <c r="D85" s="281"/>
      <c r="E85" s="281"/>
      <c r="F85" s="281"/>
      <c r="G85" s="281"/>
      <c r="H85" s="282"/>
      <c r="I85" s="114"/>
      <c r="J85" s="114"/>
      <c r="K85" s="114"/>
    </row>
    <row r="86" spans="1:11" s="113" customFormat="1" ht="27" customHeight="1" thickBot="1" x14ac:dyDescent="0.45">
      <c r="A86" s="111" t="s">
        <v>52</v>
      </c>
      <c r="B86" s="118">
        <v>802.9</v>
      </c>
      <c r="C86" s="280" t="s">
        <v>53</v>
      </c>
      <c r="D86" s="281"/>
      <c r="E86" s="281"/>
      <c r="F86" s="281"/>
      <c r="G86" s="281"/>
      <c r="H86" s="282"/>
      <c r="I86" s="114"/>
      <c r="J86" s="114"/>
      <c r="K86" s="114"/>
    </row>
    <row r="87" spans="1:11" s="113" customFormat="1" ht="18.75" x14ac:dyDescent="0.3">
      <c r="A87" s="111"/>
      <c r="B87" s="115"/>
      <c r="C87" s="116"/>
      <c r="D87" s="116"/>
      <c r="E87" s="116"/>
      <c r="F87" s="116"/>
      <c r="G87" s="117"/>
      <c r="I87" s="114"/>
      <c r="J87" s="114"/>
      <c r="K87" s="114"/>
    </row>
    <row r="88" spans="1:11" s="113" customFormat="1" ht="18.75" x14ac:dyDescent="0.3">
      <c r="A88" s="111" t="s">
        <v>54</v>
      </c>
      <c r="B88" s="123">
        <f>B85/B86</f>
        <v>0.87794245858761988</v>
      </c>
      <c r="C88" s="124" t="s">
        <v>55</v>
      </c>
      <c r="D88" s="116"/>
      <c r="E88" s="116"/>
      <c r="F88" s="116"/>
      <c r="G88" s="117"/>
      <c r="I88" s="114"/>
      <c r="J88" s="114"/>
      <c r="K88" s="114"/>
    </row>
    <row r="89" spans="1:11" ht="19.5" customHeight="1" thickBot="1" x14ac:dyDescent="0.35">
      <c r="A89" s="109"/>
      <c r="B89" s="109"/>
    </row>
    <row r="90" spans="1:11" ht="27" customHeight="1" thickBot="1" x14ac:dyDescent="0.45">
      <c r="A90" s="125" t="s">
        <v>95</v>
      </c>
      <c r="B90" s="126">
        <v>100</v>
      </c>
      <c r="D90" s="203" t="s">
        <v>56</v>
      </c>
      <c r="E90" s="204"/>
      <c r="F90" s="283" t="s">
        <v>57</v>
      </c>
      <c r="G90" s="285"/>
    </row>
    <row r="91" spans="1:11" ht="26.25" customHeight="1" x14ac:dyDescent="0.4">
      <c r="A91" s="127" t="s">
        <v>96</v>
      </c>
      <c r="B91" s="128">
        <v>1</v>
      </c>
      <c r="C91" s="205" t="s">
        <v>97</v>
      </c>
      <c r="D91" s="130" t="s">
        <v>59</v>
      </c>
      <c r="E91" s="131" t="s">
        <v>60</v>
      </c>
      <c r="F91" s="130" t="s">
        <v>59</v>
      </c>
      <c r="G91" s="132" t="s">
        <v>60</v>
      </c>
    </row>
    <row r="92" spans="1:11" ht="26.25" customHeight="1" x14ac:dyDescent="0.4">
      <c r="A92" s="127" t="s">
        <v>98</v>
      </c>
      <c r="B92" s="128">
        <v>1</v>
      </c>
      <c r="C92" s="206">
        <v>1</v>
      </c>
      <c r="D92" s="134">
        <v>41465697</v>
      </c>
      <c r="E92" s="135">
        <f>IF(ISBLANK(D92),"-",$D$102/$D$99*D92)</f>
        <v>45558893.744988903</v>
      </c>
      <c r="F92" s="134">
        <v>44681875</v>
      </c>
      <c r="G92" s="136">
        <f>IF(ISBLANK(F92),"-",$D$102/$F$99*F92)</f>
        <v>46749123.140904382</v>
      </c>
    </row>
    <row r="93" spans="1:11" ht="26.25" customHeight="1" x14ac:dyDescent="0.4">
      <c r="A93" s="127" t="s">
        <v>99</v>
      </c>
      <c r="B93" s="128">
        <v>1</v>
      </c>
      <c r="C93" s="156">
        <v>2</v>
      </c>
      <c r="D93" s="138">
        <v>41509834</v>
      </c>
      <c r="E93" s="139">
        <f>IF(ISBLANK(D93),"-",$D$102/$D$99*D93)</f>
        <v>45607387.633641556</v>
      </c>
      <c r="F93" s="138">
        <v>44771803</v>
      </c>
      <c r="G93" s="140">
        <f>IF(ISBLANK(F93),"-",$D$102/$F$99*F93)</f>
        <v>46843211.742732644</v>
      </c>
    </row>
    <row r="94" spans="1:11" ht="26.25" customHeight="1" x14ac:dyDescent="0.4">
      <c r="A94" s="127" t="s">
        <v>100</v>
      </c>
      <c r="B94" s="128">
        <v>1</v>
      </c>
      <c r="C94" s="156">
        <v>3</v>
      </c>
      <c r="D94" s="138">
        <v>41620732</v>
      </c>
      <c r="E94" s="139">
        <f>IF(ISBLANK(D94),"-",$D$102/$D$99*D94)</f>
        <v>45729232.690256223</v>
      </c>
      <c r="F94" s="138">
        <v>44932542</v>
      </c>
      <c r="G94" s="140">
        <f>IF(ISBLANK(F94),"-",$D$102/$F$99*F94)</f>
        <v>47011387.480759434</v>
      </c>
    </row>
    <row r="95" spans="1:11" ht="26.25" customHeight="1" x14ac:dyDescent="0.4">
      <c r="A95" s="127" t="s">
        <v>101</v>
      </c>
      <c r="B95" s="128">
        <v>1</v>
      </c>
      <c r="C95" s="207">
        <v>4</v>
      </c>
      <c r="D95" s="142"/>
      <c r="E95" s="143" t="str">
        <f>IF(ISBLANK(D95),"-",$D$102/$D$99*D95)</f>
        <v>-</v>
      </c>
      <c r="F95" s="208"/>
      <c r="G95" s="144" t="str">
        <f>IF(ISBLANK(F95),"-",$D$102/$F$99*F95)</f>
        <v>-</v>
      </c>
    </row>
    <row r="96" spans="1:11" ht="27" customHeight="1" thickBot="1" x14ac:dyDescent="0.45">
      <c r="A96" s="127" t="s">
        <v>102</v>
      </c>
      <c r="B96" s="128">
        <v>1</v>
      </c>
      <c r="C96" s="111" t="s">
        <v>61</v>
      </c>
      <c r="D96" s="209">
        <f>AVERAGE(D92:D95)</f>
        <v>41532087.666666664</v>
      </c>
      <c r="E96" s="147">
        <f>AVERAGE(E92:E95)</f>
        <v>45631838.022962235</v>
      </c>
      <c r="F96" s="210">
        <f>AVERAGE(F92:F95)</f>
        <v>44795406.666666664</v>
      </c>
      <c r="G96" s="211">
        <f>AVERAGE(G92:G95)</f>
        <v>46867907.454798818</v>
      </c>
    </row>
    <row r="97" spans="1:9" ht="26.25" customHeight="1" x14ac:dyDescent="0.4">
      <c r="A97" s="127" t="s">
        <v>103</v>
      </c>
      <c r="B97" s="112">
        <v>1</v>
      </c>
      <c r="C97" s="151" t="s">
        <v>83</v>
      </c>
      <c r="D97" s="152">
        <v>31.32</v>
      </c>
      <c r="E97" s="124"/>
      <c r="F97" s="153">
        <v>32.89</v>
      </c>
    </row>
    <row r="98" spans="1:9" ht="26.25" customHeight="1" x14ac:dyDescent="0.4">
      <c r="A98" s="127" t="s">
        <v>104</v>
      </c>
      <c r="B98" s="112">
        <v>1</v>
      </c>
      <c r="C98" s="154" t="s">
        <v>84</v>
      </c>
      <c r="D98" s="155">
        <f>D97*B88</f>
        <v>27.497157802964256</v>
      </c>
      <c r="E98" s="156"/>
      <c r="F98" s="157">
        <f>F97*B88</f>
        <v>28.875527462946817</v>
      </c>
    </row>
    <row r="99" spans="1:9" ht="19.5" customHeight="1" thickBot="1" x14ac:dyDescent="0.35">
      <c r="A99" s="127" t="s">
        <v>62</v>
      </c>
      <c r="B99" s="115">
        <f>(B98/B97)*(B96/B95)*(B94/B93)*(B92/B91)*B90</f>
        <v>100</v>
      </c>
      <c r="C99" s="154" t="s">
        <v>63</v>
      </c>
      <c r="D99" s="158">
        <f>D98*$B$84/100</f>
        <v>27.304677698343507</v>
      </c>
      <c r="E99" s="159"/>
      <c r="F99" s="160">
        <f>F98*$B$84/100</f>
        <v>28.673398770706189</v>
      </c>
    </row>
    <row r="100" spans="1:9" ht="19.5" customHeight="1" thickBot="1" x14ac:dyDescent="0.35">
      <c r="A100" s="259" t="s">
        <v>64</v>
      </c>
      <c r="B100" s="260"/>
      <c r="C100" s="154" t="s">
        <v>65</v>
      </c>
      <c r="D100" s="155">
        <f>D99/$B$99</f>
        <v>0.27304677698343505</v>
      </c>
      <c r="E100" s="159"/>
      <c r="F100" s="161">
        <f>F99/$B$99</f>
        <v>0.28673398770706188</v>
      </c>
      <c r="H100" s="150"/>
    </row>
    <row r="101" spans="1:9" ht="19.5" customHeight="1" thickBot="1" x14ac:dyDescent="0.35">
      <c r="A101" s="261"/>
      <c r="B101" s="262"/>
      <c r="C101" s="154" t="s">
        <v>105</v>
      </c>
      <c r="D101" s="158">
        <v>0.3</v>
      </c>
      <c r="F101" s="163"/>
      <c r="G101" s="212"/>
      <c r="H101" s="150"/>
    </row>
    <row r="102" spans="1:9" ht="18.75" x14ac:dyDescent="0.3">
      <c r="C102" s="154" t="s">
        <v>66</v>
      </c>
      <c r="D102" s="155">
        <f>D101*$B$99</f>
        <v>30</v>
      </c>
      <c r="F102" s="163"/>
      <c r="H102" s="150"/>
    </row>
    <row r="103" spans="1:9" ht="19.5" customHeight="1" thickBot="1" x14ac:dyDescent="0.35">
      <c r="C103" s="164" t="s">
        <v>67</v>
      </c>
      <c r="D103" s="165">
        <f>D102/B34</f>
        <v>34.1708043694141</v>
      </c>
      <c r="F103" s="166"/>
      <c r="H103" s="150"/>
      <c r="I103" s="213"/>
    </row>
    <row r="104" spans="1:9" ht="18.75" x14ac:dyDescent="0.3">
      <c r="C104" s="167" t="s">
        <v>85</v>
      </c>
      <c r="D104" s="168">
        <f>AVERAGE(E92:E95,G92:G95)</f>
        <v>46249872.738880523</v>
      </c>
      <c r="F104" s="166"/>
      <c r="G104" s="212"/>
      <c r="H104" s="150"/>
      <c r="I104" s="214"/>
    </row>
    <row r="105" spans="1:9" ht="18.75" x14ac:dyDescent="0.3">
      <c r="C105" s="169" t="s">
        <v>69</v>
      </c>
      <c r="D105" s="215">
        <f>STDEV(E92:E95,G92:G95)/D104</f>
        <v>1.4799442854571077E-2</v>
      </c>
      <c r="F105" s="166"/>
      <c r="H105" s="150"/>
      <c r="I105" s="214"/>
    </row>
    <row r="106" spans="1:9" ht="19.5" customHeight="1" thickBot="1" x14ac:dyDescent="0.35">
      <c r="C106" s="171" t="s">
        <v>19</v>
      </c>
      <c r="D106" s="216">
        <f>COUNT(E92:E95,G92:G95)</f>
        <v>6</v>
      </c>
      <c r="F106" s="166"/>
      <c r="H106" s="150"/>
      <c r="I106" s="214"/>
    </row>
    <row r="107" spans="1:9" ht="19.5" customHeight="1" thickBot="1" x14ac:dyDescent="0.35">
      <c r="A107" s="99"/>
      <c r="B107" s="99"/>
      <c r="C107" s="99"/>
      <c r="D107" s="99"/>
      <c r="E107" s="99"/>
    </row>
    <row r="108" spans="1:9" ht="26.25" customHeight="1" x14ac:dyDescent="0.4">
      <c r="A108" s="125" t="s">
        <v>86</v>
      </c>
      <c r="B108" s="126">
        <v>1000</v>
      </c>
      <c r="C108" s="203" t="s">
        <v>119</v>
      </c>
      <c r="D108" s="217" t="s">
        <v>59</v>
      </c>
      <c r="E108" s="218" t="s">
        <v>87</v>
      </c>
      <c r="F108" s="219" t="s">
        <v>88</v>
      </c>
    </row>
    <row r="109" spans="1:9" ht="26.25" customHeight="1" x14ac:dyDescent="0.4">
      <c r="A109" s="127" t="s">
        <v>107</v>
      </c>
      <c r="B109" s="128">
        <v>1</v>
      </c>
      <c r="C109" s="220">
        <v>1</v>
      </c>
      <c r="D109" s="221">
        <v>42728846</v>
      </c>
      <c r="E109" s="222">
        <f t="shared" ref="E109:E114" si="1">IF(ISBLANK(D109),"-",D109/$D$104*$D$101*$B$117)</f>
        <v>277.16084479566234</v>
      </c>
      <c r="F109" s="223">
        <f>IF(ISBLANK(D109), "-", E109/$B$56)</f>
        <v>0.92386948265220781</v>
      </c>
    </row>
    <row r="110" spans="1:9" ht="26.25" customHeight="1" x14ac:dyDescent="0.4">
      <c r="A110" s="127" t="s">
        <v>108</v>
      </c>
      <c r="B110" s="128">
        <v>1</v>
      </c>
      <c r="C110" s="220">
        <v>2</v>
      </c>
      <c r="D110" s="221">
        <v>45278237</v>
      </c>
      <c r="E110" s="224">
        <f t="shared" si="1"/>
        <v>293.69748056800353</v>
      </c>
      <c r="F110" s="225">
        <f t="shared" ref="F110:F114" si="2">IF(ISBLANK(D110), "-", E110/$B$56)</f>
        <v>0.97899160189334511</v>
      </c>
    </row>
    <row r="111" spans="1:9" ht="26.25" customHeight="1" x14ac:dyDescent="0.4">
      <c r="A111" s="127" t="s">
        <v>109</v>
      </c>
      <c r="B111" s="128">
        <v>1</v>
      </c>
      <c r="C111" s="220">
        <v>3</v>
      </c>
      <c r="D111" s="221">
        <v>34197814</v>
      </c>
      <c r="E111" s="224">
        <f t="shared" si="1"/>
        <v>221.82426874821118</v>
      </c>
      <c r="F111" s="225">
        <f t="shared" si="2"/>
        <v>0.73941422916070398</v>
      </c>
    </row>
    <row r="112" spans="1:9" ht="26.25" customHeight="1" x14ac:dyDescent="0.4">
      <c r="A112" s="127" t="s">
        <v>110</v>
      </c>
      <c r="B112" s="128">
        <v>1</v>
      </c>
      <c r="C112" s="220">
        <v>4</v>
      </c>
      <c r="D112" s="221">
        <v>36157147</v>
      </c>
      <c r="E112" s="224">
        <f t="shared" si="1"/>
        <v>234.53349074582891</v>
      </c>
      <c r="F112" s="225">
        <f t="shared" si="2"/>
        <v>0.78177830248609637</v>
      </c>
    </row>
    <row r="113" spans="1:9" ht="26.25" customHeight="1" x14ac:dyDescent="0.4">
      <c r="A113" s="127" t="s">
        <v>111</v>
      </c>
      <c r="B113" s="128">
        <v>1</v>
      </c>
      <c r="C113" s="220">
        <v>5</v>
      </c>
      <c r="D113" s="221">
        <v>37820702</v>
      </c>
      <c r="E113" s="224">
        <f t="shared" si="1"/>
        <v>245.32414746433818</v>
      </c>
      <c r="F113" s="225">
        <f t="shared" si="2"/>
        <v>0.81774715821446065</v>
      </c>
    </row>
    <row r="114" spans="1:9" ht="26.25" customHeight="1" x14ac:dyDescent="0.4">
      <c r="A114" s="127" t="s">
        <v>112</v>
      </c>
      <c r="B114" s="128">
        <v>1</v>
      </c>
      <c r="C114" s="226">
        <v>6</v>
      </c>
      <c r="D114" s="227">
        <v>28002255</v>
      </c>
      <c r="E114" s="228">
        <f t="shared" si="1"/>
        <v>181.63674843883123</v>
      </c>
      <c r="F114" s="229">
        <f t="shared" si="2"/>
        <v>0.60545582812943743</v>
      </c>
    </row>
    <row r="115" spans="1:9" ht="26.25" customHeight="1" x14ac:dyDescent="0.4">
      <c r="A115" s="127" t="s">
        <v>113</v>
      </c>
      <c r="B115" s="128">
        <v>1</v>
      </c>
      <c r="C115" s="220"/>
      <c r="D115" s="156"/>
      <c r="E115" s="124"/>
      <c r="F115" s="230"/>
    </row>
    <row r="116" spans="1:9" ht="26.25" customHeight="1" x14ac:dyDescent="0.4">
      <c r="A116" s="127" t="s">
        <v>114</v>
      </c>
      <c r="B116" s="128">
        <v>1</v>
      </c>
      <c r="C116" s="220"/>
      <c r="D116" s="231"/>
      <c r="E116" s="232" t="s">
        <v>61</v>
      </c>
      <c r="F116" s="233">
        <f>AVERAGE(F109:F114)</f>
        <v>0.80787610042270852</v>
      </c>
    </row>
    <row r="117" spans="1:9" ht="27" customHeight="1" thickBot="1" x14ac:dyDescent="0.45">
      <c r="A117" s="127" t="s">
        <v>79</v>
      </c>
      <c r="B117" s="193">
        <f>(B116/B115)*(B114/B113)*(B112/B111)*(B110/B109)*B108</f>
        <v>1000</v>
      </c>
      <c r="C117" s="234"/>
      <c r="D117" s="235"/>
      <c r="E117" s="111" t="s">
        <v>69</v>
      </c>
      <c r="F117" s="236">
        <f>STDEV(F109:F114)/F116</f>
        <v>0.16530675302391354</v>
      </c>
    </row>
    <row r="118" spans="1:9" ht="27" customHeight="1" thickBot="1" x14ac:dyDescent="0.45">
      <c r="A118" s="259" t="s">
        <v>64</v>
      </c>
      <c r="B118" s="292"/>
      <c r="C118" s="237"/>
      <c r="D118" s="238"/>
      <c r="E118" s="239" t="s">
        <v>19</v>
      </c>
      <c r="F118" s="240">
        <f>COUNT(F109:F114)</f>
        <v>6</v>
      </c>
      <c r="I118" s="214"/>
    </row>
    <row r="119" spans="1:9" ht="19.5" customHeight="1" thickBot="1" x14ac:dyDescent="0.35">
      <c r="A119" s="261"/>
      <c r="B119" s="293"/>
      <c r="C119" s="124"/>
      <c r="D119" s="124"/>
      <c r="E119" s="124"/>
      <c r="F119" s="156"/>
      <c r="G119" s="124"/>
      <c r="H119" s="124"/>
    </row>
    <row r="120" spans="1:9" ht="18.75" x14ac:dyDescent="0.3">
      <c r="A120" s="122"/>
      <c r="B120" s="122"/>
      <c r="C120" s="124"/>
      <c r="D120" s="124"/>
      <c r="E120" s="124"/>
      <c r="F120" s="156"/>
      <c r="G120" s="124"/>
      <c r="H120" s="124"/>
    </row>
    <row r="121" spans="1:9" ht="26.25" customHeight="1" x14ac:dyDescent="0.4">
      <c r="A121" s="110" t="s">
        <v>115</v>
      </c>
      <c r="B121" s="111" t="s">
        <v>89</v>
      </c>
      <c r="C121" s="279" t="str">
        <f>B20</f>
        <v xml:space="preserve">ATAZANAVIR </v>
      </c>
      <c r="D121" s="279"/>
      <c r="E121" s="124" t="s">
        <v>90</v>
      </c>
      <c r="F121" s="124"/>
      <c r="G121" s="241">
        <f>F116</f>
        <v>0.80787610042270852</v>
      </c>
      <c r="H121" s="124"/>
    </row>
    <row r="122" spans="1:9" ht="18.75" x14ac:dyDescent="0.3">
      <c r="A122" s="122"/>
      <c r="B122" s="122"/>
      <c r="C122" s="124"/>
      <c r="D122" s="124"/>
      <c r="E122" s="124"/>
      <c r="F122" s="156"/>
      <c r="G122" s="124"/>
      <c r="H122" s="124"/>
    </row>
    <row r="123" spans="1:9" ht="26.25" customHeight="1" x14ac:dyDescent="0.4">
      <c r="A123" s="109" t="s">
        <v>116</v>
      </c>
      <c r="B123" s="109" t="s">
        <v>117</v>
      </c>
      <c r="D123" s="202" t="s">
        <v>120</v>
      </c>
    </row>
    <row r="124" spans="1:9" ht="19.5" customHeight="1" thickBot="1" x14ac:dyDescent="0.35">
      <c r="A124" s="99"/>
      <c r="B124" s="99"/>
      <c r="C124" s="99"/>
      <c r="D124" s="99"/>
      <c r="E124" s="99"/>
    </row>
    <row r="125" spans="1:9" ht="26.25" customHeight="1" x14ac:dyDescent="0.4">
      <c r="A125" s="125" t="s">
        <v>86</v>
      </c>
      <c r="B125" s="242">
        <v>1000</v>
      </c>
      <c r="C125" s="203" t="s">
        <v>119</v>
      </c>
      <c r="D125" s="217" t="s">
        <v>59</v>
      </c>
      <c r="E125" s="218" t="s">
        <v>87</v>
      </c>
      <c r="F125" s="219" t="s">
        <v>88</v>
      </c>
    </row>
    <row r="126" spans="1:9" ht="26.25" customHeight="1" x14ac:dyDescent="0.4">
      <c r="A126" s="127" t="s">
        <v>107</v>
      </c>
      <c r="B126" s="243">
        <v>1</v>
      </c>
      <c r="C126" s="220">
        <v>1</v>
      </c>
      <c r="D126" s="221">
        <v>47480175</v>
      </c>
      <c r="E126" s="244">
        <f>IF(ISBLANK(D126),"-",D126/$D$104*$D$101*$B$134)</f>
        <v>307.98036094974077</v>
      </c>
      <c r="F126" s="245">
        <f>IF(ISBLANK(D126), "-", E126/$B$56)</f>
        <v>1.0266012031658025</v>
      </c>
    </row>
    <row r="127" spans="1:9" ht="26.25" customHeight="1" x14ac:dyDescent="0.4">
      <c r="A127" s="127" t="s">
        <v>108</v>
      </c>
      <c r="B127" s="243">
        <v>1</v>
      </c>
      <c r="C127" s="220">
        <v>2</v>
      </c>
      <c r="D127" s="221">
        <v>46428768</v>
      </c>
      <c r="E127" s="246">
        <f t="shared" ref="E127:E131" si="3">IF(ISBLANK(D127),"-",D127/$D$104*$D$101*$B$134)</f>
        <v>301.16040488670848</v>
      </c>
      <c r="F127" s="247">
        <f t="shared" ref="F127:F131" si="4">IF(ISBLANK(D127), "-", E127/$B$56)</f>
        <v>1.0038680162890283</v>
      </c>
    </row>
    <row r="128" spans="1:9" ht="26.25" customHeight="1" x14ac:dyDescent="0.4">
      <c r="A128" s="127" t="s">
        <v>109</v>
      </c>
      <c r="B128" s="243">
        <v>1</v>
      </c>
      <c r="C128" s="220">
        <v>3</v>
      </c>
      <c r="D128" s="221">
        <v>40435043</v>
      </c>
      <c r="E128" s="246">
        <f t="shared" si="3"/>
        <v>262.28208169321806</v>
      </c>
      <c r="F128" s="247">
        <f t="shared" si="4"/>
        <v>0.8742736056440602</v>
      </c>
    </row>
    <row r="129" spans="1:9" ht="26.25" customHeight="1" x14ac:dyDescent="0.4">
      <c r="A129" s="127" t="s">
        <v>110</v>
      </c>
      <c r="B129" s="243">
        <v>1</v>
      </c>
      <c r="C129" s="220">
        <v>4</v>
      </c>
      <c r="D129" s="221">
        <v>42739365</v>
      </c>
      <c r="E129" s="246">
        <f t="shared" si="3"/>
        <v>277.22907633475904</v>
      </c>
      <c r="F129" s="247">
        <f t="shared" si="4"/>
        <v>0.9240969211158635</v>
      </c>
    </row>
    <row r="130" spans="1:9" ht="26.25" customHeight="1" x14ac:dyDescent="0.4">
      <c r="A130" s="127" t="s">
        <v>111</v>
      </c>
      <c r="B130" s="243">
        <v>1</v>
      </c>
      <c r="C130" s="220">
        <v>5</v>
      </c>
      <c r="D130" s="221">
        <v>46191277</v>
      </c>
      <c r="E130" s="246">
        <f t="shared" si="3"/>
        <v>299.61991848575661</v>
      </c>
      <c r="F130" s="247">
        <f t="shared" si="4"/>
        <v>0.99873306161918873</v>
      </c>
    </row>
    <row r="131" spans="1:9" ht="26.25" customHeight="1" x14ac:dyDescent="0.4">
      <c r="A131" s="127" t="s">
        <v>112</v>
      </c>
      <c r="B131" s="243">
        <v>1</v>
      </c>
      <c r="C131" s="226">
        <v>6</v>
      </c>
      <c r="D131" s="227">
        <v>38891130</v>
      </c>
      <c r="E131" s="248">
        <f t="shared" si="3"/>
        <v>252.26748332632076</v>
      </c>
      <c r="F131" s="249">
        <f t="shared" si="4"/>
        <v>0.84089161108773591</v>
      </c>
    </row>
    <row r="132" spans="1:9" ht="26.25" customHeight="1" x14ac:dyDescent="0.4">
      <c r="A132" s="127" t="s">
        <v>113</v>
      </c>
      <c r="B132" s="243">
        <v>1</v>
      </c>
      <c r="C132" s="220"/>
      <c r="D132" s="156"/>
      <c r="E132" s="124"/>
      <c r="F132" s="230"/>
    </row>
    <row r="133" spans="1:9" ht="26.25" customHeight="1" x14ac:dyDescent="0.4">
      <c r="A133" s="127" t="s">
        <v>114</v>
      </c>
      <c r="B133" s="243">
        <v>1</v>
      </c>
      <c r="C133" s="220"/>
      <c r="D133" s="231"/>
      <c r="E133" s="232" t="s">
        <v>61</v>
      </c>
      <c r="F133" s="233">
        <f>AVERAGE(F126:F131)</f>
        <v>0.94474406982027992</v>
      </c>
    </row>
    <row r="134" spans="1:9" ht="27" customHeight="1" thickBot="1" x14ac:dyDescent="0.45">
      <c r="A134" s="127" t="s">
        <v>79</v>
      </c>
      <c r="B134" s="250">
        <f>(B133/B132)*(B131/B130)*(B129/B128)*(B127/B126)*B125</f>
        <v>1000</v>
      </c>
      <c r="C134" s="234"/>
      <c r="D134" s="235"/>
      <c r="E134" s="111" t="s">
        <v>69</v>
      </c>
      <c r="F134" s="236">
        <f>STDEV(F126:F131)/F133</f>
        <v>8.1012375401524034E-2</v>
      </c>
    </row>
    <row r="135" spans="1:9" ht="27" customHeight="1" thickBot="1" x14ac:dyDescent="0.45">
      <c r="A135" s="259" t="s">
        <v>64</v>
      </c>
      <c r="B135" s="292"/>
      <c r="C135" s="237"/>
      <c r="D135" s="238"/>
      <c r="E135" s="239" t="s">
        <v>19</v>
      </c>
      <c r="F135" s="240">
        <f>COUNT(F126:F131)</f>
        <v>6</v>
      </c>
      <c r="I135" s="214"/>
    </row>
    <row r="136" spans="1:9" ht="19.5" customHeight="1" thickBot="1" x14ac:dyDescent="0.35">
      <c r="A136" s="261"/>
      <c r="B136" s="293"/>
      <c r="C136" s="124"/>
      <c r="D136" s="124"/>
      <c r="E136" s="124"/>
      <c r="F136" s="156"/>
      <c r="G136" s="124"/>
      <c r="H136" s="124"/>
    </row>
    <row r="137" spans="1:9" ht="18.75" x14ac:dyDescent="0.3">
      <c r="A137" s="122"/>
      <c r="B137" s="122"/>
      <c r="C137" s="124"/>
      <c r="D137" s="124"/>
      <c r="E137" s="124"/>
      <c r="F137" s="156"/>
      <c r="G137" s="124"/>
      <c r="H137" s="124"/>
    </row>
    <row r="138" spans="1:9" ht="26.25" customHeight="1" x14ac:dyDescent="0.4">
      <c r="A138" s="110" t="s">
        <v>115</v>
      </c>
      <c r="B138" s="111" t="s">
        <v>89</v>
      </c>
      <c r="C138" s="279" t="str">
        <f>B20</f>
        <v xml:space="preserve">ATAZANAVIR </v>
      </c>
      <c r="D138" s="279"/>
      <c r="E138" s="124" t="s">
        <v>90</v>
      </c>
      <c r="F138" s="124"/>
      <c r="G138" s="241">
        <f>F133</f>
        <v>0.94474406982027992</v>
      </c>
      <c r="H138" s="124"/>
    </row>
    <row r="139" spans="1:9" ht="19.5" customHeight="1" thickBot="1" x14ac:dyDescent="0.35">
      <c r="A139" s="251"/>
      <c r="B139" s="251"/>
      <c r="C139" s="252"/>
      <c r="D139" s="252"/>
      <c r="E139" s="252"/>
      <c r="F139" s="252"/>
      <c r="G139" s="252"/>
      <c r="H139" s="252"/>
    </row>
    <row r="140" spans="1:9" ht="18.75" x14ac:dyDescent="0.3">
      <c r="B140" s="291" t="s">
        <v>24</v>
      </c>
      <c r="C140" s="291"/>
      <c r="E140" s="205" t="s">
        <v>25</v>
      </c>
      <c r="F140" s="253"/>
      <c r="G140" s="291" t="s">
        <v>26</v>
      </c>
      <c r="H140" s="291"/>
    </row>
    <row r="141" spans="1:9" ht="83.1" customHeight="1" x14ac:dyDescent="0.3">
      <c r="A141" s="110" t="s">
        <v>27</v>
      </c>
      <c r="B141" s="254"/>
      <c r="C141" s="254"/>
      <c r="E141" s="255"/>
      <c r="F141" s="124"/>
      <c r="G141" s="255"/>
      <c r="H141" s="255"/>
    </row>
    <row r="142" spans="1:9" ht="83.1" customHeight="1" x14ac:dyDescent="0.3">
      <c r="A142" s="110" t="s">
        <v>28</v>
      </c>
      <c r="B142" s="256"/>
      <c r="C142" s="256"/>
      <c r="E142" s="257"/>
      <c r="F142" s="124"/>
      <c r="G142" s="258"/>
      <c r="H142" s="258"/>
    </row>
    <row r="143" spans="1:9" ht="18.75" x14ac:dyDescent="0.3">
      <c r="A143" s="156"/>
      <c r="B143" s="156"/>
      <c r="C143" s="156"/>
      <c r="D143" s="156"/>
      <c r="E143" s="156"/>
      <c r="F143" s="159"/>
      <c r="G143" s="156"/>
      <c r="H143" s="156"/>
    </row>
    <row r="144" spans="1:9" ht="18.75" x14ac:dyDescent="0.3">
      <c r="A144" s="156"/>
      <c r="B144" s="156"/>
      <c r="C144" s="156"/>
      <c r="D144" s="156"/>
      <c r="E144" s="156"/>
      <c r="F144" s="159"/>
      <c r="G144" s="156"/>
      <c r="H144" s="156"/>
    </row>
    <row r="145" spans="1:8" ht="18.75" x14ac:dyDescent="0.3">
      <c r="A145" s="156"/>
      <c r="B145" s="156"/>
      <c r="C145" s="156"/>
      <c r="D145" s="156"/>
      <c r="E145" s="156"/>
      <c r="F145" s="159"/>
      <c r="G145" s="156"/>
      <c r="H145" s="156"/>
    </row>
    <row r="146" spans="1:8" ht="18.75" x14ac:dyDescent="0.3">
      <c r="A146" s="156"/>
      <c r="B146" s="156"/>
      <c r="C146" s="156"/>
      <c r="D146" s="156"/>
      <c r="E146" s="156"/>
      <c r="F146" s="159"/>
      <c r="G146" s="156"/>
      <c r="H146" s="156"/>
    </row>
    <row r="147" spans="1:8" ht="18.75" x14ac:dyDescent="0.3">
      <c r="A147" s="156"/>
      <c r="B147" s="156"/>
      <c r="C147" s="156"/>
      <c r="D147" s="156"/>
      <c r="E147" s="156"/>
      <c r="F147" s="159"/>
      <c r="G147" s="156"/>
      <c r="H147" s="156"/>
    </row>
    <row r="148" spans="1:8" ht="18.75" x14ac:dyDescent="0.3">
      <c r="A148" s="156"/>
      <c r="B148" s="156"/>
      <c r="C148" s="156"/>
      <c r="D148" s="156"/>
      <c r="E148" s="156"/>
      <c r="F148" s="159"/>
      <c r="G148" s="156"/>
      <c r="H148" s="156"/>
    </row>
    <row r="149" spans="1:8" ht="18.75" x14ac:dyDescent="0.3">
      <c r="A149" s="156"/>
      <c r="B149" s="156"/>
      <c r="C149" s="156"/>
      <c r="D149" s="156"/>
      <c r="E149" s="156"/>
      <c r="F149" s="159"/>
      <c r="G149" s="156"/>
      <c r="H149" s="156"/>
    </row>
    <row r="150" spans="1:8" ht="18.75" x14ac:dyDescent="0.3">
      <c r="A150" s="156"/>
      <c r="B150" s="156"/>
      <c r="C150" s="156"/>
      <c r="D150" s="156"/>
      <c r="E150" s="156"/>
      <c r="F150" s="159"/>
      <c r="G150" s="156"/>
      <c r="H150" s="156"/>
    </row>
    <row r="151" spans="1:8" ht="18.75" x14ac:dyDescent="0.3">
      <c r="A151" s="156"/>
      <c r="B151" s="156"/>
      <c r="C151" s="156"/>
      <c r="D151" s="156"/>
      <c r="E151" s="156"/>
      <c r="F151" s="159"/>
      <c r="G151" s="156"/>
      <c r="H151" s="156"/>
    </row>
    <row r="250" spans="1:1" x14ac:dyDescent="0.25">
      <c r="A250" s="98">
        <v>5</v>
      </c>
    </row>
  </sheetData>
  <mergeCells count="31">
    <mergeCell ref="A70:B71"/>
    <mergeCell ref="G140:H140"/>
    <mergeCell ref="B80:C80"/>
    <mergeCell ref="C83:G83"/>
    <mergeCell ref="C85:H85"/>
    <mergeCell ref="C86:H86"/>
    <mergeCell ref="F90:G90"/>
    <mergeCell ref="A100:B101"/>
    <mergeCell ref="A118:B119"/>
    <mergeCell ref="C121:D121"/>
    <mergeCell ref="A135:B136"/>
    <mergeCell ref="C138:D138"/>
    <mergeCell ref="B140:C140"/>
    <mergeCell ref="C76:D76"/>
    <mergeCell ref="C31:H31"/>
    <mergeCell ref="C32:H32"/>
    <mergeCell ref="D36:E36"/>
    <mergeCell ref="F36:G36"/>
    <mergeCell ref="C64:C67"/>
    <mergeCell ref="D64:D67"/>
    <mergeCell ref="C68:C71"/>
    <mergeCell ref="D68:D71"/>
    <mergeCell ref="A46:B47"/>
    <mergeCell ref="C60:C63"/>
    <mergeCell ref="D60:D63"/>
    <mergeCell ref="A1:H7"/>
    <mergeCell ref="A8:H14"/>
    <mergeCell ref="A16:H16"/>
    <mergeCell ref="B18:C18"/>
    <mergeCell ref="B26:C26"/>
    <mergeCell ref="C29:G29"/>
  </mergeCells>
  <pageMargins left="0.7" right="0.7" top="0.75" bottom="0.75" header="0.3" footer="0.3"/>
  <pageSetup scale="21" orientation="portrait" r:id="rId1"/>
  <colBreaks count="1" manualBreakCount="1">
    <brk id="8" max="24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0"/>
  <sheetViews>
    <sheetView tabSelected="1" view="pageBreakPreview" topLeftCell="A58" zoomScale="60" zoomScaleNormal="60" workbookViewId="0">
      <selection activeCell="D126" sqref="D126:D131"/>
    </sheetView>
  </sheetViews>
  <sheetFormatPr defaultRowHeight="13.5" x14ac:dyDescent="0.25"/>
  <cols>
    <col min="1" max="1" width="55.42578125" style="98" customWidth="1"/>
    <col min="2" max="2" width="33.7109375" style="98" customWidth="1"/>
    <col min="3" max="3" width="42.28515625" style="98" customWidth="1"/>
    <col min="4" max="4" width="30.5703125" style="98" customWidth="1"/>
    <col min="5" max="5" width="39.85546875" style="98" customWidth="1"/>
    <col min="6" max="6" width="30.7109375" style="98" customWidth="1"/>
    <col min="7" max="7" width="39.85546875" style="98" customWidth="1"/>
    <col min="8" max="8" width="41.140625" style="98" customWidth="1"/>
    <col min="9" max="9" width="30.42578125" style="98" customWidth="1"/>
    <col min="10" max="10" width="21.28515625" style="98" customWidth="1"/>
    <col min="11" max="11" width="9.140625" style="98" customWidth="1"/>
    <col min="12" max="16384" width="9.140625" style="100"/>
  </cols>
  <sheetData>
    <row r="1" spans="1:8" x14ac:dyDescent="0.25">
      <c r="A1" s="269" t="s">
        <v>43</v>
      </c>
      <c r="B1" s="269"/>
      <c r="C1" s="269"/>
      <c r="D1" s="269"/>
      <c r="E1" s="269"/>
      <c r="F1" s="269"/>
      <c r="G1" s="269"/>
      <c r="H1" s="269"/>
    </row>
    <row r="2" spans="1:8" x14ac:dyDescent="0.25">
      <c r="A2" s="269"/>
      <c r="B2" s="269"/>
      <c r="C2" s="269"/>
      <c r="D2" s="269"/>
      <c r="E2" s="269"/>
      <c r="F2" s="269"/>
      <c r="G2" s="269"/>
      <c r="H2" s="269"/>
    </row>
    <row r="3" spans="1:8" x14ac:dyDescent="0.25">
      <c r="A3" s="269"/>
      <c r="B3" s="269"/>
      <c r="C3" s="269"/>
      <c r="D3" s="269"/>
      <c r="E3" s="269"/>
      <c r="F3" s="269"/>
      <c r="G3" s="269"/>
      <c r="H3" s="269"/>
    </row>
    <row r="4" spans="1:8" x14ac:dyDescent="0.25">
      <c r="A4" s="269"/>
      <c r="B4" s="269"/>
      <c r="C4" s="269"/>
      <c r="D4" s="269"/>
      <c r="E4" s="269"/>
      <c r="F4" s="269"/>
      <c r="G4" s="269"/>
      <c r="H4" s="269"/>
    </row>
    <row r="5" spans="1:8" x14ac:dyDescent="0.25">
      <c r="A5" s="269"/>
      <c r="B5" s="269"/>
      <c r="C5" s="269"/>
      <c r="D5" s="269"/>
      <c r="E5" s="269"/>
      <c r="F5" s="269"/>
      <c r="G5" s="269"/>
      <c r="H5" s="269"/>
    </row>
    <row r="6" spans="1:8" x14ac:dyDescent="0.25">
      <c r="A6" s="269"/>
      <c r="B6" s="269"/>
      <c r="C6" s="269"/>
      <c r="D6" s="269"/>
      <c r="E6" s="269"/>
      <c r="F6" s="269"/>
      <c r="G6" s="269"/>
      <c r="H6" s="269"/>
    </row>
    <row r="7" spans="1:8" x14ac:dyDescent="0.25">
      <c r="A7" s="269"/>
      <c r="B7" s="269"/>
      <c r="C7" s="269"/>
      <c r="D7" s="269"/>
      <c r="E7" s="269"/>
      <c r="F7" s="269"/>
      <c r="G7" s="269"/>
      <c r="H7" s="269"/>
    </row>
    <row r="8" spans="1:8" x14ac:dyDescent="0.25">
      <c r="A8" s="270" t="s">
        <v>44</v>
      </c>
      <c r="B8" s="270"/>
      <c r="C8" s="270"/>
      <c r="D8" s="270"/>
      <c r="E8" s="270"/>
      <c r="F8" s="270"/>
      <c r="G8" s="270"/>
      <c r="H8" s="270"/>
    </row>
    <row r="9" spans="1:8" x14ac:dyDescent="0.25">
      <c r="A9" s="270"/>
      <c r="B9" s="270"/>
      <c r="C9" s="270"/>
      <c r="D9" s="270"/>
      <c r="E9" s="270"/>
      <c r="F9" s="270"/>
      <c r="G9" s="270"/>
      <c r="H9" s="270"/>
    </row>
    <row r="10" spans="1:8" x14ac:dyDescent="0.25">
      <c r="A10" s="270"/>
      <c r="B10" s="270"/>
      <c r="C10" s="270"/>
      <c r="D10" s="270"/>
      <c r="E10" s="270"/>
      <c r="F10" s="270"/>
      <c r="G10" s="270"/>
      <c r="H10" s="270"/>
    </row>
    <row r="11" spans="1:8" x14ac:dyDescent="0.25">
      <c r="A11" s="270"/>
      <c r="B11" s="270"/>
      <c r="C11" s="270"/>
      <c r="D11" s="270"/>
      <c r="E11" s="270"/>
      <c r="F11" s="270"/>
      <c r="G11" s="270"/>
      <c r="H11" s="270"/>
    </row>
    <row r="12" spans="1:8" x14ac:dyDescent="0.25">
      <c r="A12" s="270"/>
      <c r="B12" s="270"/>
      <c r="C12" s="270"/>
      <c r="D12" s="270"/>
      <c r="E12" s="270"/>
      <c r="F12" s="270"/>
      <c r="G12" s="270"/>
      <c r="H12" s="270"/>
    </row>
    <row r="13" spans="1:8" x14ac:dyDescent="0.25">
      <c r="A13" s="270"/>
      <c r="B13" s="270"/>
      <c r="C13" s="270"/>
      <c r="D13" s="270"/>
      <c r="E13" s="270"/>
      <c r="F13" s="270"/>
      <c r="G13" s="270"/>
      <c r="H13" s="270"/>
    </row>
    <row r="14" spans="1:8" x14ac:dyDescent="0.25">
      <c r="A14" s="270"/>
      <c r="B14" s="270"/>
      <c r="C14" s="270"/>
      <c r="D14" s="270"/>
      <c r="E14" s="270"/>
      <c r="F14" s="270"/>
      <c r="G14" s="270"/>
      <c r="H14" s="270"/>
    </row>
    <row r="15" spans="1:8" ht="19.5" customHeight="1" thickBot="1" x14ac:dyDescent="0.3"/>
    <row r="16" spans="1:8" ht="19.5" customHeight="1" thickBot="1" x14ac:dyDescent="0.3">
      <c r="A16" s="271" t="s">
        <v>29</v>
      </c>
      <c r="B16" s="272"/>
      <c r="C16" s="272"/>
      <c r="D16" s="272"/>
      <c r="E16" s="272"/>
      <c r="F16" s="272"/>
      <c r="G16" s="272"/>
      <c r="H16" s="273"/>
    </row>
    <row r="17" spans="1:13" ht="18.75" x14ac:dyDescent="0.3">
      <c r="A17" s="99" t="s">
        <v>45</v>
      </c>
      <c r="B17" s="99"/>
    </row>
    <row r="18" spans="1:13" ht="18.75" x14ac:dyDescent="0.3">
      <c r="A18" s="101" t="s">
        <v>31</v>
      </c>
      <c r="B18" s="274" t="s">
        <v>4</v>
      </c>
      <c r="C18" s="274"/>
      <c r="D18" s="102"/>
      <c r="E18" s="102"/>
    </row>
    <row r="19" spans="1:13" ht="18.75" x14ac:dyDescent="0.3">
      <c r="A19" s="101" t="s">
        <v>32</v>
      </c>
      <c r="B19" s="103" t="s">
        <v>124</v>
      </c>
      <c r="C19" s="104">
        <v>35</v>
      </c>
    </row>
    <row r="20" spans="1:13" ht="18.75" x14ac:dyDescent="0.3">
      <c r="A20" s="101" t="s">
        <v>33</v>
      </c>
      <c r="B20" s="103" t="s">
        <v>121</v>
      </c>
    </row>
    <row r="21" spans="1:13" ht="18.75" x14ac:dyDescent="0.3">
      <c r="A21" s="101" t="s">
        <v>34</v>
      </c>
      <c r="B21" s="105" t="s">
        <v>122</v>
      </c>
      <c r="C21" s="105"/>
      <c r="D21" s="105"/>
      <c r="E21" s="105"/>
      <c r="F21" s="105"/>
      <c r="G21" s="105"/>
      <c r="H21" s="105"/>
    </row>
    <row r="22" spans="1:13" ht="18.75" x14ac:dyDescent="0.3">
      <c r="A22" s="101" t="s">
        <v>35</v>
      </c>
      <c r="B22" s="106"/>
    </row>
    <row r="23" spans="1:13" ht="18.75" x14ac:dyDescent="0.3">
      <c r="A23" s="101" t="s">
        <v>36</v>
      </c>
      <c r="B23" s="106"/>
    </row>
    <row r="24" spans="1:13" ht="18.75" x14ac:dyDescent="0.3">
      <c r="A24" s="101"/>
      <c r="B24" s="108"/>
    </row>
    <row r="25" spans="1:13" ht="18.75" x14ac:dyDescent="0.3">
      <c r="A25" s="109" t="s">
        <v>1</v>
      </c>
      <c r="B25" s="108"/>
    </row>
    <row r="26" spans="1:13" ht="26.25" customHeight="1" x14ac:dyDescent="0.4">
      <c r="A26" s="110" t="s">
        <v>3</v>
      </c>
      <c r="B26" s="275" t="s">
        <v>123</v>
      </c>
      <c r="C26" s="275"/>
    </row>
    <row r="27" spans="1:13" ht="26.25" customHeight="1" x14ac:dyDescent="0.4">
      <c r="A27" s="111" t="s">
        <v>46</v>
      </c>
      <c r="B27" s="112" t="s">
        <v>125</v>
      </c>
    </row>
    <row r="28" spans="1:13" ht="27" customHeight="1" thickBot="1" x14ac:dyDescent="0.45">
      <c r="A28" s="111" t="s">
        <v>5</v>
      </c>
      <c r="B28" s="112">
        <v>99.4</v>
      </c>
    </row>
    <row r="29" spans="1:13" s="113" customFormat="1" ht="27" customHeight="1" thickBot="1" x14ac:dyDescent="0.45">
      <c r="A29" s="111" t="s">
        <v>47</v>
      </c>
      <c r="B29" s="112">
        <v>0</v>
      </c>
      <c r="C29" s="276" t="s">
        <v>48</v>
      </c>
      <c r="D29" s="277"/>
      <c r="E29" s="277"/>
      <c r="F29" s="277"/>
      <c r="G29" s="278"/>
      <c r="I29" s="114"/>
      <c r="J29" s="114"/>
      <c r="K29" s="114"/>
    </row>
    <row r="30" spans="1:13" s="113" customFormat="1" ht="19.5" customHeight="1" thickBot="1" x14ac:dyDescent="0.35">
      <c r="A30" s="111" t="s">
        <v>49</v>
      </c>
      <c r="B30" s="115">
        <f>B28-B29</f>
        <v>99.4</v>
      </c>
      <c r="C30" s="116"/>
      <c r="D30" s="116"/>
      <c r="E30" s="116"/>
      <c r="F30" s="116"/>
      <c r="G30" s="117"/>
      <c r="I30" s="114"/>
      <c r="J30" s="114"/>
      <c r="K30" s="114"/>
    </row>
    <row r="31" spans="1:13" s="113" customFormat="1" ht="27" customHeight="1" thickBot="1" x14ac:dyDescent="0.45">
      <c r="A31" s="111" t="s">
        <v>50</v>
      </c>
      <c r="B31" s="118">
        <v>1</v>
      </c>
      <c r="C31" s="280" t="s">
        <v>51</v>
      </c>
      <c r="D31" s="281"/>
      <c r="E31" s="281"/>
      <c r="F31" s="281"/>
      <c r="G31" s="281"/>
      <c r="H31" s="282"/>
      <c r="I31" s="114"/>
      <c r="J31" s="114"/>
      <c r="K31" s="114"/>
    </row>
    <row r="32" spans="1:13" s="113" customFormat="1" ht="27" customHeight="1" thickBot="1" x14ac:dyDescent="0.45">
      <c r="A32" s="111" t="s">
        <v>52</v>
      </c>
      <c r="B32" s="118">
        <v>1</v>
      </c>
      <c r="C32" s="280" t="s">
        <v>53</v>
      </c>
      <c r="D32" s="281"/>
      <c r="E32" s="281"/>
      <c r="F32" s="281"/>
      <c r="G32" s="281"/>
      <c r="H32" s="282"/>
      <c r="I32" s="114"/>
      <c r="J32" s="114"/>
      <c r="K32" s="119"/>
      <c r="L32" s="119"/>
      <c r="M32" s="120"/>
    </row>
    <row r="33" spans="1:13" s="113" customFormat="1" ht="17.25" customHeight="1" x14ac:dyDescent="0.3">
      <c r="A33" s="111"/>
      <c r="B33" s="121"/>
      <c r="C33" s="122"/>
      <c r="D33" s="122"/>
      <c r="E33" s="122"/>
      <c r="F33" s="122"/>
      <c r="G33" s="122"/>
      <c r="H33" s="122"/>
      <c r="I33" s="114"/>
      <c r="J33" s="114"/>
      <c r="K33" s="119"/>
      <c r="L33" s="119"/>
      <c r="M33" s="120"/>
    </row>
    <row r="34" spans="1:13" s="113" customFormat="1" ht="18.75" x14ac:dyDescent="0.3">
      <c r="A34" s="111" t="s">
        <v>54</v>
      </c>
      <c r="B34" s="123">
        <f>B31/B32</f>
        <v>1</v>
      </c>
      <c r="C34" s="124" t="s">
        <v>55</v>
      </c>
      <c r="D34" s="124"/>
      <c r="E34" s="124"/>
      <c r="F34" s="124"/>
      <c r="G34" s="124"/>
      <c r="I34" s="114"/>
      <c r="J34" s="114"/>
      <c r="K34" s="119"/>
      <c r="L34" s="119"/>
      <c r="M34" s="120"/>
    </row>
    <row r="35" spans="1:13" s="113" customFormat="1" ht="19.5" customHeight="1" thickBot="1" x14ac:dyDescent="0.35">
      <c r="A35" s="111"/>
      <c r="B35" s="115"/>
      <c r="G35" s="124"/>
      <c r="I35" s="114"/>
      <c r="J35" s="114"/>
      <c r="K35" s="119"/>
      <c r="L35" s="119"/>
      <c r="M35" s="120"/>
    </row>
    <row r="36" spans="1:13" s="113" customFormat="1" ht="27" customHeight="1" thickBot="1" x14ac:dyDescent="0.45">
      <c r="A36" s="125" t="s">
        <v>95</v>
      </c>
      <c r="B36" s="126">
        <v>100</v>
      </c>
      <c r="C36" s="124"/>
      <c r="D36" s="283" t="s">
        <v>56</v>
      </c>
      <c r="E36" s="284"/>
      <c r="F36" s="283" t="s">
        <v>57</v>
      </c>
      <c r="G36" s="285"/>
      <c r="I36" s="114"/>
      <c r="J36" s="114"/>
      <c r="K36" s="119"/>
      <c r="L36" s="119"/>
      <c r="M36" s="120"/>
    </row>
    <row r="37" spans="1:13" s="113" customFormat="1" ht="26.25" customHeight="1" x14ac:dyDescent="0.4">
      <c r="A37" s="127" t="s">
        <v>96</v>
      </c>
      <c r="B37" s="128">
        <v>1</v>
      </c>
      <c r="C37" s="129" t="s">
        <v>97</v>
      </c>
      <c r="D37" s="130" t="s">
        <v>59</v>
      </c>
      <c r="E37" s="131" t="s">
        <v>60</v>
      </c>
      <c r="F37" s="130" t="s">
        <v>59</v>
      </c>
      <c r="G37" s="132" t="s">
        <v>60</v>
      </c>
      <c r="I37" s="114"/>
      <c r="J37" s="114"/>
      <c r="K37" s="119"/>
      <c r="L37" s="119"/>
      <c r="M37" s="120"/>
    </row>
    <row r="38" spans="1:13" s="113" customFormat="1" ht="26.25" customHeight="1" x14ac:dyDescent="0.4">
      <c r="A38" s="127" t="s">
        <v>98</v>
      </c>
      <c r="B38" s="128">
        <v>1</v>
      </c>
      <c r="C38" s="133">
        <v>1</v>
      </c>
      <c r="D38" s="134">
        <v>51032565</v>
      </c>
      <c r="E38" s="135">
        <f>IF(ISBLANK(D38),"-",$D$48/$D$45*D38)</f>
        <v>44799833.029591143</v>
      </c>
      <c r="F38" s="134">
        <v>60190762</v>
      </c>
      <c r="G38" s="136">
        <f>IF(ISBLANK(F38),"-",$D$48/$F$45*F38)</f>
        <v>45909087.580829933</v>
      </c>
      <c r="I38" s="114"/>
      <c r="J38" s="114"/>
      <c r="K38" s="119"/>
      <c r="L38" s="119"/>
      <c r="M38" s="120"/>
    </row>
    <row r="39" spans="1:13" s="113" customFormat="1" ht="26.25" customHeight="1" x14ac:dyDescent="0.4">
      <c r="A39" s="127" t="s">
        <v>99</v>
      </c>
      <c r="B39" s="128">
        <v>1</v>
      </c>
      <c r="C39" s="137">
        <v>2</v>
      </c>
      <c r="D39" s="138">
        <v>51005905</v>
      </c>
      <c r="E39" s="139">
        <f>IF(ISBLANK(D39),"-",$D$48/$D$45*D39)</f>
        <v>44776429.080591738</v>
      </c>
      <c r="F39" s="138">
        <v>60086868</v>
      </c>
      <c r="G39" s="140">
        <f>IF(ISBLANK(F39),"-",$D$48/$F$45*F39)</f>
        <v>45829844.876690008</v>
      </c>
      <c r="I39" s="114"/>
      <c r="J39" s="114"/>
      <c r="K39" s="119"/>
      <c r="L39" s="119"/>
      <c r="M39" s="120"/>
    </row>
    <row r="40" spans="1:13" ht="26.25" customHeight="1" x14ac:dyDescent="0.4">
      <c r="A40" s="127" t="s">
        <v>100</v>
      </c>
      <c r="B40" s="128">
        <v>1</v>
      </c>
      <c r="C40" s="137">
        <v>3</v>
      </c>
      <c r="D40" s="138">
        <v>50997201</v>
      </c>
      <c r="E40" s="139">
        <f>IF(ISBLANK(D40),"-",$D$48/$D$45*D40)</f>
        <v>44768788.121398531</v>
      </c>
      <c r="F40" s="138">
        <v>60283726</v>
      </c>
      <c r="G40" s="140">
        <f>IF(ISBLANK(F40),"-",$D$48/$F$45*F40)</f>
        <v>45979993.684624806</v>
      </c>
      <c r="K40" s="119"/>
      <c r="L40" s="119"/>
      <c r="M40" s="124"/>
    </row>
    <row r="41" spans="1:13" ht="26.25" customHeight="1" x14ac:dyDescent="0.4">
      <c r="A41" s="127" t="s">
        <v>101</v>
      </c>
      <c r="B41" s="128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K41" s="119"/>
      <c r="L41" s="119"/>
      <c r="M41" s="124"/>
    </row>
    <row r="42" spans="1:13" ht="27" customHeight="1" thickBot="1" x14ac:dyDescent="0.45">
      <c r="A42" s="127" t="s">
        <v>102</v>
      </c>
      <c r="B42" s="128">
        <v>1</v>
      </c>
      <c r="C42" s="145" t="s">
        <v>61</v>
      </c>
      <c r="D42" s="146">
        <f>AVERAGE(D38:D41)</f>
        <v>51011890.333333336</v>
      </c>
      <c r="E42" s="147">
        <f>AVERAGE(E38:E41)</f>
        <v>44781683.41052714</v>
      </c>
      <c r="F42" s="148">
        <f>AVERAGE(F38:F41)</f>
        <v>60187118.666666664</v>
      </c>
      <c r="G42" s="149">
        <f>AVERAGE(G38:G41)</f>
        <v>45906308.714048244</v>
      </c>
      <c r="H42" s="150"/>
    </row>
    <row r="43" spans="1:13" ht="26.25" customHeight="1" x14ac:dyDescent="0.4">
      <c r="A43" s="127" t="s">
        <v>103</v>
      </c>
      <c r="B43" s="112">
        <v>1</v>
      </c>
      <c r="C43" s="151" t="s">
        <v>83</v>
      </c>
      <c r="D43" s="152">
        <v>11.46</v>
      </c>
      <c r="E43" s="124"/>
      <c r="F43" s="153">
        <v>13.19</v>
      </c>
      <c r="H43" s="150"/>
    </row>
    <row r="44" spans="1:13" ht="26.25" customHeight="1" x14ac:dyDescent="0.4">
      <c r="A44" s="127" t="s">
        <v>104</v>
      </c>
      <c r="B44" s="112">
        <v>1</v>
      </c>
      <c r="C44" s="154" t="s">
        <v>84</v>
      </c>
      <c r="D44" s="155">
        <f>D43*$B$34</f>
        <v>11.46</v>
      </c>
      <c r="E44" s="156"/>
      <c r="F44" s="157">
        <f>F43*$B$34</f>
        <v>13.19</v>
      </c>
      <c r="H44" s="150"/>
    </row>
    <row r="45" spans="1:13" ht="19.5" customHeight="1" thickBot="1" x14ac:dyDescent="0.35">
      <c r="A45" s="127" t="s">
        <v>62</v>
      </c>
      <c r="B45" s="115">
        <f>(B44/B43)*(B42/B41)*(B40/B39)*(B38/B37)*B36</f>
        <v>100</v>
      </c>
      <c r="C45" s="154" t="s">
        <v>63</v>
      </c>
      <c r="D45" s="158">
        <f>D44*$B$30/100</f>
        <v>11.391240000000003</v>
      </c>
      <c r="E45" s="159"/>
      <c r="F45" s="160">
        <f>F44*$B$30/100</f>
        <v>13.110860000000001</v>
      </c>
      <c r="H45" s="150"/>
    </row>
    <row r="46" spans="1:13" ht="19.5" customHeight="1" thickBot="1" x14ac:dyDescent="0.35">
      <c r="A46" s="259" t="s">
        <v>64</v>
      </c>
      <c r="B46" s="260"/>
      <c r="C46" s="154" t="s">
        <v>65</v>
      </c>
      <c r="D46" s="155">
        <f>D45/$B$45</f>
        <v>0.11391240000000004</v>
      </c>
      <c r="E46" s="159"/>
      <c r="F46" s="161">
        <f>F45/$B$45</f>
        <v>0.13110860000000002</v>
      </c>
      <c r="H46" s="150"/>
    </row>
    <row r="47" spans="1:13" ht="27" customHeight="1" thickBot="1" x14ac:dyDescent="0.45">
      <c r="A47" s="261"/>
      <c r="B47" s="262"/>
      <c r="C47" s="154" t="s">
        <v>105</v>
      </c>
      <c r="D47" s="162">
        <v>0.1</v>
      </c>
      <c r="F47" s="163"/>
      <c r="H47" s="150"/>
    </row>
    <row r="48" spans="1:13" ht="18.75" x14ac:dyDescent="0.3">
      <c r="C48" s="154" t="s">
        <v>66</v>
      </c>
      <c r="D48" s="155">
        <f>D47*$B$45</f>
        <v>10</v>
      </c>
      <c r="F48" s="163"/>
      <c r="H48" s="150"/>
    </row>
    <row r="49" spans="1:11" ht="19.5" customHeight="1" thickBot="1" x14ac:dyDescent="0.35">
      <c r="C49" s="164" t="s">
        <v>67</v>
      </c>
      <c r="D49" s="165">
        <f>D48/B34</f>
        <v>10</v>
      </c>
      <c r="F49" s="166"/>
      <c r="H49" s="150"/>
    </row>
    <row r="50" spans="1:11" ht="18.75" x14ac:dyDescent="0.3">
      <c r="C50" s="167" t="s">
        <v>68</v>
      </c>
      <c r="D50" s="168">
        <f>AVERAGE(E38:E41,G38:G41)</f>
        <v>45343996.062287696</v>
      </c>
      <c r="F50" s="166"/>
      <c r="H50" s="150"/>
    </row>
    <row r="51" spans="1:11" ht="18.75" x14ac:dyDescent="0.3">
      <c r="C51" s="169" t="s">
        <v>69</v>
      </c>
      <c r="D51" s="170">
        <f>STDEV(E38:E41,G38:G41)/D50</f>
        <v>1.3626864383436193E-2</v>
      </c>
      <c r="F51" s="166"/>
    </row>
    <row r="52" spans="1:11" ht="19.5" customHeight="1" thickBot="1" x14ac:dyDescent="0.35">
      <c r="C52" s="171" t="s">
        <v>19</v>
      </c>
      <c r="D52" s="172">
        <f>COUNT(E38:E41,G38:G41)</f>
        <v>6</v>
      </c>
      <c r="F52" s="166"/>
    </row>
    <row r="54" spans="1:11" ht="18.75" x14ac:dyDescent="0.3">
      <c r="A54" s="99" t="s">
        <v>1</v>
      </c>
      <c r="B54" s="173" t="s">
        <v>70</v>
      </c>
    </row>
    <row r="55" spans="1:11" ht="18.75" x14ac:dyDescent="0.3">
      <c r="A55" s="124" t="s">
        <v>71</v>
      </c>
      <c r="B55" s="174" t="str">
        <f>B21</f>
        <v>Each film coated tablet contains: Ritonavir 100mg</v>
      </c>
    </row>
    <row r="56" spans="1:11" ht="26.25" customHeight="1" x14ac:dyDescent="0.4">
      <c r="A56" s="174" t="s">
        <v>72</v>
      </c>
      <c r="B56" s="112">
        <v>100</v>
      </c>
      <c r="C56" s="124" t="str">
        <f>B20</f>
        <v xml:space="preserve"> RITONAVIR </v>
      </c>
      <c r="H56" s="156"/>
    </row>
    <row r="57" spans="1:11" ht="18.75" x14ac:dyDescent="0.3">
      <c r="A57" s="174" t="s">
        <v>73</v>
      </c>
      <c r="B57" s="175">
        <f>'ATAZANAVIR '!B57</f>
        <v>1976.5670000000002</v>
      </c>
      <c r="H57" s="156"/>
    </row>
    <row r="58" spans="1:11" ht="19.5" customHeight="1" thickBot="1" x14ac:dyDescent="0.35">
      <c r="H58" s="156"/>
    </row>
    <row r="59" spans="1:11" s="113" customFormat="1" ht="27" customHeight="1" thickBot="1" x14ac:dyDescent="0.45">
      <c r="A59" s="125" t="s">
        <v>106</v>
      </c>
      <c r="B59" s="126">
        <v>100</v>
      </c>
      <c r="C59" s="124"/>
      <c r="D59" s="176" t="s">
        <v>74</v>
      </c>
      <c r="E59" s="177" t="s">
        <v>58</v>
      </c>
      <c r="F59" s="177" t="s">
        <v>59</v>
      </c>
      <c r="G59" s="177" t="s">
        <v>75</v>
      </c>
      <c r="H59" s="129" t="s">
        <v>76</v>
      </c>
      <c r="K59" s="114"/>
    </row>
    <row r="60" spans="1:11" s="113" customFormat="1" ht="22.5" customHeight="1" x14ac:dyDescent="0.4">
      <c r="A60" s="127" t="s">
        <v>107</v>
      </c>
      <c r="B60" s="128">
        <v>5</v>
      </c>
      <c r="C60" s="263" t="s">
        <v>77</v>
      </c>
      <c r="D60" s="266">
        <v>1202.43</v>
      </c>
      <c r="E60" s="178">
        <v>1</v>
      </c>
      <c r="F60" s="179">
        <v>27270995</v>
      </c>
      <c r="G60" s="180">
        <f>IF(ISBLANK(F60),"-",(F60/$D$50*$D$47*$B$68)*($B$57/$D$60))</f>
        <v>98.862805375762974</v>
      </c>
      <c r="H60" s="181">
        <f t="shared" ref="H60:H71" si="0">IF(ISBLANK(F60),"-",G60/$B$56)</f>
        <v>0.98862805375762974</v>
      </c>
      <c r="K60" s="114"/>
    </row>
    <row r="61" spans="1:11" s="113" customFormat="1" ht="26.25" customHeight="1" x14ac:dyDescent="0.4">
      <c r="A61" s="127" t="s">
        <v>108</v>
      </c>
      <c r="B61" s="128">
        <v>50</v>
      </c>
      <c r="C61" s="264"/>
      <c r="D61" s="267"/>
      <c r="E61" s="182">
        <v>2</v>
      </c>
      <c r="F61" s="138">
        <v>27439313</v>
      </c>
      <c r="G61" s="183">
        <f>IF(ISBLANK(F61),"-",(F61/$D$50*$D$47*$B$68)*($B$57/$D$60))</f>
        <v>99.472991754193174</v>
      </c>
      <c r="H61" s="184">
        <f t="shared" si="0"/>
        <v>0.99472991754193174</v>
      </c>
      <c r="K61" s="114"/>
    </row>
    <row r="62" spans="1:11" s="113" customFormat="1" ht="26.25" customHeight="1" x14ac:dyDescent="0.4">
      <c r="A62" s="127" t="s">
        <v>109</v>
      </c>
      <c r="B62" s="128">
        <v>1</v>
      </c>
      <c r="C62" s="264"/>
      <c r="D62" s="267"/>
      <c r="E62" s="182">
        <v>3</v>
      </c>
      <c r="F62" s="138">
        <v>27150549</v>
      </c>
      <c r="G62" s="183">
        <f>IF(ISBLANK(F62),"-",(F62/$D$50*$D$47*$B$68)*($B$57/$D$60))</f>
        <v>98.426164561730005</v>
      </c>
      <c r="H62" s="184">
        <f t="shared" si="0"/>
        <v>0.98426164561730001</v>
      </c>
      <c r="K62" s="114"/>
    </row>
    <row r="63" spans="1:11" ht="21" customHeight="1" thickBot="1" x14ac:dyDescent="0.45">
      <c r="A63" s="127" t="s">
        <v>110</v>
      </c>
      <c r="B63" s="128">
        <v>1</v>
      </c>
      <c r="C63" s="265"/>
      <c r="D63" s="268"/>
      <c r="E63" s="185">
        <v>4</v>
      </c>
      <c r="F63" s="186"/>
      <c r="G63" s="183" t="str">
        <f>IF(ISBLANK(F63),"-",(F63/$D$50*$D$47*$B$68)*($B$57/$D$60))</f>
        <v>-</v>
      </c>
      <c r="H63" s="184" t="str">
        <f t="shared" si="0"/>
        <v>-</v>
      </c>
    </row>
    <row r="64" spans="1:11" ht="26.25" customHeight="1" x14ac:dyDescent="0.4">
      <c r="A64" s="127" t="s">
        <v>111</v>
      </c>
      <c r="B64" s="128">
        <v>1</v>
      </c>
      <c r="C64" s="263" t="s">
        <v>78</v>
      </c>
      <c r="D64" s="266">
        <v>1203.1099999999999</v>
      </c>
      <c r="E64" s="178">
        <v>1</v>
      </c>
      <c r="F64" s="179">
        <v>27029226</v>
      </c>
      <c r="G64" s="187">
        <f>IF(ISBLANK(F64),"-",(F64/$D$50*$D$47*$B$68)*($B$57/$D$64))</f>
        <v>97.930962384140898</v>
      </c>
      <c r="H64" s="188">
        <f t="shared" si="0"/>
        <v>0.97930962384140896</v>
      </c>
    </row>
    <row r="65" spans="1:8" ht="26.25" customHeight="1" x14ac:dyDescent="0.4">
      <c r="A65" s="127" t="s">
        <v>112</v>
      </c>
      <c r="B65" s="128">
        <v>1</v>
      </c>
      <c r="C65" s="264"/>
      <c r="D65" s="267"/>
      <c r="E65" s="182">
        <v>2</v>
      </c>
      <c r="F65" s="138">
        <v>26813259</v>
      </c>
      <c r="G65" s="189">
        <f>IF(ISBLANK(F65),"-",(F65/$D$50*$D$47*$B$68)*($B$57/$D$64))</f>
        <v>97.14848137069211</v>
      </c>
      <c r="H65" s="190">
        <f t="shared" si="0"/>
        <v>0.97148481370692108</v>
      </c>
    </row>
    <row r="66" spans="1:8" ht="26.25" customHeight="1" x14ac:dyDescent="0.4">
      <c r="A66" s="127" t="s">
        <v>113</v>
      </c>
      <c r="B66" s="128">
        <v>1</v>
      </c>
      <c r="C66" s="264"/>
      <c r="D66" s="267"/>
      <c r="E66" s="182">
        <v>3</v>
      </c>
      <c r="F66" s="138">
        <v>27347412</v>
      </c>
      <c r="G66" s="189">
        <f>IF(ISBLANK(F66),"-",(F66/$D$50*$D$47*$B$68)*($B$57/$D$64))</f>
        <v>99.083798251403977</v>
      </c>
      <c r="H66" s="190">
        <f t="shared" si="0"/>
        <v>0.99083798251403976</v>
      </c>
    </row>
    <row r="67" spans="1:8" ht="21" customHeight="1" thickBot="1" x14ac:dyDescent="0.45">
      <c r="A67" s="127" t="s">
        <v>114</v>
      </c>
      <c r="B67" s="128">
        <v>1</v>
      </c>
      <c r="C67" s="265"/>
      <c r="D67" s="268"/>
      <c r="E67" s="185">
        <v>4</v>
      </c>
      <c r="F67" s="186"/>
      <c r="G67" s="191" t="str">
        <f>IF(ISBLANK(F67),"-",(F67/$D$50*$D$47*$B$68)*($B$57/$D$64))</f>
        <v>-</v>
      </c>
      <c r="H67" s="192" t="str">
        <f t="shared" si="0"/>
        <v>-</v>
      </c>
    </row>
    <row r="68" spans="1:8" ht="21.75" customHeight="1" x14ac:dyDescent="0.4">
      <c r="A68" s="127" t="s">
        <v>79</v>
      </c>
      <c r="B68" s="193">
        <f>(B67/B66)*(B65/B64)*(B63/B62)*(B61/B60)*B59</f>
        <v>1000</v>
      </c>
      <c r="C68" s="263" t="s">
        <v>80</v>
      </c>
      <c r="D68" s="266">
        <v>1204.6300000000001</v>
      </c>
      <c r="E68" s="178">
        <v>1</v>
      </c>
      <c r="F68" s="179">
        <v>27314711</v>
      </c>
      <c r="G68" s="187">
        <f>IF(ISBLANK(F68),"-",(F68/$D$50*$D$47*$B$68)*($B$57/$D$68))</f>
        <v>98.840443333966604</v>
      </c>
      <c r="H68" s="184">
        <f t="shared" si="0"/>
        <v>0.98840443333966599</v>
      </c>
    </row>
    <row r="69" spans="1:8" ht="21.75" customHeight="1" thickBot="1" x14ac:dyDescent="0.45">
      <c r="A69" s="194" t="s">
        <v>81</v>
      </c>
      <c r="B69" s="195">
        <f>D47*B68/B56*B57</f>
        <v>1976.5670000000002</v>
      </c>
      <c r="C69" s="264"/>
      <c r="D69" s="267"/>
      <c r="E69" s="182">
        <v>2</v>
      </c>
      <c r="F69" s="138">
        <v>27193018</v>
      </c>
      <c r="G69" s="189">
        <f>IF(ISBLANK(F69),"-",(F69/$D$50*$D$47*$B$68)*($B$57/$D$68))</f>
        <v>98.400087583153791</v>
      </c>
      <c r="H69" s="184">
        <f t="shared" si="0"/>
        <v>0.98400087583153795</v>
      </c>
    </row>
    <row r="70" spans="1:8" ht="22.5" customHeight="1" x14ac:dyDescent="0.4">
      <c r="A70" s="287" t="s">
        <v>64</v>
      </c>
      <c r="B70" s="288"/>
      <c r="C70" s="264"/>
      <c r="D70" s="267"/>
      <c r="E70" s="182">
        <v>3</v>
      </c>
      <c r="F70" s="138">
        <v>27294823</v>
      </c>
      <c r="G70" s="189">
        <f>IF(ISBLANK(F70),"-",(F70/$D$50*$D$47*$B$68)*($B$57/$D$68))</f>
        <v>98.768477032107285</v>
      </c>
      <c r="H70" s="184">
        <f t="shared" si="0"/>
        <v>0.98768477032107282</v>
      </c>
    </row>
    <row r="71" spans="1:8" ht="21.75" customHeight="1" thickBot="1" x14ac:dyDescent="0.45">
      <c r="A71" s="289"/>
      <c r="B71" s="290"/>
      <c r="C71" s="286"/>
      <c r="D71" s="268"/>
      <c r="E71" s="185">
        <v>4</v>
      </c>
      <c r="F71" s="186"/>
      <c r="G71" s="191" t="str">
        <f>IF(ISBLANK(F71),"-",(F71/$D$50*$D$47*$B$68)*($B$57/$D$68))</f>
        <v>-</v>
      </c>
      <c r="H71" s="196" t="str">
        <f t="shared" si="0"/>
        <v>-</v>
      </c>
    </row>
    <row r="72" spans="1:8" ht="26.25" customHeight="1" x14ac:dyDescent="0.4">
      <c r="A72" s="156"/>
      <c r="B72" s="156"/>
      <c r="C72" s="156"/>
      <c r="D72" s="156"/>
      <c r="E72" s="156"/>
      <c r="F72" s="156"/>
      <c r="G72" s="197" t="s">
        <v>61</v>
      </c>
      <c r="H72" s="198">
        <f>AVERAGE(H60:H71)</f>
        <v>0.98548245738572327</v>
      </c>
    </row>
    <row r="73" spans="1:8" ht="26.25" customHeight="1" x14ac:dyDescent="0.4">
      <c r="C73" s="156"/>
      <c r="D73" s="156"/>
      <c r="E73" s="156"/>
      <c r="F73" s="156"/>
      <c r="G73" s="169" t="s">
        <v>69</v>
      </c>
      <c r="H73" s="199">
        <f>STDEV(H60:H71)/H72</f>
        <v>6.9492752504073281E-3</v>
      </c>
    </row>
    <row r="74" spans="1:8" ht="27" customHeight="1" thickBot="1" x14ac:dyDescent="0.45">
      <c r="A74" s="156"/>
      <c r="B74" s="156"/>
      <c r="C74" s="156"/>
      <c r="D74" s="156"/>
      <c r="E74" s="159"/>
      <c r="F74" s="156"/>
      <c r="G74" s="171" t="s">
        <v>19</v>
      </c>
      <c r="H74" s="200">
        <f>COUNT(H60:H71)</f>
        <v>9</v>
      </c>
    </row>
    <row r="75" spans="1:8" ht="18.75" x14ac:dyDescent="0.3">
      <c r="A75" s="156"/>
      <c r="B75" s="156"/>
      <c r="C75" s="156"/>
      <c r="D75" s="156"/>
      <c r="E75" s="159"/>
      <c r="F75" s="156"/>
      <c r="G75" s="111"/>
      <c r="H75" s="115"/>
    </row>
    <row r="76" spans="1:8" ht="18.75" x14ac:dyDescent="0.3">
      <c r="A76" s="110" t="s">
        <v>115</v>
      </c>
      <c r="B76" s="111" t="s">
        <v>89</v>
      </c>
      <c r="C76" s="279" t="str">
        <f>B20</f>
        <v xml:space="preserve"> RITONAVIR </v>
      </c>
      <c r="D76" s="279"/>
      <c r="E76" s="124" t="s">
        <v>82</v>
      </c>
      <c r="F76" s="124"/>
      <c r="G76" s="201">
        <f>H72</f>
        <v>0.98548245738572327</v>
      </c>
      <c r="H76" s="115"/>
    </row>
    <row r="77" spans="1:8" ht="18.75" x14ac:dyDescent="0.3">
      <c r="A77" s="156"/>
      <c r="B77" s="156"/>
      <c r="C77" s="156"/>
      <c r="D77" s="156"/>
      <c r="E77" s="159"/>
      <c r="F77" s="156"/>
      <c r="G77" s="111"/>
      <c r="H77" s="115"/>
    </row>
    <row r="78" spans="1:8" ht="26.25" customHeight="1" x14ac:dyDescent="0.4">
      <c r="A78" s="109" t="s">
        <v>116</v>
      </c>
      <c r="B78" s="109" t="s">
        <v>117</v>
      </c>
      <c r="D78" s="202" t="s">
        <v>118</v>
      </c>
    </row>
    <row r="79" spans="1:8" ht="18.75" x14ac:dyDescent="0.3">
      <c r="A79" s="109"/>
      <c r="B79" s="109"/>
    </row>
    <row r="80" spans="1:8" ht="26.25" customHeight="1" x14ac:dyDescent="0.4">
      <c r="A80" s="110" t="s">
        <v>3</v>
      </c>
      <c r="B80" s="275" t="str">
        <f>B26</f>
        <v>Ritonavir</v>
      </c>
      <c r="C80" s="275"/>
    </row>
    <row r="81" spans="1:11" ht="26.25" customHeight="1" x14ac:dyDescent="0.4">
      <c r="A81" s="111" t="s">
        <v>46</v>
      </c>
      <c r="B81" s="112" t="str">
        <f>B27</f>
        <v>R14-2</v>
      </c>
    </row>
    <row r="82" spans="1:11" ht="27" customHeight="1" thickBot="1" x14ac:dyDescent="0.45">
      <c r="A82" s="111" t="s">
        <v>5</v>
      </c>
      <c r="B82" s="112">
        <f>B28</f>
        <v>99.4</v>
      </c>
    </row>
    <row r="83" spans="1:11" s="113" customFormat="1" ht="27" customHeight="1" thickBot="1" x14ac:dyDescent="0.45">
      <c r="A83" s="111" t="s">
        <v>47</v>
      </c>
      <c r="B83" s="112">
        <f>B29</f>
        <v>0</v>
      </c>
      <c r="C83" s="276" t="s">
        <v>48</v>
      </c>
      <c r="D83" s="277"/>
      <c r="E83" s="277"/>
      <c r="F83" s="277"/>
      <c r="G83" s="278"/>
      <c r="I83" s="114"/>
      <c r="J83" s="114"/>
      <c r="K83" s="114"/>
    </row>
    <row r="84" spans="1:11" s="113" customFormat="1" ht="19.5" customHeight="1" thickBot="1" x14ac:dyDescent="0.35">
      <c r="A84" s="111" t="s">
        <v>49</v>
      </c>
      <c r="B84" s="115">
        <f>B82-B83</f>
        <v>99.4</v>
      </c>
      <c r="C84" s="116"/>
      <c r="D84" s="116"/>
      <c r="E84" s="116"/>
      <c r="F84" s="116"/>
      <c r="G84" s="117"/>
      <c r="I84" s="114"/>
      <c r="J84" s="114"/>
      <c r="K84" s="114"/>
    </row>
    <row r="85" spans="1:11" s="113" customFormat="1" ht="27" customHeight="1" thickBot="1" x14ac:dyDescent="0.45">
      <c r="A85" s="111" t="s">
        <v>50</v>
      </c>
      <c r="B85" s="118">
        <v>1</v>
      </c>
      <c r="C85" s="280" t="s">
        <v>51</v>
      </c>
      <c r="D85" s="281"/>
      <c r="E85" s="281"/>
      <c r="F85" s="281"/>
      <c r="G85" s="281"/>
      <c r="H85" s="282"/>
      <c r="I85" s="114"/>
      <c r="J85" s="114"/>
      <c r="K85" s="114"/>
    </row>
    <row r="86" spans="1:11" s="113" customFormat="1" ht="27" customHeight="1" thickBot="1" x14ac:dyDescent="0.45">
      <c r="A86" s="111" t="s">
        <v>52</v>
      </c>
      <c r="B86" s="118">
        <v>1</v>
      </c>
      <c r="C86" s="280" t="s">
        <v>53</v>
      </c>
      <c r="D86" s="281"/>
      <c r="E86" s="281"/>
      <c r="F86" s="281"/>
      <c r="G86" s="281"/>
      <c r="H86" s="282"/>
      <c r="I86" s="114"/>
      <c r="J86" s="114"/>
      <c r="K86" s="114"/>
    </row>
    <row r="87" spans="1:11" s="113" customFormat="1" ht="18.75" x14ac:dyDescent="0.3">
      <c r="A87" s="111"/>
      <c r="B87" s="115"/>
      <c r="C87" s="116"/>
      <c r="D87" s="116"/>
      <c r="E87" s="116"/>
      <c r="F87" s="116"/>
      <c r="G87" s="117"/>
      <c r="I87" s="114"/>
      <c r="J87" s="114"/>
      <c r="K87" s="114"/>
    </row>
    <row r="88" spans="1:11" s="113" customFormat="1" ht="18.75" x14ac:dyDescent="0.3">
      <c r="A88" s="111" t="s">
        <v>54</v>
      </c>
      <c r="B88" s="123">
        <f>B85/B86</f>
        <v>1</v>
      </c>
      <c r="C88" s="124" t="s">
        <v>55</v>
      </c>
      <c r="D88" s="116"/>
      <c r="E88" s="116"/>
      <c r="F88" s="116"/>
      <c r="G88" s="117"/>
      <c r="I88" s="114"/>
      <c r="J88" s="114"/>
      <c r="K88" s="114"/>
    </row>
    <row r="89" spans="1:11" ht="19.5" customHeight="1" thickBot="1" x14ac:dyDescent="0.35">
      <c r="A89" s="109"/>
      <c r="B89" s="109"/>
    </row>
    <row r="90" spans="1:11" ht="27" customHeight="1" thickBot="1" x14ac:dyDescent="0.45">
      <c r="A90" s="125" t="s">
        <v>95</v>
      </c>
      <c r="B90" s="126">
        <v>100</v>
      </c>
      <c r="D90" s="203" t="s">
        <v>56</v>
      </c>
      <c r="E90" s="204"/>
      <c r="F90" s="283" t="s">
        <v>57</v>
      </c>
      <c r="G90" s="285"/>
    </row>
    <row r="91" spans="1:11" ht="26.25" customHeight="1" x14ac:dyDescent="0.4">
      <c r="A91" s="127" t="s">
        <v>96</v>
      </c>
      <c r="B91" s="128">
        <v>1</v>
      </c>
      <c r="C91" s="205" t="s">
        <v>97</v>
      </c>
      <c r="D91" s="130" t="s">
        <v>59</v>
      </c>
      <c r="E91" s="131" t="s">
        <v>60</v>
      </c>
      <c r="F91" s="130" t="s">
        <v>59</v>
      </c>
      <c r="G91" s="132" t="s">
        <v>60</v>
      </c>
    </row>
    <row r="92" spans="1:11" ht="26.25" customHeight="1" x14ac:dyDescent="0.4">
      <c r="A92" s="127" t="s">
        <v>98</v>
      </c>
      <c r="B92" s="128">
        <v>1</v>
      </c>
      <c r="C92" s="206">
        <v>1</v>
      </c>
      <c r="D92" s="134">
        <v>50696207</v>
      </c>
      <c r="E92" s="135">
        <f>IF(ISBLANK(D92),"-",$D$102/$D$99*D92)</f>
        <v>49449505.838599548</v>
      </c>
      <c r="F92" s="134">
        <v>59212637</v>
      </c>
      <c r="G92" s="136">
        <f>IF(ISBLANK(F92),"-",$D$102/$F$99*F92)</f>
        <v>50181161.944288082</v>
      </c>
    </row>
    <row r="93" spans="1:11" ht="26.25" customHeight="1" x14ac:dyDescent="0.4">
      <c r="A93" s="127" t="s">
        <v>99</v>
      </c>
      <c r="B93" s="128">
        <v>1</v>
      </c>
      <c r="C93" s="156">
        <v>2</v>
      </c>
      <c r="D93" s="138">
        <v>50442749</v>
      </c>
      <c r="E93" s="139">
        <f>IF(ISBLANK(D93),"-",$D$102/$D$99*D93)</f>
        <v>49202280.777938895</v>
      </c>
      <c r="F93" s="138">
        <v>59196158</v>
      </c>
      <c r="G93" s="140">
        <f>IF(ISBLANK(F93),"-",$D$102/$F$99*F93)</f>
        <v>50167196.422575548</v>
      </c>
    </row>
    <row r="94" spans="1:11" ht="26.25" customHeight="1" x14ac:dyDescent="0.4">
      <c r="A94" s="127" t="s">
        <v>100</v>
      </c>
      <c r="B94" s="128">
        <v>1</v>
      </c>
      <c r="C94" s="156">
        <v>3</v>
      </c>
      <c r="D94" s="138">
        <v>50550110</v>
      </c>
      <c r="E94" s="139">
        <f>IF(ISBLANK(D94),"-",$D$102/$D$99*D94)</f>
        <v>49307001.598499261</v>
      </c>
      <c r="F94" s="138">
        <v>59696859</v>
      </c>
      <c r="G94" s="140">
        <f>IF(ISBLANK(F94),"-",$D$102/$F$99*F94)</f>
        <v>50591527.430949099</v>
      </c>
    </row>
    <row r="95" spans="1:11" ht="26.25" customHeight="1" x14ac:dyDescent="0.4">
      <c r="A95" s="127" t="s">
        <v>101</v>
      </c>
      <c r="B95" s="128">
        <v>1</v>
      </c>
      <c r="C95" s="207">
        <v>4</v>
      </c>
      <c r="D95" s="142"/>
      <c r="E95" s="143" t="str">
        <f>IF(ISBLANK(D95),"-",$D$102/$D$99*D95)</f>
        <v>-</v>
      </c>
      <c r="F95" s="208"/>
      <c r="G95" s="144" t="str">
        <f>IF(ISBLANK(F95),"-",$D$102/$F$99*F95)</f>
        <v>-</v>
      </c>
    </row>
    <row r="96" spans="1:11" ht="27" customHeight="1" thickBot="1" x14ac:dyDescent="0.45">
      <c r="A96" s="127" t="s">
        <v>102</v>
      </c>
      <c r="B96" s="128">
        <v>1</v>
      </c>
      <c r="C96" s="111" t="s">
        <v>61</v>
      </c>
      <c r="D96" s="209">
        <f>AVERAGE(D92:D95)</f>
        <v>50563022</v>
      </c>
      <c r="E96" s="147">
        <f>AVERAGE(E92:E95)</f>
        <v>49319596.071679235</v>
      </c>
      <c r="F96" s="210">
        <f>AVERAGE(F92:F95)</f>
        <v>59368551.333333336</v>
      </c>
      <c r="G96" s="211">
        <f>AVERAGE(G92:G95)</f>
        <v>50313295.265937574</v>
      </c>
    </row>
    <row r="97" spans="1:9" ht="26.25" customHeight="1" x14ac:dyDescent="0.4">
      <c r="A97" s="127" t="s">
        <v>103</v>
      </c>
      <c r="B97" s="112">
        <v>1</v>
      </c>
      <c r="C97" s="151" t="s">
        <v>83</v>
      </c>
      <c r="D97" s="152">
        <v>11.46</v>
      </c>
      <c r="E97" s="124"/>
      <c r="F97" s="153">
        <v>13.19</v>
      </c>
    </row>
    <row r="98" spans="1:9" ht="26.25" customHeight="1" x14ac:dyDescent="0.4">
      <c r="A98" s="127" t="s">
        <v>104</v>
      </c>
      <c r="B98" s="112">
        <v>1</v>
      </c>
      <c r="C98" s="154" t="s">
        <v>84</v>
      </c>
      <c r="D98" s="155">
        <f>D97*B88</f>
        <v>11.46</v>
      </c>
      <c r="E98" s="156"/>
      <c r="F98" s="157">
        <f>F97*B88</f>
        <v>13.19</v>
      </c>
    </row>
    <row r="99" spans="1:9" ht="19.5" customHeight="1" thickBot="1" x14ac:dyDescent="0.35">
      <c r="A99" s="127" t="s">
        <v>62</v>
      </c>
      <c r="B99" s="115">
        <f>(B98/B97)*(B96/B95)*(B94/B93)*(B92/B91)*B90</f>
        <v>100</v>
      </c>
      <c r="C99" s="154" t="s">
        <v>63</v>
      </c>
      <c r="D99" s="158">
        <f>D98*$B$84/100</f>
        <v>11.391240000000003</v>
      </c>
      <c r="E99" s="159"/>
      <c r="F99" s="160">
        <f>F98*$B$84/100</f>
        <v>13.110860000000001</v>
      </c>
    </row>
    <row r="100" spans="1:9" ht="19.5" customHeight="1" thickBot="1" x14ac:dyDescent="0.35">
      <c r="A100" s="259" t="s">
        <v>64</v>
      </c>
      <c r="B100" s="260"/>
      <c r="C100" s="154" t="s">
        <v>65</v>
      </c>
      <c r="D100" s="155">
        <f>D99/$B$99</f>
        <v>0.11391240000000004</v>
      </c>
      <c r="E100" s="159"/>
      <c r="F100" s="161">
        <f>F99/$B$99</f>
        <v>0.13110860000000002</v>
      </c>
      <c r="H100" s="150"/>
    </row>
    <row r="101" spans="1:9" ht="19.5" customHeight="1" thickBot="1" x14ac:dyDescent="0.35">
      <c r="A101" s="261"/>
      <c r="B101" s="262"/>
      <c r="C101" s="154" t="s">
        <v>105</v>
      </c>
      <c r="D101" s="158">
        <f>$B$56/$B$117</f>
        <v>0.1111111111111111</v>
      </c>
      <c r="F101" s="163"/>
      <c r="G101" s="212"/>
      <c r="H101" s="150"/>
    </row>
    <row r="102" spans="1:9" ht="18.75" x14ac:dyDescent="0.3">
      <c r="C102" s="154" t="s">
        <v>66</v>
      </c>
      <c r="D102" s="155">
        <f>D101*$B$99</f>
        <v>11.111111111111111</v>
      </c>
      <c r="F102" s="163"/>
      <c r="H102" s="150"/>
    </row>
    <row r="103" spans="1:9" ht="19.5" customHeight="1" thickBot="1" x14ac:dyDescent="0.35">
      <c r="C103" s="164" t="s">
        <v>67</v>
      </c>
      <c r="D103" s="165">
        <f>D102/B34</f>
        <v>11.111111111111111</v>
      </c>
      <c r="F103" s="166"/>
      <c r="H103" s="150"/>
      <c r="I103" s="213"/>
    </row>
    <row r="104" spans="1:9" ht="18.75" x14ac:dyDescent="0.3">
      <c r="C104" s="167" t="s">
        <v>85</v>
      </c>
      <c r="D104" s="168">
        <f>AVERAGE(E92:E95,G92:G95)</f>
        <v>49816445.668808401</v>
      </c>
      <c r="F104" s="166"/>
      <c r="G104" s="212"/>
      <c r="H104" s="150"/>
      <c r="I104" s="214"/>
    </row>
    <row r="105" spans="1:9" ht="18.75" x14ac:dyDescent="0.3">
      <c r="C105" s="169" t="s">
        <v>69</v>
      </c>
      <c r="D105" s="215">
        <f>STDEV(E92:E95,G92:G95)/D104</f>
        <v>1.145493039496023E-2</v>
      </c>
      <c r="F105" s="166"/>
      <c r="H105" s="150"/>
      <c r="I105" s="214"/>
    </row>
    <row r="106" spans="1:9" ht="19.5" customHeight="1" thickBot="1" x14ac:dyDescent="0.35">
      <c r="C106" s="171" t="s">
        <v>19</v>
      </c>
      <c r="D106" s="216">
        <f>COUNT(E92:E95,G92:G95)</f>
        <v>6</v>
      </c>
      <c r="F106" s="166"/>
      <c r="H106" s="150"/>
      <c r="I106" s="214"/>
    </row>
    <row r="107" spans="1:9" ht="19.5" customHeight="1" thickBot="1" x14ac:dyDescent="0.35">
      <c r="A107" s="99"/>
      <c r="B107" s="99"/>
      <c r="C107" s="99"/>
      <c r="D107" s="99"/>
      <c r="E107" s="99"/>
    </row>
    <row r="108" spans="1:9" ht="26.25" customHeight="1" x14ac:dyDescent="0.4">
      <c r="A108" s="125" t="s">
        <v>86</v>
      </c>
      <c r="B108" s="126">
        <v>900</v>
      </c>
      <c r="C108" s="203" t="s">
        <v>119</v>
      </c>
      <c r="D108" s="217" t="s">
        <v>59</v>
      </c>
      <c r="E108" s="218" t="s">
        <v>87</v>
      </c>
      <c r="F108" s="219" t="s">
        <v>88</v>
      </c>
    </row>
    <row r="109" spans="1:9" ht="26.25" customHeight="1" x14ac:dyDescent="0.4">
      <c r="A109" s="127" t="s">
        <v>107</v>
      </c>
      <c r="B109" s="128">
        <v>1</v>
      </c>
      <c r="C109" s="220">
        <v>1</v>
      </c>
      <c r="D109" s="221">
        <v>25324892</v>
      </c>
      <c r="E109" s="222">
        <f t="shared" ref="E109:E114" si="1">IF(ISBLANK(D109),"-",D109/$D$104*$D$101*$B$117)</f>
        <v>50.836408860571701</v>
      </c>
      <c r="F109" s="223">
        <f>IF(ISBLANK(D109), "-", E109/$B$56)</f>
        <v>0.50836408860571702</v>
      </c>
    </row>
    <row r="110" spans="1:9" ht="26.25" customHeight="1" x14ac:dyDescent="0.4">
      <c r="A110" s="127" t="s">
        <v>108</v>
      </c>
      <c r="B110" s="128">
        <v>1</v>
      </c>
      <c r="C110" s="220">
        <v>2</v>
      </c>
      <c r="D110" s="221">
        <v>37740793</v>
      </c>
      <c r="E110" s="224">
        <f t="shared" si="1"/>
        <v>75.759706444955512</v>
      </c>
      <c r="F110" s="225">
        <f t="shared" ref="F110:F114" si="2">IF(ISBLANK(D110), "-", E110/$B$56)</f>
        <v>0.7575970644495551</v>
      </c>
    </row>
    <row r="111" spans="1:9" ht="26.25" customHeight="1" x14ac:dyDescent="0.4">
      <c r="A111" s="127" t="s">
        <v>109</v>
      </c>
      <c r="B111" s="128">
        <v>1</v>
      </c>
      <c r="C111" s="220">
        <v>3</v>
      </c>
      <c r="D111" s="221">
        <v>43745863</v>
      </c>
      <c r="E111" s="224">
        <f t="shared" si="1"/>
        <v>87.814099164827851</v>
      </c>
      <c r="F111" s="225">
        <f t="shared" si="2"/>
        <v>0.87814099164827852</v>
      </c>
    </row>
    <row r="112" spans="1:9" ht="26.25" customHeight="1" x14ac:dyDescent="0.4">
      <c r="A112" s="127" t="s">
        <v>110</v>
      </c>
      <c r="B112" s="128">
        <v>1</v>
      </c>
      <c r="C112" s="220">
        <v>4</v>
      </c>
      <c r="D112" s="221">
        <v>31559856</v>
      </c>
      <c r="E112" s="224">
        <f t="shared" si="1"/>
        <v>63.352283721358681</v>
      </c>
      <c r="F112" s="225">
        <f t="shared" si="2"/>
        <v>0.63352283721358682</v>
      </c>
    </row>
    <row r="113" spans="1:9" ht="26.25" customHeight="1" x14ac:dyDescent="0.4">
      <c r="A113" s="127" t="s">
        <v>111</v>
      </c>
      <c r="B113" s="128">
        <v>1</v>
      </c>
      <c r="C113" s="220">
        <v>5</v>
      </c>
      <c r="D113" s="221">
        <v>27520379</v>
      </c>
      <c r="E113" s="224">
        <f t="shared" si="1"/>
        <v>55.243561901148141</v>
      </c>
      <c r="F113" s="225">
        <f t="shared" si="2"/>
        <v>0.55243561901148142</v>
      </c>
    </row>
    <row r="114" spans="1:9" ht="26.25" customHeight="1" x14ac:dyDescent="0.4">
      <c r="A114" s="127" t="s">
        <v>112</v>
      </c>
      <c r="B114" s="128">
        <v>1</v>
      </c>
      <c r="C114" s="226">
        <v>6</v>
      </c>
      <c r="D114" s="227">
        <v>30762873</v>
      </c>
      <c r="E114" s="228">
        <f t="shared" si="1"/>
        <v>61.752444573261826</v>
      </c>
      <c r="F114" s="229">
        <f t="shared" si="2"/>
        <v>0.61752444573261822</v>
      </c>
    </row>
    <row r="115" spans="1:9" ht="26.25" customHeight="1" x14ac:dyDescent="0.4">
      <c r="A115" s="127" t="s">
        <v>113</v>
      </c>
      <c r="B115" s="128">
        <v>1</v>
      </c>
      <c r="C115" s="220"/>
      <c r="D115" s="156"/>
      <c r="E115" s="124"/>
      <c r="F115" s="230"/>
    </row>
    <row r="116" spans="1:9" ht="26.25" customHeight="1" x14ac:dyDescent="0.4">
      <c r="A116" s="127" t="s">
        <v>114</v>
      </c>
      <c r="B116" s="128">
        <v>1</v>
      </c>
      <c r="C116" s="220"/>
      <c r="D116" s="231"/>
      <c r="E116" s="232" t="s">
        <v>61</v>
      </c>
      <c r="F116" s="233">
        <f>AVERAGE(F109:F114)</f>
        <v>0.65793084111020617</v>
      </c>
    </row>
    <row r="117" spans="1:9" ht="27" customHeight="1" thickBot="1" x14ac:dyDescent="0.45">
      <c r="A117" s="127" t="s">
        <v>79</v>
      </c>
      <c r="B117" s="193">
        <f>(B116/B115)*(B114/B113)*(B112/B111)*(B110/B109)*B108</f>
        <v>900</v>
      </c>
      <c r="C117" s="234"/>
      <c r="D117" s="235"/>
      <c r="E117" s="111" t="s">
        <v>69</v>
      </c>
      <c r="F117" s="236">
        <f>STDEV(F109:F114)/F116</f>
        <v>0.20857082658105319</v>
      </c>
    </row>
    <row r="118" spans="1:9" ht="27" customHeight="1" thickBot="1" x14ac:dyDescent="0.45">
      <c r="A118" s="259" t="s">
        <v>64</v>
      </c>
      <c r="B118" s="292"/>
      <c r="C118" s="237"/>
      <c r="D118" s="238"/>
      <c r="E118" s="239" t="s">
        <v>19</v>
      </c>
      <c r="F118" s="240">
        <f>COUNT(F109:F114)</f>
        <v>6</v>
      </c>
      <c r="I118" s="214"/>
    </row>
    <row r="119" spans="1:9" ht="19.5" customHeight="1" thickBot="1" x14ac:dyDescent="0.35">
      <c r="A119" s="261"/>
      <c r="B119" s="293"/>
      <c r="C119" s="124"/>
      <c r="D119" s="124"/>
      <c r="E119" s="124"/>
      <c r="F119" s="156"/>
      <c r="G119" s="124"/>
      <c r="H119" s="124"/>
    </row>
    <row r="120" spans="1:9" ht="18.75" x14ac:dyDescent="0.3">
      <c r="A120" s="122"/>
      <c r="B120" s="122"/>
      <c r="C120" s="124"/>
      <c r="D120" s="124"/>
      <c r="E120" s="124"/>
      <c r="F120" s="156"/>
      <c r="G120" s="124"/>
      <c r="H120" s="124"/>
    </row>
    <row r="121" spans="1:9" ht="26.25" customHeight="1" x14ac:dyDescent="0.4">
      <c r="A121" s="110" t="s">
        <v>115</v>
      </c>
      <c r="B121" s="111" t="s">
        <v>89</v>
      </c>
      <c r="C121" s="279" t="str">
        <f>B20</f>
        <v xml:space="preserve"> RITONAVIR </v>
      </c>
      <c r="D121" s="279"/>
      <c r="E121" s="124" t="s">
        <v>90</v>
      </c>
      <c r="F121" s="124"/>
      <c r="G121" s="241">
        <f>F116</f>
        <v>0.65793084111020617</v>
      </c>
      <c r="H121" s="124"/>
    </row>
    <row r="122" spans="1:9" ht="18.75" x14ac:dyDescent="0.3">
      <c r="A122" s="122"/>
      <c r="B122" s="122"/>
      <c r="C122" s="124"/>
      <c r="D122" s="124"/>
      <c r="E122" s="124"/>
      <c r="F122" s="156"/>
      <c r="G122" s="124"/>
      <c r="H122" s="124"/>
    </row>
    <row r="123" spans="1:9" ht="26.25" customHeight="1" x14ac:dyDescent="0.4">
      <c r="A123" s="109" t="s">
        <v>116</v>
      </c>
      <c r="B123" s="109" t="s">
        <v>117</v>
      </c>
      <c r="D123" s="202" t="s">
        <v>120</v>
      </c>
    </row>
    <row r="124" spans="1:9" ht="19.5" customHeight="1" thickBot="1" x14ac:dyDescent="0.35">
      <c r="A124" s="99"/>
      <c r="B124" s="99"/>
      <c r="C124" s="99"/>
      <c r="D124" s="99"/>
      <c r="E124" s="99"/>
    </row>
    <row r="125" spans="1:9" ht="26.25" customHeight="1" x14ac:dyDescent="0.4">
      <c r="A125" s="125" t="s">
        <v>86</v>
      </c>
      <c r="B125" s="242">
        <v>900</v>
      </c>
      <c r="C125" s="203" t="s">
        <v>119</v>
      </c>
      <c r="D125" s="217" t="s">
        <v>59</v>
      </c>
      <c r="E125" s="218" t="s">
        <v>87</v>
      </c>
      <c r="F125" s="219" t="s">
        <v>88</v>
      </c>
    </row>
    <row r="126" spans="1:9" ht="26.25" customHeight="1" x14ac:dyDescent="0.4">
      <c r="A126" s="127" t="s">
        <v>107</v>
      </c>
      <c r="B126" s="243">
        <v>1</v>
      </c>
      <c r="C126" s="220">
        <v>1</v>
      </c>
      <c r="D126" s="221">
        <v>45744637</v>
      </c>
      <c r="E126" s="244">
        <f t="shared" ref="E126:E131" si="3">IF(ISBLANK(D126),"-",D126/$D$104*$D$101*$B$134)</f>
        <v>91.826376582788015</v>
      </c>
      <c r="F126" s="245">
        <f>IF(ISBLANK(D126), "-", E126/$B$56)</f>
        <v>0.91826376582788016</v>
      </c>
    </row>
    <row r="127" spans="1:9" ht="26.25" customHeight="1" x14ac:dyDescent="0.4">
      <c r="A127" s="127" t="s">
        <v>108</v>
      </c>
      <c r="B127" s="243">
        <v>1</v>
      </c>
      <c r="C127" s="220">
        <v>2</v>
      </c>
      <c r="D127" s="221">
        <v>49931513</v>
      </c>
      <c r="E127" s="246">
        <f t="shared" si="3"/>
        <v>100.23098261958832</v>
      </c>
      <c r="F127" s="247">
        <f t="shared" ref="F127:F131" si="4">IF(ISBLANK(D127), "-", E127/$B$56)</f>
        <v>1.0023098261958832</v>
      </c>
    </row>
    <row r="128" spans="1:9" ht="26.25" customHeight="1" x14ac:dyDescent="0.4">
      <c r="A128" s="127" t="s">
        <v>109</v>
      </c>
      <c r="B128" s="243">
        <v>1</v>
      </c>
      <c r="C128" s="220">
        <v>3</v>
      </c>
      <c r="D128" s="221">
        <v>51207899</v>
      </c>
      <c r="E128" s="246">
        <f t="shared" si="3"/>
        <v>102.79316059688864</v>
      </c>
      <c r="F128" s="247">
        <f t="shared" si="4"/>
        <v>1.0279316059688863</v>
      </c>
    </row>
    <row r="129" spans="1:9" ht="26.25" customHeight="1" x14ac:dyDescent="0.4">
      <c r="A129" s="127" t="s">
        <v>110</v>
      </c>
      <c r="B129" s="243">
        <v>1</v>
      </c>
      <c r="C129" s="220">
        <v>4</v>
      </c>
      <c r="D129" s="221">
        <v>49813977</v>
      </c>
      <c r="E129" s="246">
        <f t="shared" si="3"/>
        <v>99.99504447020405</v>
      </c>
      <c r="F129" s="247">
        <f t="shared" si="4"/>
        <v>0.99995044470204053</v>
      </c>
    </row>
    <row r="130" spans="1:9" ht="26.25" customHeight="1" x14ac:dyDescent="0.4">
      <c r="A130" s="127" t="s">
        <v>111</v>
      </c>
      <c r="B130" s="243">
        <v>1</v>
      </c>
      <c r="C130" s="220">
        <v>5</v>
      </c>
      <c r="D130" s="221">
        <v>45352323</v>
      </c>
      <c r="E130" s="246">
        <f t="shared" si="3"/>
        <v>91.038857532135168</v>
      </c>
      <c r="F130" s="247">
        <f t="shared" si="4"/>
        <v>0.91038857532135165</v>
      </c>
    </row>
    <row r="131" spans="1:9" ht="26.25" customHeight="1" x14ac:dyDescent="0.4">
      <c r="A131" s="127" t="s">
        <v>112</v>
      </c>
      <c r="B131" s="243">
        <v>1</v>
      </c>
      <c r="C131" s="226">
        <v>6</v>
      </c>
      <c r="D131" s="227">
        <v>46278310</v>
      </c>
      <c r="E131" s="248">
        <f t="shared" si="3"/>
        <v>92.897655339903665</v>
      </c>
      <c r="F131" s="249">
        <f t="shared" si="4"/>
        <v>0.92897655339903662</v>
      </c>
    </row>
    <row r="132" spans="1:9" ht="26.25" customHeight="1" x14ac:dyDescent="0.4">
      <c r="A132" s="127" t="s">
        <v>113</v>
      </c>
      <c r="B132" s="243">
        <v>1</v>
      </c>
      <c r="C132" s="220"/>
      <c r="D132" s="156"/>
      <c r="E132" s="124"/>
      <c r="F132" s="230"/>
    </row>
    <row r="133" spans="1:9" ht="26.25" customHeight="1" x14ac:dyDescent="0.4">
      <c r="A133" s="127" t="s">
        <v>114</v>
      </c>
      <c r="B133" s="243">
        <v>1</v>
      </c>
      <c r="C133" s="220"/>
      <c r="D133" s="231"/>
      <c r="E133" s="232" t="s">
        <v>61</v>
      </c>
      <c r="F133" s="233">
        <f>AVERAGE(F126:F131)</f>
        <v>0.96463679523584644</v>
      </c>
    </row>
    <row r="134" spans="1:9" ht="27" customHeight="1" thickBot="1" x14ac:dyDescent="0.45">
      <c r="A134" s="127" t="s">
        <v>79</v>
      </c>
      <c r="B134" s="250">
        <f>(B133/B132)*(B131/B130)*(B129/B128)*(B127/B126)*B125</f>
        <v>900</v>
      </c>
      <c r="C134" s="234"/>
      <c r="D134" s="235"/>
      <c r="E134" s="111" t="s">
        <v>69</v>
      </c>
      <c r="F134" s="236">
        <f>STDEV(F126:F131)/F133</f>
        <v>5.2935709520800053E-2</v>
      </c>
    </row>
    <row r="135" spans="1:9" ht="27" customHeight="1" thickBot="1" x14ac:dyDescent="0.45">
      <c r="A135" s="259" t="s">
        <v>64</v>
      </c>
      <c r="B135" s="292"/>
      <c r="C135" s="237"/>
      <c r="D135" s="238"/>
      <c r="E135" s="239" t="s">
        <v>19</v>
      </c>
      <c r="F135" s="240">
        <f>COUNT(F126:F131)</f>
        <v>6</v>
      </c>
      <c r="I135" s="214"/>
    </row>
    <row r="136" spans="1:9" ht="19.5" customHeight="1" thickBot="1" x14ac:dyDescent="0.35">
      <c r="A136" s="261"/>
      <c r="B136" s="293"/>
      <c r="C136" s="124"/>
      <c r="D136" s="124"/>
      <c r="E136" s="124"/>
      <c r="F136" s="156"/>
      <c r="G136" s="124"/>
      <c r="H136" s="124"/>
    </row>
    <row r="137" spans="1:9" ht="18.75" x14ac:dyDescent="0.3">
      <c r="A137" s="122"/>
      <c r="B137" s="122"/>
      <c r="C137" s="124"/>
      <c r="D137" s="124"/>
      <c r="E137" s="124"/>
      <c r="F137" s="156"/>
      <c r="G137" s="124"/>
      <c r="H137" s="124"/>
    </row>
    <row r="138" spans="1:9" ht="26.25" customHeight="1" x14ac:dyDescent="0.4">
      <c r="A138" s="110" t="s">
        <v>115</v>
      </c>
      <c r="B138" s="111" t="s">
        <v>89</v>
      </c>
      <c r="C138" s="279" t="str">
        <f>B20</f>
        <v xml:space="preserve"> RITONAVIR </v>
      </c>
      <c r="D138" s="279"/>
      <c r="E138" s="124" t="s">
        <v>90</v>
      </c>
      <c r="F138" s="124"/>
      <c r="G138" s="241">
        <f>F133</f>
        <v>0.96463679523584644</v>
      </c>
      <c r="H138" s="124"/>
    </row>
    <row r="139" spans="1:9" ht="19.5" customHeight="1" thickBot="1" x14ac:dyDescent="0.35">
      <c r="A139" s="251"/>
      <c r="B139" s="251"/>
      <c r="C139" s="252"/>
      <c r="D139" s="252"/>
      <c r="E139" s="252"/>
      <c r="F139" s="252"/>
      <c r="G139" s="252"/>
      <c r="H139" s="252"/>
    </row>
    <row r="140" spans="1:9" ht="18.75" x14ac:dyDescent="0.3">
      <c r="B140" s="291" t="s">
        <v>24</v>
      </c>
      <c r="C140" s="291"/>
      <c r="E140" s="205" t="s">
        <v>25</v>
      </c>
      <c r="F140" s="253"/>
      <c r="G140" s="291" t="s">
        <v>26</v>
      </c>
      <c r="H140" s="291"/>
    </row>
    <row r="141" spans="1:9" ht="83.1" customHeight="1" x14ac:dyDescent="0.3">
      <c r="A141" s="110" t="s">
        <v>27</v>
      </c>
      <c r="B141" s="254"/>
      <c r="C141" s="254"/>
      <c r="E141" s="255"/>
      <c r="F141" s="124"/>
      <c r="G141" s="255"/>
      <c r="H141" s="255"/>
    </row>
    <row r="142" spans="1:9" ht="83.1" customHeight="1" x14ac:dyDescent="0.3">
      <c r="A142" s="110" t="s">
        <v>28</v>
      </c>
      <c r="B142" s="256"/>
      <c r="C142" s="256"/>
      <c r="E142" s="257"/>
      <c r="F142" s="124"/>
      <c r="G142" s="258"/>
      <c r="H142" s="258"/>
    </row>
    <row r="143" spans="1:9" ht="18.75" x14ac:dyDescent="0.3">
      <c r="A143" s="156"/>
      <c r="B143" s="156"/>
      <c r="C143" s="156"/>
      <c r="D143" s="156"/>
      <c r="E143" s="156"/>
      <c r="F143" s="159"/>
      <c r="G143" s="156"/>
      <c r="H143" s="156"/>
    </row>
    <row r="144" spans="1:9" ht="18.75" x14ac:dyDescent="0.3">
      <c r="A144" s="156"/>
      <c r="B144" s="156"/>
      <c r="C144" s="156"/>
      <c r="D144" s="156"/>
      <c r="E144" s="156"/>
      <c r="F144" s="159"/>
      <c r="G144" s="156"/>
      <c r="H144" s="156"/>
    </row>
    <row r="145" spans="1:8" ht="18.75" x14ac:dyDescent="0.3">
      <c r="A145" s="156"/>
      <c r="B145" s="156"/>
      <c r="C145" s="156"/>
      <c r="D145" s="156"/>
      <c r="E145" s="156"/>
      <c r="F145" s="159"/>
      <c r="G145" s="156"/>
      <c r="H145" s="156"/>
    </row>
    <row r="146" spans="1:8" ht="18.75" x14ac:dyDescent="0.3">
      <c r="A146" s="156"/>
      <c r="B146" s="156"/>
      <c r="C146" s="156"/>
      <c r="D146" s="156"/>
      <c r="E146" s="156"/>
      <c r="F146" s="159"/>
      <c r="G146" s="156"/>
      <c r="H146" s="156"/>
    </row>
    <row r="147" spans="1:8" ht="18.75" x14ac:dyDescent="0.3">
      <c r="A147" s="156"/>
      <c r="B147" s="156"/>
      <c r="C147" s="156"/>
      <c r="D147" s="156"/>
      <c r="E147" s="156"/>
      <c r="F147" s="159"/>
      <c r="G147" s="156"/>
      <c r="H147" s="156"/>
    </row>
    <row r="148" spans="1:8" ht="18.75" x14ac:dyDescent="0.3">
      <c r="A148" s="156"/>
      <c r="B148" s="156"/>
      <c r="C148" s="156"/>
      <c r="D148" s="156"/>
      <c r="E148" s="156"/>
      <c r="F148" s="159"/>
      <c r="G148" s="156"/>
      <c r="H148" s="156"/>
    </row>
    <row r="149" spans="1:8" ht="18.75" x14ac:dyDescent="0.3">
      <c r="A149" s="156"/>
      <c r="B149" s="156"/>
      <c r="C149" s="156"/>
      <c r="D149" s="156"/>
      <c r="E149" s="156"/>
      <c r="F149" s="159"/>
      <c r="G149" s="156"/>
      <c r="H149" s="156"/>
    </row>
    <row r="150" spans="1:8" ht="18.75" x14ac:dyDescent="0.3">
      <c r="A150" s="156"/>
      <c r="B150" s="156"/>
      <c r="C150" s="156"/>
      <c r="D150" s="156"/>
      <c r="E150" s="156"/>
      <c r="F150" s="159"/>
      <c r="G150" s="156"/>
      <c r="H150" s="156"/>
    </row>
    <row r="151" spans="1:8" ht="18.75" x14ac:dyDescent="0.3">
      <c r="A151" s="156"/>
      <c r="B151" s="156"/>
      <c r="C151" s="156"/>
      <c r="D151" s="156"/>
      <c r="E151" s="156"/>
      <c r="F151" s="159"/>
      <c r="G151" s="156"/>
      <c r="H151" s="156"/>
    </row>
    <row r="250" spans="1:1" x14ac:dyDescent="0.25">
      <c r="A250" s="98">
        <v>5</v>
      </c>
    </row>
  </sheetData>
  <mergeCells count="31">
    <mergeCell ref="A70:B71"/>
    <mergeCell ref="G140:H140"/>
    <mergeCell ref="B80:C80"/>
    <mergeCell ref="C83:G83"/>
    <mergeCell ref="C85:H85"/>
    <mergeCell ref="C86:H86"/>
    <mergeCell ref="F90:G90"/>
    <mergeCell ref="A100:B101"/>
    <mergeCell ref="A118:B119"/>
    <mergeCell ref="C121:D121"/>
    <mergeCell ref="A135:B136"/>
    <mergeCell ref="C138:D138"/>
    <mergeCell ref="B140:C140"/>
    <mergeCell ref="C76:D76"/>
    <mergeCell ref="C31:H31"/>
    <mergeCell ref="C32:H32"/>
    <mergeCell ref="D36:E36"/>
    <mergeCell ref="F36:G36"/>
    <mergeCell ref="C64:C67"/>
    <mergeCell ref="D64:D67"/>
    <mergeCell ref="C68:C71"/>
    <mergeCell ref="D68:D71"/>
    <mergeCell ref="A46:B47"/>
    <mergeCell ref="C60:C63"/>
    <mergeCell ref="D60:D63"/>
    <mergeCell ref="A1:H7"/>
    <mergeCell ref="A8:H14"/>
    <mergeCell ref="A16:H16"/>
    <mergeCell ref="B18:C18"/>
    <mergeCell ref="B26:C26"/>
    <mergeCell ref="C29:G29"/>
  </mergeCells>
  <pageMargins left="0.7" right="0.7" top="0.75" bottom="0.75" header="0.3" footer="0.3"/>
  <pageSetup scale="21" orientation="portrait" r:id="rId1"/>
  <rowBreaks count="1" manualBreakCount="1">
    <brk id="144" max="12" man="1"/>
  </rowBreaks>
  <colBreaks count="1" manualBreakCount="1">
    <brk id="8" max="143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7" workbookViewId="0">
      <selection activeCell="F44" sqref="F44:F53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94" t="s">
        <v>0</v>
      </c>
      <c r="B15" s="294"/>
      <c r="C15" s="294"/>
      <c r="D15" s="294"/>
      <c r="E15" s="294"/>
    </row>
    <row r="16" spans="1:6" ht="16.5" customHeight="1" x14ac:dyDescent="0.3">
      <c r="A16" s="5" t="s">
        <v>1</v>
      </c>
      <c r="B16" s="6" t="s">
        <v>127</v>
      </c>
    </row>
    <row r="17" spans="1:6" ht="16.5" customHeight="1" x14ac:dyDescent="0.3">
      <c r="A17" s="7" t="s">
        <v>2</v>
      </c>
      <c r="B17" s="8" t="s">
        <v>4</v>
      </c>
      <c r="D17" s="9"/>
      <c r="E17" s="10"/>
    </row>
    <row r="18" spans="1:6" ht="16.5" customHeight="1" x14ac:dyDescent="0.3">
      <c r="A18" s="11" t="s">
        <v>3</v>
      </c>
      <c r="B18" s="8" t="s">
        <v>128</v>
      </c>
      <c r="C18" s="10"/>
      <c r="D18" s="10"/>
      <c r="E18" s="10"/>
    </row>
    <row r="19" spans="1:6" ht="16.5" customHeight="1" x14ac:dyDescent="0.3">
      <c r="A19" s="11" t="s">
        <v>5</v>
      </c>
      <c r="B19" s="12">
        <v>99.3</v>
      </c>
      <c r="C19" s="10"/>
      <c r="D19" s="10"/>
      <c r="E19" s="10"/>
    </row>
    <row r="20" spans="1:6" ht="16.5" customHeight="1" x14ac:dyDescent="0.3">
      <c r="A20" s="7" t="s">
        <v>7</v>
      </c>
      <c r="B20" s="12">
        <v>31.32</v>
      </c>
      <c r="C20" s="10"/>
      <c r="D20" s="10"/>
      <c r="E20" s="10"/>
    </row>
    <row r="21" spans="1:6" ht="16.5" customHeight="1" x14ac:dyDescent="0.3">
      <c r="A21" s="7" t="s">
        <v>9</v>
      </c>
      <c r="B21" s="13">
        <v>0.31319999999999998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18">
        <v>127456334</v>
      </c>
      <c r="C24" s="18">
        <v>4610</v>
      </c>
      <c r="D24" s="19">
        <v>1.01</v>
      </c>
      <c r="E24" s="20">
        <v>5.1100000000000003</v>
      </c>
    </row>
    <row r="25" spans="1:6" ht="16.5" customHeight="1" x14ac:dyDescent="0.3">
      <c r="A25" s="17">
        <v>2</v>
      </c>
      <c r="B25" s="18">
        <v>127996639</v>
      </c>
      <c r="C25" s="18">
        <v>4595</v>
      </c>
      <c r="D25" s="19">
        <v>1.01</v>
      </c>
      <c r="E25" s="19">
        <v>5.09</v>
      </c>
    </row>
    <row r="26" spans="1:6" ht="16.5" customHeight="1" x14ac:dyDescent="0.3">
      <c r="A26" s="17">
        <v>3</v>
      </c>
      <c r="B26" s="18">
        <v>128596861</v>
      </c>
      <c r="C26" s="18">
        <v>4583</v>
      </c>
      <c r="D26" s="19">
        <v>1.01</v>
      </c>
      <c r="E26" s="19">
        <v>5.0999999999999996</v>
      </c>
    </row>
    <row r="27" spans="1:6" ht="16.5" customHeight="1" x14ac:dyDescent="0.3">
      <c r="A27" s="17">
        <v>4</v>
      </c>
      <c r="B27" s="18">
        <v>128094260</v>
      </c>
      <c r="C27" s="18">
        <v>4599</v>
      </c>
      <c r="D27" s="19">
        <v>1.03</v>
      </c>
      <c r="E27" s="19">
        <v>5.1100000000000003</v>
      </c>
    </row>
    <row r="28" spans="1:6" ht="16.5" customHeight="1" x14ac:dyDescent="0.3">
      <c r="A28" s="17">
        <v>5</v>
      </c>
      <c r="B28" s="18">
        <v>128042297</v>
      </c>
      <c r="C28" s="18">
        <v>4632</v>
      </c>
      <c r="D28" s="19">
        <v>1.01</v>
      </c>
      <c r="E28" s="19">
        <v>5.12</v>
      </c>
    </row>
    <row r="29" spans="1:6" ht="16.5" customHeight="1" x14ac:dyDescent="0.3">
      <c r="A29" s="17">
        <v>6</v>
      </c>
      <c r="B29" s="21">
        <v>128242543</v>
      </c>
      <c r="C29" s="21">
        <v>4630</v>
      </c>
      <c r="D29" s="22">
        <v>1.03</v>
      </c>
      <c r="E29" s="22">
        <v>5.13</v>
      </c>
    </row>
    <row r="30" spans="1:6" ht="16.5" customHeight="1" x14ac:dyDescent="0.3">
      <c r="A30" s="23" t="s">
        <v>17</v>
      </c>
      <c r="B30" s="24">
        <f>AVERAGE(B24:B29)</f>
        <v>128071489</v>
      </c>
      <c r="C30" s="25">
        <f>AVERAGE(C24:C29)</f>
        <v>4608.166666666667</v>
      </c>
      <c r="D30" s="26">
        <f>AVERAGE(D24:D29)</f>
        <v>1.0166666666666668</v>
      </c>
      <c r="E30" s="26">
        <f>AVERAGE(E24:E29)</f>
        <v>5.1100000000000003</v>
      </c>
    </row>
    <row r="31" spans="1:6" ht="16.5" customHeight="1" x14ac:dyDescent="0.3">
      <c r="A31" s="27" t="s">
        <v>18</v>
      </c>
      <c r="B31" s="28">
        <f>(STDEV(B24:B29)/B30)</f>
        <v>2.9019904528817609E-3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21</v>
      </c>
      <c r="C34" s="38"/>
      <c r="D34" s="38"/>
      <c r="E34" s="39"/>
    </row>
    <row r="35" spans="1:6" ht="16.5" customHeight="1" x14ac:dyDescent="0.3">
      <c r="A35" s="11"/>
      <c r="B35" s="37" t="s">
        <v>22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126</v>
      </c>
    </row>
    <row r="39" spans="1:6" ht="16.5" customHeight="1" x14ac:dyDescent="0.3">
      <c r="A39" s="11" t="s">
        <v>3</v>
      </c>
      <c r="B39" s="8" t="s">
        <v>123</v>
      </c>
      <c r="C39" s="10"/>
      <c r="D39" s="10"/>
      <c r="E39" s="10"/>
    </row>
    <row r="40" spans="1:6" ht="16.5" customHeight="1" x14ac:dyDescent="0.3">
      <c r="A40" s="11" t="s">
        <v>5</v>
      </c>
      <c r="B40" s="12">
        <v>99.4</v>
      </c>
      <c r="C40" s="10"/>
      <c r="D40" s="10"/>
      <c r="E40" s="10"/>
    </row>
    <row r="41" spans="1:6" ht="16.5" customHeight="1" x14ac:dyDescent="0.3">
      <c r="A41" s="7" t="s">
        <v>7</v>
      </c>
      <c r="B41" s="12">
        <v>11.46</v>
      </c>
      <c r="C41" s="10"/>
      <c r="D41" s="10"/>
      <c r="E41" s="10"/>
    </row>
    <row r="42" spans="1:6" ht="16.5" customHeight="1" x14ac:dyDescent="0.3">
      <c r="A42" s="7" t="s">
        <v>9</v>
      </c>
      <c r="B42" s="13">
        <v>0.11460000000000001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  <c r="F44" s="304" t="s">
        <v>129</v>
      </c>
    </row>
    <row r="45" spans="1:6" ht="16.5" customHeight="1" x14ac:dyDescent="0.3">
      <c r="A45" s="17">
        <v>1</v>
      </c>
      <c r="B45" s="18">
        <v>50687138</v>
      </c>
      <c r="C45" s="18">
        <v>6448</v>
      </c>
      <c r="D45" s="19">
        <v>1.06</v>
      </c>
      <c r="E45" s="20">
        <v>7.08</v>
      </c>
      <c r="F45" s="305">
        <v>6.03</v>
      </c>
    </row>
    <row r="46" spans="1:6" ht="16.5" customHeight="1" x14ac:dyDescent="0.3">
      <c r="A46" s="17">
        <v>2</v>
      </c>
      <c r="B46" s="18">
        <v>50929329</v>
      </c>
      <c r="C46" s="18">
        <v>6429</v>
      </c>
      <c r="D46" s="19">
        <v>1.05</v>
      </c>
      <c r="E46" s="19">
        <v>7.06</v>
      </c>
      <c r="F46" s="306">
        <v>6.04</v>
      </c>
    </row>
    <row r="47" spans="1:6" ht="16.5" customHeight="1" x14ac:dyDescent="0.3">
      <c r="A47" s="17">
        <v>3</v>
      </c>
      <c r="B47" s="18">
        <v>51190481</v>
      </c>
      <c r="C47" s="18">
        <v>6408</v>
      </c>
      <c r="D47" s="19">
        <v>1.06</v>
      </c>
      <c r="E47" s="19">
        <v>7.08</v>
      </c>
      <c r="F47" s="306">
        <v>6.04</v>
      </c>
    </row>
    <row r="48" spans="1:6" ht="16.5" customHeight="1" x14ac:dyDescent="0.3">
      <c r="A48" s="17">
        <v>4</v>
      </c>
      <c r="B48" s="18">
        <v>50916228</v>
      </c>
      <c r="C48" s="18">
        <v>6448</v>
      </c>
      <c r="D48" s="19">
        <v>1.07</v>
      </c>
      <c r="E48" s="19">
        <v>7.1</v>
      </c>
      <c r="F48" s="306">
        <v>6.06</v>
      </c>
    </row>
    <row r="49" spans="1:7" ht="16.5" customHeight="1" x14ac:dyDescent="0.3">
      <c r="A49" s="17">
        <v>5</v>
      </c>
      <c r="B49" s="18">
        <v>50897384</v>
      </c>
      <c r="C49" s="18">
        <v>6452</v>
      </c>
      <c r="D49" s="19">
        <v>1.06</v>
      </c>
      <c r="E49" s="19">
        <v>7.11</v>
      </c>
      <c r="F49" s="306">
        <v>6.06</v>
      </c>
    </row>
    <row r="50" spans="1:7" ht="16.5" customHeight="1" x14ac:dyDescent="0.3">
      <c r="A50" s="17">
        <v>6</v>
      </c>
      <c r="B50" s="21">
        <v>50958442</v>
      </c>
      <c r="C50" s="21">
        <v>6455</v>
      </c>
      <c r="D50" s="22">
        <v>1.07</v>
      </c>
      <c r="E50" s="22">
        <v>7.11</v>
      </c>
      <c r="F50" s="307">
        <v>6.07</v>
      </c>
    </row>
    <row r="51" spans="1:7" ht="16.5" customHeight="1" x14ac:dyDescent="0.3">
      <c r="A51" s="23" t="s">
        <v>17</v>
      </c>
      <c r="B51" s="24">
        <f>AVERAGE(B45:B50)</f>
        <v>50929833.666666664</v>
      </c>
      <c r="C51" s="25">
        <f>AVERAGE(C45:C50)</f>
        <v>6440</v>
      </c>
      <c r="D51" s="26">
        <f>AVERAGE(D45:D50)</f>
        <v>1.0616666666666668</v>
      </c>
      <c r="E51" s="26">
        <f>AVERAGE(E45:E50)</f>
        <v>7.09</v>
      </c>
      <c r="F51" s="308">
        <f>AVERAGE(F45:F50)</f>
        <v>6.05</v>
      </c>
    </row>
    <row r="52" spans="1:7" ht="16.5" customHeight="1" x14ac:dyDescent="0.3">
      <c r="A52" s="27" t="s">
        <v>18</v>
      </c>
      <c r="B52" s="28">
        <f>(STDEV(B45:B50)/B51)</f>
        <v>3.1525412989717671E-3</v>
      </c>
      <c r="C52" s="29"/>
      <c r="D52" s="29"/>
      <c r="E52" s="30"/>
      <c r="F52" s="309"/>
    </row>
    <row r="53" spans="1:7" s="2" customFormat="1" ht="16.5" customHeight="1" x14ac:dyDescent="0.3">
      <c r="A53" s="31" t="s">
        <v>19</v>
      </c>
      <c r="B53" s="32">
        <f>COUNT(B45:B50)</f>
        <v>6</v>
      </c>
      <c r="C53" s="33"/>
      <c r="D53" s="34"/>
      <c r="E53" s="35"/>
      <c r="F53" s="310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95" t="s">
        <v>24</v>
      </c>
      <c r="C59" s="295"/>
      <c r="E59" s="45" t="s">
        <v>25</v>
      </c>
      <c r="F59" s="46"/>
      <c r="G59" s="45" t="s">
        <v>26</v>
      </c>
    </row>
    <row r="60" spans="1:7" ht="15" customHeight="1" x14ac:dyDescent="0.3">
      <c r="A60" s="47" t="s">
        <v>27</v>
      </c>
      <c r="B60" s="48"/>
      <c r="C60" s="48"/>
      <c r="E60" s="48"/>
      <c r="F60" s="2"/>
      <c r="G60" s="49"/>
    </row>
    <row r="61" spans="1:7" ht="15" customHeight="1" x14ac:dyDescent="0.3">
      <c r="A61" s="47" t="s">
        <v>28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topLeftCell="A25" zoomScale="80" zoomScaleNormal="80" zoomScaleSheetLayoutView="100" workbookViewId="0">
      <selection activeCell="C18" sqref="C18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99" t="s">
        <v>29</v>
      </c>
      <c r="B11" s="300"/>
      <c r="C11" s="300"/>
      <c r="D11" s="300"/>
      <c r="E11" s="300"/>
      <c r="F11" s="301"/>
      <c r="G11" s="91"/>
    </row>
    <row r="12" spans="1:7" ht="16.5" customHeight="1" x14ac:dyDescent="0.3">
      <c r="A12" s="298" t="s">
        <v>30</v>
      </c>
      <c r="B12" s="298"/>
      <c r="C12" s="298"/>
      <c r="D12" s="298"/>
      <c r="E12" s="298"/>
      <c r="F12" s="298"/>
      <c r="G12" s="90"/>
    </row>
    <row r="14" spans="1:7" ht="16.5" customHeight="1" x14ac:dyDescent="0.3">
      <c r="A14" s="303" t="s">
        <v>31</v>
      </c>
      <c r="B14" s="303"/>
      <c r="C14" s="60" t="s">
        <v>4</v>
      </c>
    </row>
    <row r="15" spans="1:7" ht="16.5" customHeight="1" x14ac:dyDescent="0.3">
      <c r="A15" s="303" t="s">
        <v>32</v>
      </c>
      <c r="B15" s="303"/>
      <c r="C15" s="60" t="s">
        <v>6</v>
      </c>
    </row>
    <row r="16" spans="1:7" ht="16.5" customHeight="1" x14ac:dyDescent="0.3">
      <c r="A16" s="303" t="s">
        <v>33</v>
      </c>
      <c r="B16" s="303"/>
      <c r="C16" s="60" t="s">
        <v>8</v>
      </c>
    </row>
    <row r="17" spans="1:5" ht="16.5" customHeight="1" x14ac:dyDescent="0.3">
      <c r="A17" s="303" t="s">
        <v>34</v>
      </c>
      <c r="B17" s="303"/>
      <c r="C17" s="60" t="s">
        <v>10</v>
      </c>
    </row>
    <row r="18" spans="1:5" ht="16.5" customHeight="1" x14ac:dyDescent="0.3">
      <c r="A18" s="303" t="s">
        <v>35</v>
      </c>
      <c r="B18" s="303"/>
      <c r="C18" s="97" t="s">
        <v>11</v>
      </c>
    </row>
    <row r="19" spans="1:5" ht="16.5" customHeight="1" x14ac:dyDescent="0.3">
      <c r="A19" s="303" t="s">
        <v>36</v>
      </c>
      <c r="B19" s="303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98" t="s">
        <v>1</v>
      </c>
      <c r="B21" s="298"/>
      <c r="C21" s="59" t="s">
        <v>37</v>
      </c>
      <c r="D21" s="66"/>
    </row>
    <row r="22" spans="1:5" ht="15.75" customHeight="1" x14ac:dyDescent="0.3">
      <c r="A22" s="302"/>
      <c r="B22" s="302"/>
      <c r="C22" s="57"/>
      <c r="D22" s="302"/>
      <c r="E22" s="302"/>
    </row>
    <row r="23" spans="1:5" ht="33.75" customHeight="1" x14ac:dyDescent="0.3">
      <c r="C23" s="86" t="s">
        <v>38</v>
      </c>
      <c r="D23" s="85" t="s">
        <v>39</v>
      </c>
      <c r="E23" s="52"/>
    </row>
    <row r="24" spans="1:5" ht="15.75" customHeight="1" x14ac:dyDescent="0.3">
      <c r="C24" s="95">
        <v>1976.65</v>
      </c>
      <c r="D24" s="87">
        <f t="shared" ref="D24:D43" si="0">(C24-$C$46)/$C$46</f>
        <v>4.1991999259249136E-5</v>
      </c>
      <c r="E24" s="53"/>
    </row>
    <row r="25" spans="1:5" ht="15.75" customHeight="1" x14ac:dyDescent="0.3">
      <c r="C25" s="95">
        <v>1946.45</v>
      </c>
      <c r="D25" s="88">
        <f t="shared" si="0"/>
        <v>-1.5237024598710888E-2</v>
      </c>
      <c r="E25" s="53"/>
    </row>
    <row r="26" spans="1:5" ht="15.75" customHeight="1" x14ac:dyDescent="0.3">
      <c r="C26" s="95">
        <v>1981.08</v>
      </c>
      <c r="D26" s="88">
        <f t="shared" si="0"/>
        <v>2.2832517187627295E-3</v>
      </c>
      <c r="E26" s="53"/>
    </row>
    <row r="27" spans="1:5" ht="15.75" customHeight="1" x14ac:dyDescent="0.3">
      <c r="C27" s="95">
        <v>1993.7</v>
      </c>
      <c r="D27" s="88">
        <f t="shared" si="0"/>
        <v>8.6680593169873865E-3</v>
      </c>
      <c r="E27" s="53"/>
    </row>
    <row r="28" spans="1:5" ht="15.75" customHeight="1" x14ac:dyDescent="0.3">
      <c r="C28" s="95">
        <v>1961.26</v>
      </c>
      <c r="D28" s="88">
        <f t="shared" si="0"/>
        <v>-7.7442353332825261E-3</v>
      </c>
      <c r="E28" s="53"/>
    </row>
    <row r="29" spans="1:5" ht="15.75" customHeight="1" x14ac:dyDescent="0.3">
      <c r="C29" s="95">
        <v>1994.05</v>
      </c>
      <c r="D29" s="88">
        <f t="shared" si="0"/>
        <v>8.8451340126591803E-3</v>
      </c>
      <c r="E29" s="53"/>
    </row>
    <row r="30" spans="1:5" ht="15.75" customHeight="1" x14ac:dyDescent="0.3">
      <c r="C30" s="95">
        <v>1981.72</v>
      </c>
      <c r="D30" s="88">
        <f t="shared" si="0"/>
        <v>2.6070454479912861E-3</v>
      </c>
      <c r="E30" s="53"/>
    </row>
    <row r="31" spans="1:5" ht="15.75" customHeight="1" x14ac:dyDescent="0.3">
      <c r="C31" s="95">
        <v>1982.13</v>
      </c>
      <c r="D31" s="88">
        <f t="shared" si="0"/>
        <v>2.8144758057783389E-3</v>
      </c>
      <c r="E31" s="53"/>
    </row>
    <row r="32" spans="1:5" ht="15.75" customHeight="1" x14ac:dyDescent="0.3">
      <c r="C32" s="95">
        <v>1984.4</v>
      </c>
      <c r="D32" s="88">
        <f t="shared" si="0"/>
        <v>3.9629316891356863E-3</v>
      </c>
      <c r="E32" s="53"/>
    </row>
    <row r="33" spans="1:7" ht="15.75" customHeight="1" x14ac:dyDescent="0.3">
      <c r="C33" s="95">
        <v>1958.98</v>
      </c>
      <c r="D33" s="88">
        <f t="shared" si="0"/>
        <v>-8.8977504936590644E-3</v>
      </c>
      <c r="E33" s="53"/>
    </row>
    <row r="34" spans="1:7" ht="15.75" customHeight="1" x14ac:dyDescent="0.3">
      <c r="C34" s="95">
        <v>1943.9</v>
      </c>
      <c r="D34" s="88">
        <f t="shared" si="0"/>
        <v>-1.6527140238605693E-2</v>
      </c>
      <c r="E34" s="53"/>
    </row>
    <row r="35" spans="1:7" ht="15.75" customHeight="1" x14ac:dyDescent="0.3">
      <c r="C35" s="95">
        <v>1972.55</v>
      </c>
      <c r="D35" s="88">
        <f t="shared" si="0"/>
        <v>-2.032311578610935E-3</v>
      </c>
      <c r="E35" s="53"/>
    </row>
    <row r="36" spans="1:7" ht="15.75" customHeight="1" x14ac:dyDescent="0.3">
      <c r="C36" s="95">
        <v>1949.24</v>
      </c>
      <c r="D36" s="88">
        <f t="shared" si="0"/>
        <v>-1.382548631035539E-2</v>
      </c>
      <c r="E36" s="53"/>
    </row>
    <row r="37" spans="1:7" ht="15.75" customHeight="1" x14ac:dyDescent="0.3">
      <c r="C37" s="95">
        <v>2019.91</v>
      </c>
      <c r="D37" s="88">
        <f t="shared" si="0"/>
        <v>2.1928424384298557E-2</v>
      </c>
      <c r="E37" s="53"/>
    </row>
    <row r="38" spans="1:7" ht="15.75" customHeight="1" x14ac:dyDescent="0.3">
      <c r="C38" s="95">
        <v>1973.65</v>
      </c>
      <c r="D38" s="88">
        <f t="shared" si="0"/>
        <v>-1.4757911064993716E-3</v>
      </c>
      <c r="E38" s="53"/>
    </row>
    <row r="39" spans="1:7" ht="15.75" customHeight="1" x14ac:dyDescent="0.3">
      <c r="C39" s="95">
        <v>1960.65</v>
      </c>
      <c r="D39" s="88">
        <f t="shared" si="0"/>
        <v>-8.0528512314533944E-3</v>
      </c>
      <c r="E39" s="53"/>
    </row>
    <row r="40" spans="1:7" ht="15.75" customHeight="1" x14ac:dyDescent="0.3">
      <c r="C40" s="95">
        <v>1988.91</v>
      </c>
      <c r="D40" s="88">
        <f t="shared" si="0"/>
        <v>6.2446656247928077E-3</v>
      </c>
      <c r="E40" s="53"/>
    </row>
    <row r="41" spans="1:7" ht="15.75" customHeight="1" x14ac:dyDescent="0.3">
      <c r="C41" s="95">
        <v>1979.99</v>
      </c>
      <c r="D41" s="88">
        <f t="shared" si="0"/>
        <v>1.7317905236704722E-3</v>
      </c>
      <c r="E41" s="53"/>
    </row>
    <row r="42" spans="1:7" ht="15.75" customHeight="1" x14ac:dyDescent="0.3">
      <c r="C42" s="95">
        <v>2008.69</v>
      </c>
      <c r="D42" s="88">
        <f t="shared" si="0"/>
        <v>1.6251915568761301E-2</v>
      </c>
      <c r="E42" s="53"/>
    </row>
    <row r="43" spans="1:7" ht="16.5" customHeight="1" x14ac:dyDescent="0.3">
      <c r="C43" s="96">
        <v>1973.43</v>
      </c>
      <c r="D43" s="89">
        <f t="shared" si="0"/>
        <v>-1.5870952009216842E-3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40</v>
      </c>
      <c r="C45" s="83">
        <f>SUM(C24:C44)</f>
        <v>39531.340000000004</v>
      </c>
      <c r="D45" s="78"/>
      <c r="E45" s="54"/>
    </row>
    <row r="46" spans="1:7" ht="17.25" customHeight="1" x14ac:dyDescent="0.3">
      <c r="B46" s="82" t="s">
        <v>41</v>
      </c>
      <c r="C46" s="84">
        <f>AVERAGE(C24:C44)</f>
        <v>1976.5670000000002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41</v>
      </c>
      <c r="C48" s="85" t="s">
        <v>42</v>
      </c>
      <c r="D48" s="80"/>
      <c r="G48" s="58"/>
    </row>
    <row r="49" spans="1:6" ht="17.25" customHeight="1" x14ac:dyDescent="0.3">
      <c r="B49" s="296">
        <f>C46</f>
        <v>1976.5670000000002</v>
      </c>
      <c r="C49" s="93">
        <f>-IF(C46&lt;=80,10%,IF(C46&lt;250,7.5%,5%))</f>
        <v>-0.05</v>
      </c>
      <c r="D49" s="81">
        <f>IF(C46&lt;=80,C46*0.9,IF(C46&lt;250,C46*0.925,C46*0.95))</f>
        <v>1877.7386500000002</v>
      </c>
    </row>
    <row r="50" spans="1:6" ht="17.25" customHeight="1" x14ac:dyDescent="0.3">
      <c r="B50" s="297"/>
      <c r="C50" s="94">
        <f>IF(C46&lt;=80, 10%, IF(C46&lt;250, 7.5%, 5%))</f>
        <v>0.05</v>
      </c>
      <c r="D50" s="81">
        <f>IF(C46&lt;=80, C46*1.1, IF(C46&lt;250, C46*1.075, C46*1.05))</f>
        <v>2075.3953500000002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24</v>
      </c>
      <c r="C52" s="67"/>
      <c r="D52" s="68" t="s">
        <v>25</v>
      </c>
      <c r="E52" s="69"/>
      <c r="F52" s="68" t="s">
        <v>26</v>
      </c>
    </row>
    <row r="53" spans="1:6" ht="34.5" customHeight="1" x14ac:dyDescent="0.3">
      <c r="A53" s="70" t="s">
        <v>27</v>
      </c>
      <c r="B53" s="71"/>
      <c r="C53" s="72"/>
      <c r="D53" s="71"/>
      <c r="E53" s="61"/>
      <c r="F53" s="73"/>
    </row>
    <row r="54" spans="1:6" ht="34.5" customHeight="1" x14ac:dyDescent="0.3">
      <c r="A54" s="70" t="s">
        <v>28</v>
      </c>
      <c r="B54" s="74"/>
      <c r="C54" s="75"/>
      <c r="D54" s="74"/>
      <c r="E54" s="61"/>
      <c r="F54" s="7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72" orientation="portrait" r:id="rId1"/>
  <headerFooter alignWithMargins="0"/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view="pageBreakPreview" zoomScale="60" zoomScaleNormal="100" workbookViewId="0">
      <selection activeCell="F32" sqref="F32"/>
    </sheetView>
  </sheetViews>
  <sheetFormatPr defaultRowHeight="13.5" x14ac:dyDescent="0.25"/>
  <cols>
    <col min="1" max="1" width="27.5703125" style="312" customWidth="1"/>
    <col min="2" max="2" width="20.42578125" style="312" customWidth="1"/>
    <col min="3" max="3" width="31.85546875" style="312" customWidth="1"/>
    <col min="4" max="4" width="25.85546875" style="312" customWidth="1"/>
    <col min="5" max="5" width="25.7109375" style="312" customWidth="1"/>
    <col min="6" max="6" width="23.140625" style="312" customWidth="1"/>
    <col min="7" max="7" width="28.42578125" style="312" customWidth="1"/>
    <col min="8" max="8" width="21.5703125" style="312" customWidth="1"/>
    <col min="9" max="9" width="9.140625" style="312" customWidth="1"/>
    <col min="10" max="16384" width="9.140625" style="313"/>
  </cols>
  <sheetData>
    <row r="1" spans="1:6" s="313" customFormat="1" ht="18.75" x14ac:dyDescent="0.3">
      <c r="A1" s="311" t="s">
        <v>130</v>
      </c>
      <c r="B1" s="311"/>
      <c r="C1" s="311"/>
      <c r="D1" s="311"/>
      <c r="E1" s="311"/>
      <c r="F1" s="312"/>
    </row>
    <row r="2" spans="1:6" s="313" customFormat="1" ht="16.5" x14ac:dyDescent="0.3">
      <c r="A2" s="314" t="s">
        <v>1</v>
      </c>
      <c r="B2" s="315" t="s">
        <v>131</v>
      </c>
      <c r="C2" s="312"/>
      <c r="D2" s="312"/>
      <c r="E2" s="312"/>
      <c r="F2" s="312"/>
    </row>
    <row r="3" spans="1:6" s="313" customFormat="1" ht="16.5" x14ac:dyDescent="0.3">
      <c r="A3" s="316" t="s">
        <v>2</v>
      </c>
      <c r="B3" s="316"/>
      <c r="C3" s="312"/>
      <c r="D3" s="317"/>
      <c r="E3" s="318"/>
      <c r="F3" s="312"/>
    </row>
    <row r="4" spans="1:6" s="313" customFormat="1" ht="16.5" x14ac:dyDescent="0.3">
      <c r="A4" s="319" t="s">
        <v>3</v>
      </c>
      <c r="B4" s="316" t="s">
        <v>93</v>
      </c>
      <c r="C4" s="318"/>
      <c r="D4" s="318"/>
      <c r="E4" s="318"/>
      <c r="F4" s="312"/>
    </row>
    <row r="5" spans="1:6" s="313" customFormat="1" ht="16.5" x14ac:dyDescent="0.3">
      <c r="A5" s="319" t="s">
        <v>5</v>
      </c>
      <c r="B5" s="320">
        <v>99.3</v>
      </c>
      <c r="C5" s="318"/>
      <c r="D5" s="318"/>
      <c r="E5" s="318"/>
      <c r="F5" s="312"/>
    </row>
    <row r="6" spans="1:6" s="313" customFormat="1" ht="16.5" x14ac:dyDescent="0.3">
      <c r="A6" s="316" t="s">
        <v>7</v>
      </c>
      <c r="B6" s="320">
        <v>16.079999999999998</v>
      </c>
      <c r="C6" s="318"/>
      <c r="D6" s="318"/>
      <c r="E6" s="318"/>
      <c r="F6" s="312"/>
    </row>
    <row r="7" spans="1:6" s="313" customFormat="1" ht="16.5" x14ac:dyDescent="0.3">
      <c r="A7" s="316" t="s">
        <v>9</v>
      </c>
      <c r="B7" s="321">
        <f>B6/50</f>
        <v>0.32159999999999994</v>
      </c>
      <c r="C7" s="318"/>
      <c r="D7" s="318"/>
      <c r="E7" s="318"/>
      <c r="F7" s="312"/>
    </row>
    <row r="8" spans="1:6" s="313" customFormat="1" ht="16.5" x14ac:dyDescent="0.3">
      <c r="A8" s="322" t="s">
        <v>12</v>
      </c>
      <c r="B8" s="323" t="s">
        <v>13</v>
      </c>
      <c r="C8" s="322" t="s">
        <v>14</v>
      </c>
      <c r="D8" s="322" t="s">
        <v>15</v>
      </c>
      <c r="E8" s="322" t="s">
        <v>16</v>
      </c>
      <c r="F8" s="312"/>
    </row>
    <row r="9" spans="1:6" s="313" customFormat="1" ht="16.5" x14ac:dyDescent="0.3">
      <c r="A9" s="324">
        <v>1</v>
      </c>
      <c r="B9" s="325">
        <v>39824625</v>
      </c>
      <c r="C9" s="325">
        <v>3290</v>
      </c>
      <c r="D9" s="326">
        <v>0.94</v>
      </c>
      <c r="E9" s="327">
        <v>4.12</v>
      </c>
      <c r="F9" s="312"/>
    </row>
    <row r="10" spans="1:6" s="313" customFormat="1" ht="16.5" x14ac:dyDescent="0.3">
      <c r="A10" s="324">
        <v>2</v>
      </c>
      <c r="B10" s="325">
        <v>39798905</v>
      </c>
      <c r="C10" s="325">
        <v>3346</v>
      </c>
      <c r="D10" s="326">
        <v>0.95</v>
      </c>
      <c r="E10" s="326">
        <v>4.12</v>
      </c>
      <c r="F10" s="312"/>
    </row>
    <row r="11" spans="1:6" s="313" customFormat="1" ht="16.5" x14ac:dyDescent="0.3">
      <c r="A11" s="324">
        <v>3</v>
      </c>
      <c r="B11" s="325">
        <v>39787043</v>
      </c>
      <c r="C11" s="325">
        <v>3352</v>
      </c>
      <c r="D11" s="326">
        <v>0.94</v>
      </c>
      <c r="E11" s="326">
        <v>4.12</v>
      </c>
      <c r="F11" s="312"/>
    </row>
    <row r="12" spans="1:6" s="313" customFormat="1" ht="16.5" x14ac:dyDescent="0.3">
      <c r="A12" s="324">
        <v>4</v>
      </c>
      <c r="B12" s="325">
        <v>39787614</v>
      </c>
      <c r="C12" s="325">
        <v>3327</v>
      </c>
      <c r="D12" s="326">
        <v>0.94</v>
      </c>
      <c r="E12" s="326">
        <v>4.12</v>
      </c>
      <c r="F12" s="312"/>
    </row>
    <row r="13" spans="1:6" s="313" customFormat="1" ht="16.5" x14ac:dyDescent="0.3">
      <c r="A13" s="324">
        <v>5</v>
      </c>
      <c r="B13" s="325">
        <v>39780857</v>
      </c>
      <c r="C13" s="325">
        <v>3360</v>
      </c>
      <c r="D13" s="326">
        <v>0.94</v>
      </c>
      <c r="E13" s="326">
        <v>4.12</v>
      </c>
      <c r="F13" s="312"/>
    </row>
    <row r="14" spans="1:6" s="313" customFormat="1" ht="16.5" x14ac:dyDescent="0.3">
      <c r="A14" s="324">
        <v>6</v>
      </c>
      <c r="B14" s="328">
        <v>39650703</v>
      </c>
      <c r="C14" s="328">
        <v>3352</v>
      </c>
      <c r="D14" s="329">
        <v>0.96</v>
      </c>
      <c r="E14" s="329">
        <v>4.12</v>
      </c>
      <c r="F14" s="312"/>
    </row>
    <row r="15" spans="1:6" s="313" customFormat="1" ht="16.5" x14ac:dyDescent="0.3">
      <c r="A15" s="330" t="s">
        <v>17</v>
      </c>
      <c r="B15" s="331">
        <f>AVERAGE(B9:B14)</f>
        <v>39771624.5</v>
      </c>
      <c r="C15" s="332">
        <f>AVERAGE(C9:C14)</f>
        <v>3337.8333333333335</v>
      </c>
      <c r="D15" s="333">
        <f>AVERAGE(D9:D14)</f>
        <v>0.94499999999999995</v>
      </c>
      <c r="E15" s="333">
        <f>AVERAGE(E9:E14)</f>
        <v>4.12</v>
      </c>
      <c r="F15" s="312"/>
    </row>
    <row r="16" spans="1:6" s="313" customFormat="1" ht="16.5" x14ac:dyDescent="0.3">
      <c r="A16" s="334" t="s">
        <v>18</v>
      </c>
      <c r="B16" s="335">
        <f>(STDEV(B9:B14)/B15)</f>
        <v>1.5398829496750281E-3</v>
      </c>
      <c r="C16" s="336"/>
      <c r="D16" s="336"/>
      <c r="E16" s="337"/>
      <c r="F16" s="312"/>
    </row>
    <row r="17" spans="1:9" s="312" customFormat="1" ht="16.5" x14ac:dyDescent="0.3">
      <c r="A17" s="338" t="s">
        <v>19</v>
      </c>
      <c r="B17" s="339">
        <f>COUNT(B9:B14)</f>
        <v>6</v>
      </c>
      <c r="C17" s="340"/>
      <c r="D17" s="341"/>
      <c r="E17" s="342"/>
    </row>
    <row r="18" spans="1:9" s="312" customFormat="1" ht="16.5" x14ac:dyDescent="0.3">
      <c r="A18" s="319" t="s">
        <v>20</v>
      </c>
      <c r="B18" s="343" t="s">
        <v>132</v>
      </c>
      <c r="C18" s="344"/>
      <c r="D18" s="344"/>
      <c r="E18" s="344"/>
    </row>
    <row r="19" spans="1:9" ht="16.5" x14ac:dyDescent="0.3">
      <c r="A19" s="319"/>
      <c r="B19" s="343" t="s">
        <v>133</v>
      </c>
      <c r="C19" s="344"/>
      <c r="D19" s="344"/>
      <c r="E19" s="344"/>
      <c r="G19" s="313"/>
      <c r="H19" s="313"/>
      <c r="I19" s="313"/>
    </row>
    <row r="20" spans="1:9" ht="16.5" x14ac:dyDescent="0.3">
      <c r="A20" s="319"/>
      <c r="B20" s="343" t="s">
        <v>134</v>
      </c>
      <c r="C20" s="344"/>
      <c r="D20" s="344"/>
      <c r="E20" s="344"/>
      <c r="G20" s="313"/>
      <c r="H20" s="313"/>
      <c r="I20" s="313"/>
    </row>
    <row r="21" spans="1:9" ht="16.5" x14ac:dyDescent="0.3">
      <c r="A21" s="319"/>
      <c r="B21" s="343"/>
      <c r="C21" s="344"/>
      <c r="D21" s="344"/>
      <c r="E21" s="344"/>
      <c r="G21" s="313"/>
      <c r="H21" s="313"/>
      <c r="I21" s="313"/>
    </row>
    <row r="22" spans="1:9" ht="16.5" x14ac:dyDescent="0.3">
      <c r="A22" s="319"/>
      <c r="B22" s="343"/>
      <c r="C22" s="344"/>
      <c r="D22" s="344"/>
      <c r="E22" s="344"/>
      <c r="G22" s="313"/>
      <c r="H22" s="313"/>
      <c r="I22" s="313"/>
    </row>
    <row r="23" spans="1:9" ht="16.5" x14ac:dyDescent="0.3">
      <c r="A23" s="314" t="s">
        <v>1</v>
      </c>
      <c r="B23" s="315" t="s">
        <v>135</v>
      </c>
      <c r="G23" s="313"/>
      <c r="H23" s="313"/>
      <c r="I23" s="313"/>
    </row>
    <row r="24" spans="1:9" ht="16.5" x14ac:dyDescent="0.3">
      <c r="A24" s="319" t="s">
        <v>3</v>
      </c>
      <c r="B24" s="316" t="s">
        <v>123</v>
      </c>
      <c r="C24" s="318"/>
      <c r="D24" s="318"/>
      <c r="E24" s="318"/>
      <c r="G24" s="313"/>
      <c r="H24" s="313"/>
      <c r="I24" s="313"/>
    </row>
    <row r="25" spans="1:9" ht="16.5" x14ac:dyDescent="0.3">
      <c r="A25" s="319" t="s">
        <v>5</v>
      </c>
      <c r="B25" s="320">
        <v>99.3</v>
      </c>
      <c r="C25" s="318"/>
      <c r="D25" s="318"/>
      <c r="E25" s="318"/>
      <c r="G25" s="313"/>
      <c r="H25" s="313"/>
      <c r="I25" s="313"/>
    </row>
    <row r="26" spans="1:9" ht="16.5" x14ac:dyDescent="0.3">
      <c r="A26" s="316" t="s">
        <v>7</v>
      </c>
      <c r="B26" s="320">
        <v>11.77</v>
      </c>
      <c r="C26" s="318"/>
      <c r="D26" s="318"/>
      <c r="E26" s="318"/>
      <c r="G26" s="313"/>
      <c r="H26" s="313"/>
      <c r="I26" s="313"/>
    </row>
    <row r="27" spans="1:9" ht="16.5" x14ac:dyDescent="0.3">
      <c r="A27" s="316" t="s">
        <v>9</v>
      </c>
      <c r="B27" s="321">
        <f>B26/100</f>
        <v>0.1177</v>
      </c>
      <c r="C27" s="318"/>
      <c r="D27" s="318"/>
      <c r="E27" s="318"/>
      <c r="G27" s="313"/>
      <c r="H27" s="313"/>
      <c r="I27" s="313"/>
    </row>
    <row r="28" spans="1:9" ht="16.5" x14ac:dyDescent="0.3">
      <c r="A28" s="322" t="s">
        <v>12</v>
      </c>
      <c r="B28" s="323" t="s">
        <v>13</v>
      </c>
      <c r="C28" s="322" t="s">
        <v>14</v>
      </c>
      <c r="D28" s="322" t="s">
        <v>15</v>
      </c>
      <c r="E28" s="322" t="s">
        <v>16</v>
      </c>
      <c r="G28" s="313"/>
      <c r="H28" s="313"/>
      <c r="I28" s="313"/>
    </row>
    <row r="29" spans="1:9" ht="16.5" x14ac:dyDescent="0.3">
      <c r="A29" s="324">
        <v>1</v>
      </c>
      <c r="B29" s="325">
        <v>53214981</v>
      </c>
      <c r="C29" s="325">
        <v>7469</v>
      </c>
      <c r="D29" s="326">
        <v>1.04</v>
      </c>
      <c r="E29" s="327">
        <v>7.07</v>
      </c>
      <c r="G29" s="313"/>
      <c r="H29" s="313"/>
      <c r="I29" s="313"/>
    </row>
    <row r="30" spans="1:9" ht="16.5" x14ac:dyDescent="0.3">
      <c r="A30" s="324">
        <v>2</v>
      </c>
      <c r="B30" s="325">
        <v>53209643</v>
      </c>
      <c r="C30" s="325">
        <v>7483</v>
      </c>
      <c r="D30" s="326">
        <v>1.06</v>
      </c>
      <c r="E30" s="326">
        <v>7.05</v>
      </c>
      <c r="G30" s="313"/>
      <c r="H30" s="313"/>
      <c r="I30" s="313"/>
    </row>
    <row r="31" spans="1:9" ht="16.5" x14ac:dyDescent="0.3">
      <c r="A31" s="324">
        <v>3</v>
      </c>
      <c r="B31" s="325">
        <v>53432706</v>
      </c>
      <c r="C31" s="325">
        <v>7493</v>
      </c>
      <c r="D31" s="326">
        <v>1.06</v>
      </c>
      <c r="E31" s="326">
        <v>7.07</v>
      </c>
      <c r="G31" s="313"/>
      <c r="H31" s="313"/>
      <c r="I31" s="313"/>
    </row>
    <row r="32" spans="1:9" ht="16.5" x14ac:dyDescent="0.3">
      <c r="A32" s="324">
        <v>4</v>
      </c>
      <c r="B32" s="325">
        <v>53133704</v>
      </c>
      <c r="C32" s="325">
        <v>7454</v>
      </c>
      <c r="D32" s="326">
        <v>1.05</v>
      </c>
      <c r="E32" s="326">
        <v>7.08</v>
      </c>
      <c r="G32" s="313"/>
      <c r="H32" s="313"/>
      <c r="I32" s="313"/>
    </row>
    <row r="33" spans="1:9" ht="16.5" x14ac:dyDescent="0.3">
      <c r="A33" s="324">
        <v>5</v>
      </c>
      <c r="B33" s="325">
        <v>53035333</v>
      </c>
      <c r="C33" s="325">
        <v>7425</v>
      </c>
      <c r="D33" s="326">
        <v>1.05</v>
      </c>
      <c r="E33" s="326">
        <v>7.07</v>
      </c>
      <c r="G33" s="313"/>
      <c r="H33" s="313"/>
      <c r="I33" s="313"/>
    </row>
    <row r="34" spans="1:9" ht="16.5" customHeight="1" x14ac:dyDescent="0.3">
      <c r="A34" s="324">
        <v>6</v>
      </c>
      <c r="B34" s="328">
        <v>53377391</v>
      </c>
      <c r="C34" s="328">
        <v>7393</v>
      </c>
      <c r="D34" s="329">
        <v>1.05</v>
      </c>
      <c r="E34" s="329">
        <v>7.08</v>
      </c>
    </row>
    <row r="35" spans="1:9" ht="16.5" customHeight="1" x14ac:dyDescent="0.3">
      <c r="A35" s="330" t="s">
        <v>17</v>
      </c>
      <c r="B35" s="331">
        <f>AVERAGE(B29:B34)</f>
        <v>53233959.666666664</v>
      </c>
      <c r="C35" s="332">
        <f>AVERAGE(C29:C34)</f>
        <v>7452.833333333333</v>
      </c>
      <c r="D35" s="333">
        <f>AVERAGE(D29:D34)</f>
        <v>1.0516666666666665</v>
      </c>
      <c r="E35" s="333">
        <f>AVERAGE(E29:E34)</f>
        <v>7.07</v>
      </c>
    </row>
    <row r="36" spans="1:9" ht="16.5" customHeight="1" x14ac:dyDescent="0.3">
      <c r="A36" s="334" t="s">
        <v>18</v>
      </c>
      <c r="B36" s="335">
        <f>(STDEV(B29:B34)/B35)</f>
        <v>2.7929436522954793E-3</v>
      </c>
      <c r="C36" s="336"/>
      <c r="D36" s="336"/>
      <c r="E36" s="337"/>
    </row>
    <row r="37" spans="1:9" s="312" customFormat="1" ht="16.5" customHeight="1" x14ac:dyDescent="0.3">
      <c r="A37" s="338" t="s">
        <v>19</v>
      </c>
      <c r="B37" s="339">
        <f>COUNT(B29:B34)</f>
        <v>6</v>
      </c>
      <c r="C37" s="340"/>
      <c r="D37" s="341"/>
      <c r="E37" s="342"/>
    </row>
    <row r="38" spans="1:9" s="312" customFormat="1" ht="16.5" customHeight="1" x14ac:dyDescent="0.3">
      <c r="A38" s="319" t="s">
        <v>20</v>
      </c>
      <c r="B38" s="343" t="s">
        <v>132</v>
      </c>
      <c r="C38" s="344"/>
      <c r="D38" s="344"/>
      <c r="E38" s="344"/>
    </row>
    <row r="39" spans="1:9" ht="16.5" customHeight="1" x14ac:dyDescent="0.3">
      <c r="A39" s="319"/>
      <c r="B39" s="343" t="s">
        <v>133</v>
      </c>
      <c r="C39" s="344"/>
      <c r="D39" s="344"/>
      <c r="E39" s="344"/>
    </row>
    <row r="40" spans="1:9" ht="16.5" customHeight="1" x14ac:dyDescent="0.3">
      <c r="A40" s="319"/>
      <c r="B40" s="343" t="s">
        <v>134</v>
      </c>
      <c r="C40" s="344"/>
      <c r="D40" s="344"/>
      <c r="E40" s="344"/>
    </row>
    <row r="41" spans="1:9" ht="16.5" customHeight="1" x14ac:dyDescent="0.3">
      <c r="A41" s="319" t="s">
        <v>136</v>
      </c>
      <c r="C41" s="344"/>
      <c r="D41" s="344"/>
      <c r="E41" s="344"/>
    </row>
    <row r="42" spans="1:9" ht="14.25" customHeight="1" thickBot="1" x14ac:dyDescent="0.35">
      <c r="A42" s="319"/>
      <c r="B42" s="343"/>
      <c r="C42" s="344"/>
      <c r="D42" s="344"/>
      <c r="E42" s="344"/>
    </row>
    <row r="43" spans="1:9" ht="15" customHeight="1" x14ac:dyDescent="0.3">
      <c r="B43" s="345" t="s">
        <v>24</v>
      </c>
      <c r="C43" s="345"/>
      <c r="E43" s="346" t="s">
        <v>25</v>
      </c>
      <c r="F43" s="347"/>
      <c r="G43" s="346" t="s">
        <v>26</v>
      </c>
    </row>
    <row r="44" spans="1:9" ht="15" customHeight="1" x14ac:dyDescent="0.3">
      <c r="A44" s="348" t="s">
        <v>27</v>
      </c>
      <c r="B44" s="349"/>
      <c r="C44" s="349"/>
      <c r="E44" s="349"/>
      <c r="G44" s="349"/>
    </row>
    <row r="45" spans="1:9" ht="15" customHeight="1" x14ac:dyDescent="0.3">
      <c r="A45" s="348" t="s">
        <v>28</v>
      </c>
      <c r="B45" s="350"/>
      <c r="C45" s="350"/>
      <c r="E45" s="350"/>
      <c r="G45" s="351"/>
    </row>
  </sheetData>
  <mergeCells count="2">
    <mergeCell ref="A1:E1"/>
    <mergeCell ref="B43:C43"/>
  </mergeCells>
  <pageMargins left="0.7" right="0.7" top="0.75" bottom="0.75" header="0.3" footer="0.3"/>
  <pageSetup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ATAZANAVIR </vt:lpstr>
      <vt:lpstr>RITONAVIR</vt:lpstr>
      <vt:lpstr>SST</vt:lpstr>
      <vt:lpstr>Uniformity</vt:lpstr>
      <vt:lpstr>SST 2</vt:lpstr>
      <vt:lpstr>'ATAZANAVIR '!Print_Area</vt:lpstr>
      <vt:lpstr>RITONAVIR!Print_Area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2016-05-24T05:31:58Z</cp:lastPrinted>
  <dcterms:created xsi:type="dcterms:W3CDTF">2005-07-05T10:19:27Z</dcterms:created>
  <dcterms:modified xsi:type="dcterms:W3CDTF">2016-06-06T11:53:35Z</dcterms:modified>
</cp:coreProperties>
</file>