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Efavirenz!$A$1:$I$126</definedName>
    <definedName name="_xlnm.Print_Area" localSheetId="0">SST!$A$12:$G$61</definedName>
    <definedName name="_xlnm.Print_Area" localSheetId="1">Uniformity!$A$7:$F$54</definedName>
  </definedNames>
  <calcPr calcId="145621"/>
</workbook>
</file>

<file path=xl/calcChain.xml><?xml version="1.0" encoding="utf-8"?>
<calcChain xmlns="http://schemas.openxmlformats.org/spreadsheetml/2006/main">
  <c r="B21" i="1" l="1"/>
  <c r="C120" i="3" l="1"/>
  <c r="B116" i="3"/>
  <c r="D100" i="3" s="1"/>
  <c r="B98" i="3"/>
  <c r="F95" i="3"/>
  <c r="D95" i="3"/>
  <c r="B87" i="3"/>
  <c r="F97" i="3" s="1"/>
  <c r="B83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I39" i="3"/>
  <c r="I92" i="3"/>
  <c r="D101" i="3"/>
  <c r="D102" i="3" s="1"/>
  <c r="F44" i="3"/>
  <c r="F45" i="3" s="1"/>
  <c r="D45" i="3"/>
  <c r="D46" i="3" s="1"/>
  <c r="D49" i="3"/>
  <c r="E41" i="3"/>
  <c r="F98" i="3"/>
  <c r="F99" i="3" s="1"/>
  <c r="C50" i="2"/>
  <c r="D97" i="3"/>
  <c r="D98" i="3" s="1"/>
  <c r="D99" i="3" s="1"/>
  <c r="D26" i="2"/>
  <c r="D30" i="2"/>
  <c r="D34" i="2"/>
  <c r="D38" i="2"/>
  <c r="D42" i="2"/>
  <c r="B49" i="2"/>
  <c r="F46" i="3" l="1"/>
  <c r="G39" i="3"/>
  <c r="G40" i="3"/>
  <c r="G41" i="3"/>
  <c r="G38" i="3"/>
  <c r="E38" i="3"/>
  <c r="E40" i="3"/>
  <c r="E39" i="3"/>
  <c r="E94" i="3"/>
  <c r="E93" i="3"/>
  <c r="E92" i="3"/>
  <c r="G94" i="3"/>
  <c r="G93" i="3"/>
  <c r="E91" i="3"/>
  <c r="G92" i="3"/>
  <c r="G91" i="3"/>
  <c r="G95" i="3" l="1"/>
  <c r="D50" i="3"/>
  <c r="G71" i="3" s="1"/>
  <c r="H71" i="3" s="1"/>
  <c r="G42" i="3"/>
  <c r="D52" i="3"/>
  <c r="E42" i="3"/>
  <c r="G68" i="3"/>
  <c r="H68" i="3" s="1"/>
  <c r="E95" i="3"/>
  <c r="D105" i="3"/>
  <c r="D103" i="3"/>
  <c r="G70" i="3" l="1"/>
  <c r="H70" i="3" s="1"/>
  <c r="G64" i="3"/>
  <c r="H64" i="3" s="1"/>
  <c r="G61" i="3"/>
  <c r="H61" i="3" s="1"/>
  <c r="G66" i="3"/>
  <c r="H66" i="3" s="1"/>
  <c r="G67" i="3"/>
  <c r="H67" i="3" s="1"/>
  <c r="D51" i="3"/>
  <c r="G63" i="3"/>
  <c r="H63" i="3" s="1"/>
  <c r="G60" i="3"/>
  <c r="G69" i="3"/>
  <c r="H69" i="3" s="1"/>
  <c r="G65" i="3"/>
  <c r="H65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H60" i="3"/>
  <c r="H72" i="3" s="1"/>
  <c r="E115" i="3"/>
  <c r="E116" i="3" s="1"/>
  <c r="E117" i="3"/>
  <c r="F108" i="3"/>
  <c r="H74" i="3" l="1"/>
  <c r="G76" i="3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<sst xmlns="http://schemas.openxmlformats.org/spreadsheetml/2006/main" count="235" uniqueCount="131">
  <si>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</si>
  <si>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</si>
  <si>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</si>
  <si>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</si>
  <si>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</si>
  <si>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</si>
  <si>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</si>
  <si>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NDQB201603830</t>
  </si>
  <si>
    <t>Weight (mg):</t>
  </si>
  <si>
    <t>EFAVIRENZ</t>
  </si>
  <si>
    <t>Standard Conc (mg/mL):</t>
  </si>
  <si>
    <t>Each film-coated tablet contains Efavirenz 600mg.</t>
  </si>
  <si>
    <t>2016-04-01 11:59:07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</si>
  <si>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</si>
  <si>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</si>
  <si>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</si>
  <si>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</si>
  <si>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</si>
  <si>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</si>
  <si>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</si>
  <si>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</si>
  <si>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</si>
  <si>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</si>
  <si>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</si>
  <si>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</si>
  <si>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</si>
  <si>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</si>
  <si>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</si>
  <si>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</si>
  <si>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</si>
  <si>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</si>
  <si>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</si>
  <si>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</si>
  <si>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</si>
  <si>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</si>
  <si>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</si>
  <si>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</si>
  <si>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</si>
  <si>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</si>
  <si>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</si>
  <si>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</si>
  <si>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</si>
  <si>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</si>
  <si>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</si>
  <si>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</si>
  <si>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</si>
  <si>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</si>
  <si>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</si>
  <si>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</si>
  <si>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</si>
  <si>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</si>
  <si>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</si>
  <si>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</si>
  <si>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</si>
  <si>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</si>
  <si>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</si>
  <si>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</si>
  <si>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</si>
  <si>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</si>
  <si>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</si>
  <si>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</si>
  <si>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</si>
  <si>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</si>
  <si>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</si>
  <si>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</si>
  <si>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</si>
  <si>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</si>
  <si>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</si>
  <si>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</si>
  <si>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</si>
  <si>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</si>
  <si>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</si>
  <si>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</si>
  <si>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</si>
  <si>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</si>
  <si>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</si>
  <si>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</si>
  <si>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</si>
  <si>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</si>
  <si>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</si>
  <si>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</si>
  <si>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</si>
  <si>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</si>
  <si>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</si>
  <si>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</si>
  <si>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</si>
  <si>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</si>
  <si>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</si>
  <si>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</si>
  <si>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</si>
  <si>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</si>
  <si>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</si>
  <si>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</si>
  <si>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</si>
  <si>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</si>
  <si>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</si>
  <si>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</si>
  <si>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</si>
  <si>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</si>
  <si>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</si>
  <si>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</si>
  <si>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</si>
  <si>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</si>
  <si>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</si>
  <si>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</si>
  <si>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</si>
  <si>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</si>
  <si>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</si>
  <si>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</si>
  <si>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</si>
  <si>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</si>
  <si>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</si>
  <si>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</si>
  <si>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</si>
  <si>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</si>
  <si>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</si>
  <si>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</si>
  <si>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</si>
  <si>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</si>
  <si>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</si>
  <si>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</si>
  <si>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</si>
  <si>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</si>
  <si>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</si>
  <si>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</si>
  <si>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</si>
  <si>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E15-2</t>
  </si>
  <si>
    <t>E15-3</t>
  </si>
  <si>
    <t>EFAVIRENZ 600MG TABLETS (NDQB201603830)</t>
  </si>
  <si>
    <t>Kefa Bota</t>
  </si>
  <si>
    <t>25th Apr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</si>
</sst>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4" fillId="3" borderId="3" xfId="0" applyFont="1" applyFill="1" applyBorder="1" applyAlignment="1" applyProtection="1">
      <alignment horizontal="center"/>
      <protection locked="0"/>
    </xf>
    <xf numFmtId="1" fontId="24" fillId="3" borderId="3" xfId="0" applyNumberFormat="1" applyFont="1" applyFill="1" applyBorder="1" applyAlignment="1" applyProtection="1">
      <alignment horizontal="center"/>
      <protection locked="0"/>
    </xf>
    <xf numFmtId="2" fontId="24" fillId="3" borderId="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6" zoomScale="70" zoomScaleNormal="70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128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9">
        <v>23.07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0.23070000000000002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330">
        <v>398317417</v>
      </c>
      <c r="C24" s="331">
        <v>1702.2</v>
      </c>
      <c r="D24" s="332">
        <v>0.93</v>
      </c>
      <c r="E24" s="332">
        <v>3.48</v>
      </c>
    </row>
    <row r="25" spans="1:6" ht="16.5" customHeight="1" x14ac:dyDescent="0.3">
      <c r="A25" s="17">
        <v>2</v>
      </c>
      <c r="B25" s="330">
        <v>397148796</v>
      </c>
      <c r="C25" s="330">
        <v>1683</v>
      </c>
      <c r="D25" s="332">
        <v>0.94</v>
      </c>
      <c r="E25" s="332">
        <v>3.47</v>
      </c>
    </row>
    <row r="26" spans="1:6" ht="16.5" customHeight="1" x14ac:dyDescent="0.3">
      <c r="A26" s="17">
        <v>3</v>
      </c>
      <c r="B26" s="330">
        <v>397954495</v>
      </c>
      <c r="C26" s="330">
        <v>1674</v>
      </c>
      <c r="D26" s="332">
        <v>0.94</v>
      </c>
      <c r="E26" s="332">
        <v>3.45</v>
      </c>
    </row>
    <row r="27" spans="1:6" ht="16.5" customHeight="1" x14ac:dyDescent="0.3">
      <c r="A27" s="17">
        <v>4</v>
      </c>
      <c r="B27" s="330">
        <v>398133451</v>
      </c>
      <c r="C27" s="330">
        <v>1654</v>
      </c>
      <c r="D27" s="332">
        <v>0.94</v>
      </c>
      <c r="E27" s="332">
        <v>3.43</v>
      </c>
    </row>
    <row r="28" spans="1:6" ht="16.5" customHeight="1" x14ac:dyDescent="0.3">
      <c r="A28" s="17">
        <v>5</v>
      </c>
      <c r="B28" s="330">
        <v>397927690</v>
      </c>
      <c r="C28" s="330">
        <v>1649</v>
      </c>
      <c r="D28" s="332">
        <v>0.93</v>
      </c>
      <c r="E28" s="332">
        <v>3.42</v>
      </c>
    </row>
    <row r="29" spans="1:6" ht="16.5" customHeight="1" x14ac:dyDescent="0.3">
      <c r="A29" s="17">
        <v>6</v>
      </c>
      <c r="B29" s="330"/>
      <c r="C29" s="330"/>
      <c r="D29" s="332"/>
      <c r="E29" s="332"/>
    </row>
    <row r="30" spans="1:6" ht="16.5" customHeight="1" x14ac:dyDescent="0.3">
      <c r="A30" s="23" t="s">
        <v>18</v>
      </c>
      <c r="B30" s="24">
        <f>AVERAGE(B24:B29)</f>
        <v>397896369.80000001</v>
      </c>
      <c r="C30" s="25">
        <f>AVERAGE(C24:C29)</f>
        <v>1672.44</v>
      </c>
      <c r="D30" s="26">
        <f>AVERAGE(D24:D29)</f>
        <v>0.93599999999999994</v>
      </c>
      <c r="E30" s="26">
        <f>AVERAGE(E24:E29)</f>
        <v>3.45</v>
      </c>
    </row>
    <row r="31" spans="1:6" ht="16.5" customHeight="1" x14ac:dyDescent="0.3">
      <c r="A31" s="27" t="s">
        <v>19</v>
      </c>
      <c r="B31" s="28">
        <f>(STDEV(B24:B29)/B30)</f>
        <v>1.1216344482225344E-3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129</v>
      </c>
      <c r="C60" s="48"/>
      <c r="E60" s="48" t="s">
        <v>130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1235.1500000000001</v>
      </c>
      <c r="D24" s="87">
        <f t="shared" ref="D24:D43" si="0">(C24-$C$46)/$C$46</f>
        <v>9.1197826775192854E-3</v>
      </c>
      <c r="E24" s="53"/>
    </row>
    <row r="25" spans="1:5" ht="15.75" customHeight="1" x14ac:dyDescent="0.3">
      <c r="C25" s="95">
        <v>1230.68</v>
      </c>
      <c r="D25" s="88">
        <f t="shared" si="0"/>
        <v>5.4677845974735115E-3</v>
      </c>
      <c r="E25" s="53"/>
    </row>
    <row r="26" spans="1:5" ht="15.75" customHeight="1" x14ac:dyDescent="0.3">
      <c r="C26" s="95">
        <v>1228.68</v>
      </c>
      <c r="D26" s="88">
        <f t="shared" si="0"/>
        <v>3.8337809822405126E-3</v>
      </c>
      <c r="E26" s="53"/>
    </row>
    <row r="27" spans="1:5" ht="15.75" customHeight="1" x14ac:dyDescent="0.3">
      <c r="C27" s="95">
        <v>1225</v>
      </c>
      <c r="D27" s="88">
        <f t="shared" si="0"/>
        <v>8.2721433021174277E-4</v>
      </c>
      <c r="E27" s="53"/>
    </row>
    <row r="28" spans="1:5" ht="15.75" customHeight="1" x14ac:dyDescent="0.3">
      <c r="C28" s="95">
        <v>1222.3399999999999</v>
      </c>
      <c r="D28" s="88">
        <f t="shared" si="0"/>
        <v>-1.3460104780482125E-3</v>
      </c>
      <c r="E28" s="53"/>
    </row>
    <row r="29" spans="1:5" ht="15.75" customHeight="1" x14ac:dyDescent="0.3">
      <c r="C29" s="95">
        <v>1212.2</v>
      </c>
      <c r="D29" s="88">
        <f t="shared" si="0"/>
        <v>-9.6304088072794117E-3</v>
      </c>
      <c r="E29" s="53"/>
    </row>
    <row r="30" spans="1:5" ht="15.75" customHeight="1" x14ac:dyDescent="0.3">
      <c r="C30" s="95">
        <v>1204.8599999999999</v>
      </c>
      <c r="D30" s="88">
        <f t="shared" si="0"/>
        <v>-1.5627202075184636E-2</v>
      </c>
      <c r="E30" s="53"/>
    </row>
    <row r="31" spans="1:5" ht="15.75" customHeight="1" x14ac:dyDescent="0.3">
      <c r="C31" s="95">
        <v>1192.52</v>
      </c>
      <c r="D31" s="88">
        <f t="shared" si="0"/>
        <v>-2.5709004381172171E-2</v>
      </c>
      <c r="E31" s="53"/>
    </row>
    <row r="32" spans="1:5" ht="15.75" customHeight="1" x14ac:dyDescent="0.3">
      <c r="C32" s="95">
        <v>1224.2</v>
      </c>
      <c r="D32" s="88">
        <f t="shared" si="0"/>
        <v>1.7361288411858042E-4</v>
      </c>
      <c r="E32" s="53"/>
    </row>
    <row r="33" spans="1:7" ht="15.75" customHeight="1" x14ac:dyDescent="0.3">
      <c r="C33" s="95">
        <v>1231.73</v>
      </c>
      <c r="D33" s="88">
        <f t="shared" si="0"/>
        <v>6.3256364954707989E-3</v>
      </c>
      <c r="E33" s="53"/>
    </row>
    <row r="34" spans="1:7" ht="15.75" customHeight="1" x14ac:dyDescent="0.3">
      <c r="C34" s="95">
        <v>1215.1400000000001</v>
      </c>
      <c r="D34" s="88">
        <f t="shared" si="0"/>
        <v>-7.2284234928868592E-3</v>
      </c>
      <c r="E34" s="53"/>
    </row>
    <row r="35" spans="1:7" ht="15.75" customHeight="1" x14ac:dyDescent="0.3">
      <c r="C35" s="95">
        <v>1229.72</v>
      </c>
      <c r="D35" s="88">
        <f t="shared" si="0"/>
        <v>4.6834628621616418E-3</v>
      </c>
      <c r="E35" s="53"/>
    </row>
    <row r="36" spans="1:7" ht="15.75" customHeight="1" x14ac:dyDescent="0.3">
      <c r="C36" s="95">
        <v>1217.57</v>
      </c>
      <c r="D36" s="88">
        <f t="shared" si="0"/>
        <v>-5.2431091003788998E-3</v>
      </c>
      <c r="E36" s="53"/>
    </row>
    <row r="37" spans="1:7" ht="15.75" customHeight="1" x14ac:dyDescent="0.3">
      <c r="C37" s="95">
        <v>1256.31</v>
      </c>
      <c r="D37" s="88">
        <f t="shared" si="0"/>
        <v>2.6407540926684295E-2</v>
      </c>
      <c r="E37" s="53"/>
    </row>
    <row r="38" spans="1:7" ht="15.75" customHeight="1" x14ac:dyDescent="0.3">
      <c r="C38" s="95">
        <v>1225.1600000000001</v>
      </c>
      <c r="D38" s="88">
        <f t="shared" si="0"/>
        <v>9.5793461943044955E-4</v>
      </c>
      <c r="E38" s="53"/>
    </row>
    <row r="39" spans="1:7" ht="15.75" customHeight="1" x14ac:dyDescent="0.3">
      <c r="C39" s="95">
        <v>1221.78</v>
      </c>
      <c r="D39" s="88">
        <f t="shared" si="0"/>
        <v>-1.8035314903134074E-3</v>
      </c>
      <c r="E39" s="53"/>
    </row>
    <row r="40" spans="1:7" ht="15.75" customHeight="1" x14ac:dyDescent="0.3">
      <c r="C40" s="95">
        <v>1210.43</v>
      </c>
      <c r="D40" s="88">
        <f t="shared" si="0"/>
        <v>-1.1076502006760601E-2</v>
      </c>
      <c r="E40" s="53"/>
    </row>
    <row r="41" spans="1:7" ht="15.75" customHeight="1" x14ac:dyDescent="0.3">
      <c r="C41" s="95">
        <v>1227.22</v>
      </c>
      <c r="D41" s="88">
        <f t="shared" si="0"/>
        <v>2.6409583431203938E-3</v>
      </c>
      <c r="E41" s="53"/>
    </row>
    <row r="42" spans="1:7" ht="15.75" customHeight="1" x14ac:dyDescent="0.3">
      <c r="C42" s="95">
        <v>1218.68</v>
      </c>
      <c r="D42" s="88">
        <f t="shared" si="0"/>
        <v>-4.3362370939244816E-3</v>
      </c>
      <c r="E42" s="53"/>
    </row>
    <row r="43" spans="1:7" ht="16.5" customHeight="1" x14ac:dyDescent="0.3">
      <c r="C43" s="96">
        <v>1250.3800000000001</v>
      </c>
      <c r="D43" s="89">
        <f t="shared" si="0"/>
        <v>2.1562720207518586E-2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24479.75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1223.9875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1223.9875</v>
      </c>
      <c r="C49" s="93">
        <f>-IF(C46&lt;=80,10%,IF(C46&lt;250,7.5%,5%))</f>
        <v>-0.05</v>
      </c>
      <c r="D49" s="81">
        <f>IF(C46&lt;=80,C46*0.9,IF(C46&lt;250,C46*0.925,C46*0.95))</f>
        <v>1162.7881249999998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1285.1868750000001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3" zoomScale="60" zoomScaleNormal="50" zoomScalePageLayoutView="55" workbookViewId="0">
      <selection activeCell="B123" sqref="B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/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125</v>
      </c>
      <c r="C26" s="324"/>
    </row>
    <row r="27" spans="1:14" ht="26.25" customHeight="1" x14ac:dyDescent="0.4">
      <c r="A27" s="109" t="s">
        <v>48</v>
      </c>
      <c r="B27" s="322" t="s">
        <v>126</v>
      </c>
      <c r="C27" s="322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398745070</v>
      </c>
      <c r="E38" s="133">
        <f>IF(ISBLANK(D38),"-",$D$48/$D$45*D38)</f>
        <v>519563274.79406148</v>
      </c>
      <c r="F38" s="132">
        <v>461954488</v>
      </c>
      <c r="G38" s="134">
        <f>IF(ISBLANK(F38),"-",$D$48/$F$45*F38)</f>
        <v>510529685.84227282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397338885</v>
      </c>
      <c r="E39" s="138">
        <f>IF(ISBLANK(D39),"-",$D$48/$D$45*D39)</f>
        <v>517731021.21017069</v>
      </c>
      <c r="F39" s="137">
        <v>459571184</v>
      </c>
      <c r="G39" s="139">
        <f>IF(ISBLANK(F39),"-",$D$48/$F$45*F39)</f>
        <v>507895773.90074271</v>
      </c>
      <c r="I39" s="307">
        <f>ABS((F43/D43*D42)-F42)/D42</f>
        <v>2.4521070045045619E-2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394958417</v>
      </c>
      <c r="E40" s="138">
        <f>IF(ISBLANK(D40),"-",$D$48/$D$45*D40)</f>
        <v>514629280.66796792</v>
      </c>
      <c r="F40" s="137">
        <v>453531916</v>
      </c>
      <c r="G40" s="139">
        <f>IF(ISBLANK(F40),"-",$D$48/$F$45*F40)</f>
        <v>501221467.93587178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397014124</v>
      </c>
      <c r="E42" s="148">
        <f>AVERAGE(E38:E41)</f>
        <v>517307858.89073342</v>
      </c>
      <c r="F42" s="147">
        <f>AVERAGE(F38:F41)</f>
        <v>458352529.33333331</v>
      </c>
      <c r="G42" s="149">
        <f>AVERAGE(G38:G41)</f>
        <v>506548975.89296246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23.07</v>
      </c>
      <c r="E43" s="140"/>
      <c r="F43" s="152">
        <v>27.2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23.07</v>
      </c>
      <c r="E44" s="155"/>
      <c r="F44" s="154">
        <f>F43*$B$34</f>
        <v>27.2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23.023859999999999</v>
      </c>
      <c r="E45" s="158"/>
      <c r="F45" s="157">
        <f>F44*$B$30/100</f>
        <v>27.145599999999998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0.23023859999999999</v>
      </c>
      <c r="E46" s="160"/>
      <c r="F46" s="161">
        <f>F45/$B$45</f>
        <v>0.27145599999999998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511928417.39184785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1.3309318577410963E-2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Efavirenz 600mg.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68">
        <f>Uniformity!C46</f>
        <v>1223.9875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310" t="s">
        <v>94</v>
      </c>
      <c r="D60" s="313">
        <v>1213.2</v>
      </c>
      <c r="E60" s="182">
        <v>1</v>
      </c>
      <c r="F60" s="183">
        <v>481592028</v>
      </c>
      <c r="G60" s="269">
        <f>IF(ISBLANK(F60),"-",(F60/$D$50*$D$47*$B$68)*($B$57/$D$60))</f>
        <v>569.46348615987654</v>
      </c>
      <c r="H60" s="184">
        <f t="shared" ref="H60:H71" si="0">IF(ISBLANK(F60),"-",G60/$B$56)</f>
        <v>0.9491058102664609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1"/>
      <c r="D61" s="314"/>
      <c r="E61" s="185">
        <v>2</v>
      </c>
      <c r="F61" s="137">
        <v>481573664</v>
      </c>
      <c r="G61" s="270">
        <f>IF(ISBLANK(F61),"-",(F61/$D$50*$D$47*$B$68)*($B$57/$D$60))</f>
        <v>569.44177145769731</v>
      </c>
      <c r="H61" s="186">
        <f t="shared" si="0"/>
        <v>0.94906961909616216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480165287</v>
      </c>
      <c r="G62" s="270">
        <f>IF(ISBLANK(F62),"-",(F62/$D$50*$D$47*$B$68)*($B$57/$D$60))</f>
        <v>567.77642147344181</v>
      </c>
      <c r="H62" s="186">
        <f t="shared" si="0"/>
        <v>0.94629403578906968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1223.0999999999999</v>
      </c>
      <c r="E64" s="182">
        <v>1</v>
      </c>
      <c r="F64" s="183">
        <v>488992820</v>
      </c>
      <c r="G64" s="271">
        <f>IF(ISBLANK(F64),"-",(F64/$D$50*$D$47*$B$68)*($B$57/$D$64))</f>
        <v>573.53445210430027</v>
      </c>
      <c r="H64" s="190">
        <f t="shared" si="0"/>
        <v>0.95589075350716712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489487312</v>
      </c>
      <c r="G65" s="272">
        <f>IF(ISBLANK(F65),"-",(F65/$D$50*$D$47*$B$68)*($B$57/$D$64))</f>
        <v>574.11443648585021</v>
      </c>
      <c r="H65" s="191">
        <f t="shared" si="0"/>
        <v>0.95685739414308368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489928522</v>
      </c>
      <c r="G66" s="272">
        <f>IF(ISBLANK(F66),"-",(F66/$D$50*$D$47*$B$68)*($B$57/$D$64))</f>
        <v>574.63192697909074</v>
      </c>
      <c r="H66" s="191">
        <f t="shared" si="0"/>
        <v>0.95771987829848459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2000</v>
      </c>
      <c r="C68" s="310" t="s">
        <v>104</v>
      </c>
      <c r="D68" s="313">
        <v>1232.8</v>
      </c>
      <c r="E68" s="182">
        <v>1</v>
      </c>
      <c r="F68" s="183">
        <v>503447485</v>
      </c>
      <c r="G68" s="271">
        <f>IF(ISBLANK(F68),"-",(F68/$D$50*$D$47*$B$68)*($B$57/$D$68))</f>
        <v>585.84205536108584</v>
      </c>
      <c r="H68" s="186">
        <f t="shared" si="0"/>
        <v>0.9764034256018097</v>
      </c>
    </row>
    <row r="69" spans="1:8" ht="27" customHeight="1" x14ac:dyDescent="0.4">
      <c r="A69" s="172" t="s">
        <v>105</v>
      </c>
      <c r="B69" s="194">
        <f>(D47*B68)/B56*B57</f>
        <v>1223.9875</v>
      </c>
      <c r="C69" s="311"/>
      <c r="D69" s="314"/>
      <c r="E69" s="185">
        <v>2</v>
      </c>
      <c r="F69" s="137">
        <v>502510334</v>
      </c>
      <c r="G69" s="272">
        <f>IF(ISBLANK(F69),"-",(F69/$D$50*$D$47*$B$68)*($B$57/$D$68))</f>
        <v>584.75152956766829</v>
      </c>
      <c r="H69" s="186">
        <f t="shared" si="0"/>
        <v>0.97458588261278045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500357709</v>
      </c>
      <c r="G70" s="272">
        <f>IF(ISBLANK(F70),"-",(F70/$D$50*$D$47*$B$68)*($B$57/$D$68))</f>
        <v>582.2466044424159</v>
      </c>
      <c r="H70" s="186">
        <f t="shared" si="0"/>
        <v>0.97041100740402653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575.75585378126971</v>
      </c>
      <c r="H72" s="199">
        <f>AVERAGE(H60:H71)</f>
        <v>0.95959308963544943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1.1920019251584195E-2</v>
      </c>
      <c r="H73" s="274">
        <f>STDEV(H60:H71)/H72</f>
        <v>1.1920019251584191E-2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>EFAVIRENZ</v>
      </c>
      <c r="D76" s="297"/>
      <c r="E76" s="205" t="s">
        <v>108</v>
      </c>
      <c r="F76" s="205"/>
      <c r="G76" s="206">
        <f>H72</f>
        <v>0.95959308963544943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">
        <v>125</v>
      </c>
      <c r="C79" s="320"/>
    </row>
    <row r="80" spans="1:8" ht="26.25" customHeight="1" x14ac:dyDescent="0.4">
      <c r="A80" s="109" t="s">
        <v>48</v>
      </c>
      <c r="B80" s="320" t="s">
        <v>127</v>
      </c>
      <c r="C80" s="320"/>
    </row>
    <row r="81" spans="1:12" ht="27" customHeight="1" x14ac:dyDescent="0.4">
      <c r="A81" s="109" t="s">
        <v>6</v>
      </c>
      <c r="B81" s="208">
        <v>99.3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0.22570000000000001</v>
      </c>
      <c r="E91" s="133">
        <f>IF(ISBLANK(D91),"-",$D$101/$D$98*D91)</f>
        <v>0.26687793024754497</v>
      </c>
      <c r="F91" s="132">
        <v>0.21240000000000001</v>
      </c>
      <c r="G91" s="134">
        <f>IF(ISBLANK(F91),"-",$D$101/$F$98*F91)</f>
        <v>0.26502502546217949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0.21970000000000001</v>
      </c>
      <c r="E92" s="138">
        <f>IF(ISBLANK(D92),"-",$D$101/$D$98*D92)</f>
        <v>0.25978325775536387</v>
      </c>
      <c r="F92" s="137">
        <v>0.21210000000000001</v>
      </c>
      <c r="G92" s="139">
        <f>IF(ISBLANK(F92),"-",$D$101/$F$98*F92)</f>
        <v>0.26465069633017074</v>
      </c>
      <c r="I92" s="307">
        <f>ABS((F96/D96*D95)-F95)/D95</f>
        <v>9.2774585535033254E-3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0.21629999999999999</v>
      </c>
      <c r="E93" s="138">
        <f>IF(ISBLANK(D93),"-",$D$101/$D$98*D93)</f>
        <v>0.25576294334312794</v>
      </c>
      <c r="F93" s="137">
        <v>0.2087</v>
      </c>
      <c r="G93" s="139">
        <f>IF(ISBLANK(F93),"-",$D$101/$F$98*F93)</f>
        <v>0.26040829950073852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0.22056666666666666</v>
      </c>
      <c r="E95" s="148">
        <f>AVERAGE(E91:E94)</f>
        <v>0.26080804378201222</v>
      </c>
      <c r="F95" s="218">
        <f>AVERAGE(F91:F94)</f>
        <v>0.21106666666666665</v>
      </c>
      <c r="G95" s="219">
        <f>AVERAGE(G91:G94)</f>
        <v>0.2633613404310296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20.440000000000001</v>
      </c>
      <c r="E96" s="140"/>
      <c r="F96" s="152">
        <v>19.37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20.440000000000001</v>
      </c>
      <c r="E97" s="155"/>
      <c r="F97" s="154">
        <f>F96*$B$87</f>
        <v>19.37</v>
      </c>
    </row>
    <row r="98" spans="1:10" ht="19.5" customHeight="1" x14ac:dyDescent="0.3">
      <c r="A98" s="124" t="s">
        <v>76</v>
      </c>
      <c r="B98" s="224">
        <f>(B97/B96)*(B95/B94)*(B93/B92)*(B91/B90)*B89</f>
        <v>2000</v>
      </c>
      <c r="C98" s="222" t="s">
        <v>115</v>
      </c>
      <c r="D98" s="225">
        <f>D97*$B$83/100</f>
        <v>20.29692</v>
      </c>
      <c r="E98" s="158"/>
      <c r="F98" s="157">
        <f>F97*$B$83/100</f>
        <v>19.23441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1.014846E-2</v>
      </c>
      <c r="E99" s="158"/>
      <c r="F99" s="161">
        <f>F98/$B$98</f>
        <v>9.6172050000000002E-3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1.2E-2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0.26208469210652091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1.5849644475510405E-2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2</v>
      </c>
      <c r="C108" s="243">
        <v>1</v>
      </c>
      <c r="D108" s="244">
        <v>0.2442</v>
      </c>
      <c r="E108" s="275">
        <f t="shared" ref="E108:E113" si="1">IF(ISBLANK(D108),"-",D108/$D$103*$D$100*$B$116)</f>
        <v>559.05592509939061</v>
      </c>
      <c r="F108" s="245">
        <f t="shared" ref="F108:F113" si="2">IF(ISBLANK(D108), "-", E108/$B$56)</f>
        <v>0.93175987516565106</v>
      </c>
    </row>
    <row r="109" spans="1:10" ht="26.25" customHeight="1" x14ac:dyDescent="0.4">
      <c r="A109" s="124" t="s">
        <v>95</v>
      </c>
      <c r="B109" s="125">
        <v>100</v>
      </c>
      <c r="C109" s="243">
        <v>2</v>
      </c>
      <c r="D109" s="244">
        <v>0.24440000000000001</v>
      </c>
      <c r="E109" s="276">
        <f t="shared" si="1"/>
        <v>559.51379235991431</v>
      </c>
      <c r="F109" s="246">
        <f t="shared" si="2"/>
        <v>0.93252298726652383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0.24929999999999999</v>
      </c>
      <c r="E110" s="276">
        <f t="shared" si="1"/>
        <v>570.7315402427439</v>
      </c>
      <c r="F110" s="246">
        <f t="shared" si="2"/>
        <v>0.95121923373790651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0.24809999999999999</v>
      </c>
      <c r="E111" s="276">
        <f t="shared" si="1"/>
        <v>567.98433667960194</v>
      </c>
      <c r="F111" s="246">
        <f t="shared" si="2"/>
        <v>0.94664056113266992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0.2429</v>
      </c>
      <c r="E112" s="276">
        <f t="shared" si="1"/>
        <v>556.07978790598679</v>
      </c>
      <c r="F112" s="246">
        <f t="shared" si="2"/>
        <v>0.92679964650997804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0.24429999999999999</v>
      </c>
      <c r="E113" s="277">
        <f t="shared" si="1"/>
        <v>559.28485872965246</v>
      </c>
      <c r="F113" s="249">
        <f t="shared" si="2"/>
        <v>0.93214143121608739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562.1083735028817</v>
      </c>
      <c r="F115" s="252">
        <f>AVERAGE(F108:F113)</f>
        <v>0.93684728917146953</v>
      </c>
    </row>
    <row r="116" spans="1:10" ht="27" customHeight="1" x14ac:dyDescent="0.4">
      <c r="A116" s="124" t="s">
        <v>103</v>
      </c>
      <c r="B116" s="156">
        <f>(B115/B114)*(B113/B112)*(B111/B110)*(B109/B108)*B107</f>
        <v>50000</v>
      </c>
      <c r="C116" s="253"/>
      <c r="D116" s="216" t="s">
        <v>84</v>
      </c>
      <c r="E116" s="254">
        <f>STDEV(E108:E113)/E115</f>
        <v>1.035049156421467E-2</v>
      </c>
      <c r="F116" s="254">
        <f>STDEV(F108:F113)/F115</f>
        <v>1.0350491564214664E-2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>EFAVIRENZ</v>
      </c>
      <c r="D120" s="297"/>
      <c r="E120" s="205" t="s">
        <v>124</v>
      </c>
      <c r="F120" s="205"/>
      <c r="G120" s="206">
        <f>F115</f>
        <v>0.93684728917146953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Efavirenz</vt:lpstr>
      <vt:lpstr>Efavirenz!Print_Area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2016-04-25T11:01:24Z</cp:lastPrinted>
  <dcterms:created xsi:type="dcterms:W3CDTF">2005-07-05T10:19:27Z</dcterms:created>
  <dcterms:modified xsi:type="dcterms:W3CDTF">2016-05-06T12:15:04Z</dcterms:modified>
</cp:coreProperties>
</file>