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495" windowWidth="20775" windowHeight="9405" activeTab="3"/>
  </bookViews>
  <sheets>
    <sheet name="Uniformity" sheetId="2" r:id="rId1"/>
    <sheet name="SST " sheetId="1" r:id="rId2"/>
    <sheet name="Sulfamethoxazole" sheetId="3" r:id="rId3"/>
    <sheet name="Trimethoprim" sheetId="5" r:id="rId4"/>
  </sheets>
  <definedNames>
    <definedName name="_xlnm.Print_Area" localSheetId="1">'SST '!$A$1:$G$52</definedName>
    <definedName name="_xlnm.Print_Area" localSheetId="2">Sulfamethoxazole!$A$1:$H$126</definedName>
    <definedName name="_xlnm.Print_Area" localSheetId="3">Trimethoprim!$A$1:$H$126</definedName>
    <definedName name="_xlnm.Print_Area" localSheetId="0">Uniformity!$A$1:$F$54</definedName>
  </definedNames>
  <calcPr calcId="124519"/>
</workbook>
</file>

<file path=xl/calcChain.xml><?xml version="1.0" encoding="utf-8"?>
<calcChain xmlns="http://schemas.openxmlformats.org/spreadsheetml/2006/main">
  <c r="C120" i="5"/>
  <c r="B116"/>
  <c r="D101"/>
  <c r="E93" s="1"/>
  <c r="D100"/>
  <c r="B98"/>
  <c r="F96"/>
  <c r="F97" s="1"/>
  <c r="F98" s="1"/>
  <c r="D96"/>
  <c r="F95"/>
  <c r="D95"/>
  <c r="G94"/>
  <c r="E94"/>
  <c r="B87"/>
  <c r="D97" s="1"/>
  <c r="D98" s="1"/>
  <c r="D99" s="1"/>
  <c r="B83"/>
  <c r="B81"/>
  <c r="B80"/>
  <c r="B79"/>
  <c r="C76"/>
  <c r="H71"/>
  <c r="G71"/>
  <c r="D68"/>
  <c r="B68"/>
  <c r="B69" s="1"/>
  <c r="H67"/>
  <c r="G67"/>
  <c r="D64"/>
  <c r="H63"/>
  <c r="G63"/>
  <c r="D60"/>
  <c r="B57"/>
  <c r="C56"/>
  <c r="B55"/>
  <c r="D49"/>
  <c r="D48"/>
  <c r="B45"/>
  <c r="D44"/>
  <c r="D45" s="1"/>
  <c r="F42"/>
  <c r="D42"/>
  <c r="I39" s="1"/>
  <c r="G41"/>
  <c r="E41"/>
  <c r="B34"/>
  <c r="F44" s="1"/>
  <c r="F45" s="1"/>
  <c r="B30"/>
  <c r="E40" l="1"/>
  <c r="D46"/>
  <c r="E38"/>
  <c r="F99"/>
  <c r="G92"/>
  <c r="F46"/>
  <c r="G38"/>
  <c r="G39"/>
  <c r="E39"/>
  <c r="G40"/>
  <c r="E91"/>
  <c r="I92"/>
  <c r="D102"/>
  <c r="E92"/>
  <c r="G93"/>
  <c r="G91"/>
  <c r="D103" l="1"/>
  <c r="E95"/>
  <c r="D105"/>
  <c r="D50"/>
  <c r="E42"/>
  <c r="D52"/>
  <c r="G42"/>
  <c r="G95"/>
  <c r="G69" l="1"/>
  <c r="H69" s="1"/>
  <c r="G68"/>
  <c r="H68" s="1"/>
  <c r="G65"/>
  <c r="H65" s="1"/>
  <c r="G70"/>
  <c r="H70" s="1"/>
  <c r="G62"/>
  <c r="H62" s="1"/>
  <c r="G60"/>
  <c r="G66"/>
  <c r="H66" s="1"/>
  <c r="G64"/>
  <c r="H64" s="1"/>
  <c r="G61"/>
  <c r="H61" s="1"/>
  <c r="D51"/>
  <c r="E113"/>
  <c r="F113" s="1"/>
  <c r="E111"/>
  <c r="F111" s="1"/>
  <c r="E109"/>
  <c r="F109" s="1"/>
  <c r="D104"/>
  <c r="E112"/>
  <c r="F112" s="1"/>
  <c r="E110"/>
  <c r="F110" s="1"/>
  <c r="E108"/>
  <c r="G74" l="1"/>
  <c r="G72"/>
  <c r="G73" s="1"/>
  <c r="H60"/>
  <c r="E117"/>
  <c r="F108"/>
  <c r="E115"/>
  <c r="E116" s="1"/>
  <c r="B30" i="1"/>
  <c r="E17"/>
  <c r="B8"/>
  <c r="F96" i="3"/>
  <c r="D96"/>
  <c r="C120"/>
  <c r="B116"/>
  <c r="D100" s="1"/>
  <c r="B98"/>
  <c r="F97"/>
  <c r="F95"/>
  <c r="D95"/>
  <c r="I92"/>
  <c r="B87"/>
  <c r="D97" s="1"/>
  <c r="B83"/>
  <c r="B81"/>
  <c r="B80"/>
  <c r="B79"/>
  <c r="C76"/>
  <c r="B68"/>
  <c r="B57"/>
  <c r="C56"/>
  <c r="B55"/>
  <c r="B45"/>
  <c r="D48" s="1"/>
  <c r="F42"/>
  <c r="D42"/>
  <c r="B34"/>
  <c r="D44" s="1"/>
  <c r="D45" s="1"/>
  <c r="B30"/>
  <c r="D50" i="2"/>
  <c r="C50"/>
  <c r="D49"/>
  <c r="C49"/>
  <c r="B49"/>
  <c r="C46"/>
  <c r="C45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C19"/>
  <c r="B41" i="1"/>
  <c r="E39"/>
  <c r="D39"/>
  <c r="C39"/>
  <c r="B39"/>
  <c r="B40" s="1"/>
  <c r="B19"/>
  <c r="F17"/>
  <c r="D17"/>
  <c r="C17"/>
  <c r="B17"/>
  <c r="B18" s="1"/>
  <c r="H74" i="5" l="1"/>
  <c r="H72"/>
  <c r="F115"/>
  <c r="F117"/>
  <c r="D101" i="3"/>
  <c r="G92" s="1"/>
  <c r="F98"/>
  <c r="D98"/>
  <c r="D99" s="1"/>
  <c r="F44"/>
  <c r="F45" s="1"/>
  <c r="F46" s="1"/>
  <c r="D102"/>
  <c r="F99"/>
  <c r="G94"/>
  <c r="I39"/>
  <c r="D46"/>
  <c r="G40"/>
  <c r="G38"/>
  <c r="E40"/>
  <c r="D49"/>
  <c r="E38"/>
  <c r="G41"/>
  <c r="E41"/>
  <c r="E39"/>
  <c r="B69"/>
  <c r="G76" i="5" l="1"/>
  <c r="H73"/>
  <c r="G120"/>
  <c r="F116"/>
  <c r="G91" i="3"/>
  <c r="G93"/>
  <c r="G95" s="1"/>
  <c r="E92"/>
  <c r="E91"/>
  <c r="E94"/>
  <c r="G39"/>
  <c r="G42" s="1"/>
  <c r="E93"/>
  <c r="E42"/>
  <c r="D103" l="1"/>
  <c r="E109" s="1"/>
  <c r="F109" s="1"/>
  <c r="D52"/>
  <c r="D50"/>
  <c r="G67" s="1"/>
  <c r="H67" s="1"/>
  <c r="D105"/>
  <c r="E95"/>
  <c r="D51"/>
  <c r="G70"/>
  <c r="H70" s="1"/>
  <c r="G68"/>
  <c r="H68" s="1"/>
  <c r="G71"/>
  <c r="H71" s="1"/>
  <c r="G65"/>
  <c r="H65" s="1"/>
  <c r="G60"/>
  <c r="G61"/>
  <c r="H61" s="1"/>
  <c r="G64"/>
  <c r="H64" s="1"/>
  <c r="E113" l="1"/>
  <c r="F113" s="1"/>
  <c r="D104"/>
  <c r="E108"/>
  <c r="F108" s="1"/>
  <c r="E110"/>
  <c r="F110" s="1"/>
  <c r="E111"/>
  <c r="F111" s="1"/>
  <c r="E112"/>
  <c r="F112" s="1"/>
  <c r="G69"/>
  <c r="H69" s="1"/>
  <c r="G62"/>
  <c r="H62" s="1"/>
  <c r="G66"/>
  <c r="H66" s="1"/>
  <c r="G63"/>
  <c r="H63" s="1"/>
  <c r="H60"/>
  <c r="E117" l="1"/>
  <c r="E115"/>
  <c r="E116" s="1"/>
  <c r="G72"/>
  <c r="G73" s="1"/>
  <c r="G74"/>
  <c r="F117"/>
  <c r="F115"/>
  <c r="H72"/>
  <c r="H74"/>
  <c r="G120" l="1"/>
  <c r="F116"/>
  <c r="H73"/>
  <c r="G76"/>
</calcChain>
</file>

<file path=xl/sharedStrings.xml><?xml version="1.0" encoding="utf-8"?>
<sst xmlns="http://schemas.openxmlformats.org/spreadsheetml/2006/main" count="396" uniqueCount="133">
  <si>
    <t>HPLC System Suitability Report</t>
  </si>
  <si>
    <t>Analysis Data</t>
  </si>
  <si>
    <t>Sample(s)</t>
  </si>
  <si>
    <t>Reference Substance:</t>
  </si>
  <si>
    <t>Sulfran DS Tablets</t>
  </si>
  <si>
    <t>% age Purity:</t>
  </si>
  <si>
    <t>NDQB201603831</t>
  </si>
  <si>
    <t>Weight (mg):</t>
  </si>
  <si>
    <t>each tablets contains sulphamethoxazole 800mg Trimethoprim 160mg.</t>
  </si>
  <si>
    <t>Standard Conc (mg/mL):</t>
  </si>
  <si>
    <t>Each tablet contains: Sulphamethoxazole B.P. 800 mg and Trimethoprim B.P. 160 mg.</t>
  </si>
  <si>
    <t>2016-04-01 12:02:00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</si>
  <si>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</si>
  <si>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</si>
  <si>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</si>
  <si>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</si>
  <si>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</si>
  <si>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</si>
  <si>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</si>
  <si>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</si>
  <si>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</si>
  <si>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</si>
  <si>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</si>
  <si>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</si>
  <si>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</si>
  <si>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</si>
  <si>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</si>
  <si>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</si>
  <si>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</si>
  <si>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</si>
  <si>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</si>
  <si>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</si>
  <si>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</si>
  <si>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</si>
  <si>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</si>
  <si>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</si>
  <si>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</si>
  <si>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</si>
  <si>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</si>
  <si>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</si>
  <si>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</si>
  <si>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</si>
  <si>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</si>
  <si>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</si>
  <si>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</si>
  <si>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</si>
  <si>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</si>
  <si>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</si>
  <si>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</si>
  <si>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</si>
  <si>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</si>
  <si>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</si>
  <si>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</si>
  <si>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</si>
  <si>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</si>
  <si>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</si>
  <si>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</si>
  <si>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</si>
  <si>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</si>
  <si>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</si>
  <si>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</si>
  <si>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</si>
  <si>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</si>
  <si>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</si>
  <si>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</si>
  <si>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</si>
  <si>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</si>
  <si>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</si>
  <si>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</si>
  <si>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</si>
  <si>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</si>
  <si>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</si>
  <si>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</si>
  <si>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</si>
  <si>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</si>
  <si>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</si>
  <si>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</si>
  <si>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</si>
  <si>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</si>
  <si>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</si>
  <si>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</si>
  <si>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</si>
  <si>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</si>
  <si>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</si>
  <si>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</si>
  <si>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</si>
  <si>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</si>
  <si>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</si>
  <si>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</si>
  <si>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</si>
  <si>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</si>
  <si>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</si>
  <si>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</si>
  <si>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</si>
  <si>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</si>
  <si>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</si>
  <si>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</si>
  <si>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</si>
  <si>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</si>
  <si>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</si>
  <si>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</si>
  <si>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</si>
  <si>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</si>
  <si>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</si>
  <si>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</si>
  <si>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</si>
  <si>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</si>
  <si>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</si>
  <si>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</si>
  <si>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</si>
  <si>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</si>
  <si>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</si>
  <si>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</si>
  <si>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</si>
  <si>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</si>
  <si>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</si>
  <si>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</si>
  <si>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</si>
  <si>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</si>
  <si>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</si>
  <si>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</si>
  <si>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</si>
  <si>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</si>
  <si>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Sulfamethoxazole</t>
  </si>
  <si>
    <t>S12-1</t>
  </si>
  <si>
    <t>Assay &amp; Dissolution</t>
  </si>
  <si>
    <t>Sulfran DS Tablets &amp; Cosatrim Suspension</t>
  </si>
  <si>
    <t>Trimethoprim</t>
  </si>
  <si>
    <r>
      <t xml:space="preserve">Resolution - NLT than </t>
    </r>
    <r>
      <rPr>
        <b/>
        <sz val="12"/>
        <color rgb="FF000000"/>
        <rFont val="Book Antiqua"/>
        <family val="1"/>
      </rPr>
      <t>5.0</t>
    </r>
    <r>
      <rPr>
        <sz val="12"/>
        <color rgb="FF000000"/>
        <rFont val="Book Antiqua"/>
      </rPr>
      <t xml:space="preserve"> between sulfamethoxazole and trimethoprim</t>
    </r>
  </si>
  <si>
    <t>Resolution</t>
  </si>
  <si>
    <t>T7-001</t>
  </si>
  <si>
    <t>Dr. Sarah Mwangi</t>
  </si>
  <si>
    <t>15th April 2016</t>
  </si>
</sst>
</file>

<file path=xl/styles.xml><?xml version="1.0" encoding="utf-8"?>
<styleSheet xmlns="http://schemas.openxmlformats.org/spreadsheetml/2006/main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8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25" fillId="2" borderId="0" xfId="0" applyFont="1" applyFill="1"/>
    <xf numFmtId="0" fontId="24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27" fillId="3" borderId="0" xfId="0" applyFont="1" applyFill="1" applyAlignment="1" applyProtection="1">
      <alignment horizontal="left"/>
      <protection locked="0"/>
    </xf>
    <xf numFmtId="0" fontId="26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H54"/>
  <sheetViews>
    <sheetView view="pageBreakPreview" topLeftCell="A10" workbookViewId="0">
      <selection activeCell="F33" sqref="F33"/>
    </sheetView>
  </sheetViews>
  <sheetFormatPr defaultRowHeight="15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/>
    <row r="11" spans="1:7" ht="13.5" customHeight="1">
      <c r="A11" s="449" t="s">
        <v>29</v>
      </c>
      <c r="B11" s="450"/>
      <c r="C11" s="450"/>
      <c r="D11" s="450"/>
      <c r="E11" s="450"/>
      <c r="F11" s="451"/>
      <c r="G11" s="89"/>
    </row>
    <row r="12" spans="1:7" ht="16.5" customHeight="1">
      <c r="A12" s="448" t="s">
        <v>30</v>
      </c>
      <c r="B12" s="448"/>
      <c r="C12" s="448"/>
      <c r="D12" s="448"/>
      <c r="E12" s="448"/>
      <c r="F12" s="448"/>
      <c r="G12" s="88"/>
    </row>
    <row r="14" spans="1:7" ht="16.5" customHeight="1">
      <c r="A14" s="453" t="s">
        <v>31</v>
      </c>
      <c r="B14" s="453"/>
      <c r="C14" s="58" t="s">
        <v>4</v>
      </c>
    </row>
    <row r="15" spans="1:7" ht="16.5" customHeight="1">
      <c r="A15" s="453" t="s">
        <v>32</v>
      </c>
      <c r="B15" s="453"/>
      <c r="C15" s="58" t="s">
        <v>6</v>
      </c>
    </row>
    <row r="16" spans="1:7" ht="16.5" customHeight="1">
      <c r="A16" s="453" t="s">
        <v>33</v>
      </c>
      <c r="B16" s="453"/>
      <c r="C16" s="58" t="s">
        <v>8</v>
      </c>
    </row>
    <row r="17" spans="1:5" ht="16.5" customHeight="1">
      <c r="A17" s="453" t="s">
        <v>34</v>
      </c>
      <c r="B17" s="453"/>
      <c r="C17" s="58" t="s">
        <v>10</v>
      </c>
    </row>
    <row r="18" spans="1:5" ht="16.5" customHeight="1">
      <c r="A18" s="453" t="s">
        <v>35</v>
      </c>
      <c r="B18" s="453"/>
      <c r="C18" s="95" t="s">
        <v>11</v>
      </c>
    </row>
    <row r="19" spans="1:5" ht="16.5" customHeight="1">
      <c r="A19" s="453" t="s">
        <v>36</v>
      </c>
      <c r="B19" s="453"/>
      <c r="C19" s="95" t="str">
        <f>#REF!</f>
        <v>0</v>
      </c>
    </row>
    <row r="20" spans="1:5" ht="16.5" customHeight="1">
      <c r="A20" s="60"/>
      <c r="B20" s="60"/>
      <c r="C20" s="75"/>
    </row>
    <row r="21" spans="1:5" ht="16.5" customHeight="1">
      <c r="A21" s="448" t="s">
        <v>1</v>
      </c>
      <c r="B21" s="448"/>
      <c r="C21" s="57" t="s">
        <v>37</v>
      </c>
      <c r="D21" s="64"/>
    </row>
    <row r="22" spans="1:5" ht="15.75" customHeight="1">
      <c r="A22" s="452"/>
      <c r="B22" s="452"/>
      <c r="C22" s="55"/>
      <c r="D22" s="452"/>
      <c r="E22" s="452"/>
    </row>
    <row r="23" spans="1:5" ht="33.75" customHeight="1">
      <c r="C23" s="84" t="s">
        <v>38</v>
      </c>
      <c r="D23" s="83" t="s">
        <v>39</v>
      </c>
      <c r="E23" s="50"/>
    </row>
    <row r="24" spans="1:5" ht="15.75" customHeight="1">
      <c r="C24" s="93">
        <v>1033.08</v>
      </c>
      <c r="D24" s="85">
        <f t="shared" ref="D24:D43" si="0">(C24-$C$46)/$C$46</f>
        <v>-9.2412507336609006E-3</v>
      </c>
      <c r="E24" s="51"/>
    </row>
    <row r="25" spans="1:5" ht="15.75" customHeight="1">
      <c r="C25" s="93">
        <v>1029.1600000000001</v>
      </c>
      <c r="D25" s="86">
        <f t="shared" si="0"/>
        <v>-1.3000663651464E-2</v>
      </c>
      <c r="E25" s="51"/>
    </row>
    <row r="26" spans="1:5" ht="15.75" customHeight="1">
      <c r="C26" s="93">
        <v>1044.92</v>
      </c>
      <c r="D26" s="86">
        <f t="shared" si="0"/>
        <v>2.1137107323568002E-3</v>
      </c>
      <c r="E26" s="51"/>
    </row>
    <row r="27" spans="1:5" ht="15.75" customHeight="1">
      <c r="C27" s="93">
        <v>1048.33</v>
      </c>
      <c r="D27" s="86">
        <f t="shared" si="0"/>
        <v>5.3840163572824E-3</v>
      </c>
      <c r="E27" s="51"/>
    </row>
    <row r="28" spans="1:5" ht="15.75" customHeight="1">
      <c r="C28" s="93">
        <v>1049.69</v>
      </c>
      <c r="D28" s="86">
        <f t="shared" si="0"/>
        <v>6.6883024716223004E-3</v>
      </c>
      <c r="E28" s="51"/>
    </row>
    <row r="29" spans="1:5" ht="15.75" customHeight="1">
      <c r="C29" s="93">
        <v>1046.97</v>
      </c>
      <c r="D29" s="86">
        <f t="shared" si="0"/>
        <v>4.0797302429426002E-3</v>
      </c>
      <c r="E29" s="51"/>
    </row>
    <row r="30" spans="1:5" ht="15.75" customHeight="1">
      <c r="C30" s="93">
        <v>1048.68</v>
      </c>
      <c r="D30" s="86">
        <f t="shared" si="0"/>
        <v>5.7196782249435002E-3</v>
      </c>
      <c r="E30" s="51"/>
    </row>
    <row r="31" spans="1:5" ht="15.75" customHeight="1">
      <c r="C31" s="93">
        <v>1052.1400000000001</v>
      </c>
      <c r="D31" s="86">
        <f t="shared" si="0"/>
        <v>9.0379355452492992E-3</v>
      </c>
      <c r="E31" s="51"/>
    </row>
    <row r="32" spans="1:5" ht="15.75" customHeight="1">
      <c r="C32" s="93">
        <v>1026.9100000000001</v>
      </c>
      <c r="D32" s="86">
        <f t="shared" si="0"/>
        <v>-1.5158489943570001E-2</v>
      </c>
      <c r="E32" s="51"/>
    </row>
    <row r="33" spans="1:7" ht="15.75" customHeight="1">
      <c r="C33" s="93">
        <v>1067.8</v>
      </c>
      <c r="D33" s="86">
        <f t="shared" si="0"/>
        <v>2.405640653831E-2</v>
      </c>
      <c r="E33" s="51"/>
    </row>
    <row r="34" spans="1:7" ht="15.75" customHeight="1">
      <c r="C34" s="93">
        <v>1034.72</v>
      </c>
      <c r="D34" s="86">
        <f t="shared" si="0"/>
        <v>-7.6684351251921998E-3</v>
      </c>
      <c r="E34" s="51"/>
    </row>
    <row r="35" spans="1:7" ht="15.75" customHeight="1">
      <c r="C35" s="93">
        <v>1040.6500000000001</v>
      </c>
      <c r="D35" s="86">
        <f t="shared" si="0"/>
        <v>-1.9813640531073E-3</v>
      </c>
      <c r="E35" s="51"/>
    </row>
    <row r="36" spans="1:7" ht="15.75" customHeight="1">
      <c r="C36" s="93">
        <v>1038.06</v>
      </c>
      <c r="D36" s="86">
        <f t="shared" si="0"/>
        <v>-4.4652618737987997E-3</v>
      </c>
      <c r="E36" s="51"/>
    </row>
    <row r="37" spans="1:7" ht="15.75" customHeight="1">
      <c r="C37" s="93">
        <v>1035.83</v>
      </c>
      <c r="D37" s="86">
        <f t="shared" si="0"/>
        <v>-6.6039074877531001E-3</v>
      </c>
      <c r="E37" s="51"/>
    </row>
    <row r="38" spans="1:7" ht="15.75" customHeight="1">
      <c r="C38" s="93">
        <v>1038.31</v>
      </c>
      <c r="D38" s="86">
        <f t="shared" si="0"/>
        <v>-4.2255033968980997E-3</v>
      </c>
      <c r="E38" s="51"/>
    </row>
    <row r="39" spans="1:7" ht="15.75" customHeight="1">
      <c r="C39" s="93">
        <v>1038.1400000000001</v>
      </c>
      <c r="D39" s="86">
        <f t="shared" si="0"/>
        <v>-4.3885391611903999E-3</v>
      </c>
      <c r="E39" s="51"/>
    </row>
    <row r="40" spans="1:7" ht="15.75" customHeight="1">
      <c r="C40" s="93">
        <v>1040.81</v>
      </c>
      <c r="D40" s="86">
        <f t="shared" si="0"/>
        <v>-1.827918627891E-3</v>
      </c>
      <c r="E40" s="51"/>
    </row>
    <row r="41" spans="1:7" ht="15.75" customHeight="1">
      <c r="C41" s="93">
        <v>1037.8499999999999</v>
      </c>
      <c r="D41" s="86">
        <f t="shared" si="0"/>
        <v>-4.6666589943954E-3</v>
      </c>
      <c r="E41" s="51"/>
    </row>
    <row r="42" spans="1:7" ht="15.75" customHeight="1">
      <c r="C42" s="93">
        <v>1043.8599999999999</v>
      </c>
      <c r="D42" s="86">
        <f t="shared" si="0"/>
        <v>1.0971347902976999E-3</v>
      </c>
      <c r="E42" s="51"/>
    </row>
    <row r="43" spans="1:7" ht="16.5" customHeight="1">
      <c r="C43" s="94">
        <v>1058.4100000000001</v>
      </c>
      <c r="D43" s="87">
        <f t="shared" si="0"/>
        <v>1.5051078145919E-2</v>
      </c>
      <c r="E43" s="51"/>
    </row>
    <row r="44" spans="1:7" ht="16.5" customHeight="1">
      <c r="C44" s="52"/>
      <c r="D44" s="51"/>
      <c r="E44" s="53"/>
    </row>
    <row r="45" spans="1:7" ht="16.5" customHeight="1">
      <c r="B45" s="80" t="s">
        <v>40</v>
      </c>
      <c r="C45" s="81">
        <f>SUM(C24:C44)</f>
        <v>20854.32</v>
      </c>
      <c r="D45" s="76"/>
      <c r="E45" s="52"/>
    </row>
    <row r="46" spans="1:7" ht="17.25" customHeight="1">
      <c r="B46" s="80" t="s">
        <v>41</v>
      </c>
      <c r="C46" s="82">
        <f>AVERAGE(C24:C44)</f>
        <v>1042.7159999999999</v>
      </c>
      <c r="E46" s="54"/>
    </row>
    <row r="47" spans="1:7" ht="17.25" customHeight="1">
      <c r="A47" s="58"/>
      <c r="B47" s="77"/>
      <c r="D47" s="56"/>
      <c r="E47" s="54"/>
    </row>
    <row r="48" spans="1:7" ht="33.75" customHeight="1">
      <c r="B48" s="90" t="s">
        <v>41</v>
      </c>
      <c r="C48" s="83" t="s">
        <v>42</v>
      </c>
      <c r="D48" s="78"/>
      <c r="G48" s="56"/>
    </row>
    <row r="49" spans="1:6" ht="17.25" customHeight="1">
      <c r="B49" s="446">
        <f>C46</f>
        <v>1042.7159999999999</v>
      </c>
      <c r="C49" s="91">
        <f>-IF(C46&lt;=80,10%,IF(C46&lt;250,7.5%,5%))</f>
        <v>-0.05</v>
      </c>
      <c r="D49" s="79">
        <f>IF(C46&lt;=80,C46*0.9,IF(C46&lt;250,C46*0.925,C46*0.95))</f>
        <v>990.58019999999999</v>
      </c>
    </row>
    <row r="50" spans="1:6" ht="17.25" customHeight="1">
      <c r="B50" s="447"/>
      <c r="C50" s="92">
        <f>IF(C46&lt;=80, 10%, IF(C46&lt;250, 7.5%, 5%))</f>
        <v>0.05</v>
      </c>
      <c r="D50" s="79">
        <f>IF(C46&lt;=80, C46*1.1, IF(C46&lt;250, C46*1.075, C46*1.05))</f>
        <v>1094.8517999999999</v>
      </c>
    </row>
    <row r="51" spans="1:6" ht="16.5" customHeight="1">
      <c r="A51" s="61"/>
      <c r="B51" s="62"/>
      <c r="C51" s="58"/>
      <c r="D51" s="63"/>
      <c r="E51" s="58"/>
      <c r="F51" s="64"/>
    </row>
    <row r="52" spans="1:6" ht="16.5" customHeight="1">
      <c r="A52" s="58"/>
      <c r="B52" s="65" t="s">
        <v>24</v>
      </c>
      <c r="C52" s="65"/>
      <c r="D52" s="66" t="s">
        <v>25</v>
      </c>
      <c r="E52" s="67"/>
      <c r="F52" s="66" t="s">
        <v>26</v>
      </c>
    </row>
    <row r="53" spans="1:6" ht="34.5" customHeight="1">
      <c r="A53" s="68" t="s">
        <v>27</v>
      </c>
      <c r="B53" s="69"/>
      <c r="C53" s="70"/>
      <c r="D53" s="69"/>
      <c r="E53" s="59"/>
      <c r="F53" s="71"/>
    </row>
    <row r="54" spans="1:6" ht="34.5" customHeight="1">
      <c r="A54" s="68" t="s">
        <v>28</v>
      </c>
      <c r="B54" s="72"/>
      <c r="C54" s="73"/>
      <c r="D54" s="72"/>
      <c r="E54" s="59"/>
      <c r="F54" s="74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view="pageBreakPreview" zoomScale="60" workbookViewId="0">
      <selection activeCell="E51" sqref="E51"/>
    </sheetView>
  </sheetViews>
  <sheetFormatPr defaultRowHeight="13.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" spans="1:10" ht="15" customHeight="1">
      <c r="A1" s="1"/>
      <c r="B1" s="2"/>
      <c r="C1" s="3"/>
      <c r="D1" s="2"/>
      <c r="F1" s="3"/>
    </row>
    <row r="2" spans="1:10" ht="18.75" customHeight="1">
      <c r="A2" s="444" t="s">
        <v>0</v>
      </c>
      <c r="B2" s="444"/>
      <c r="C2" s="444"/>
      <c r="D2" s="444"/>
      <c r="E2" s="444"/>
    </row>
    <row r="3" spans="1:10" ht="16.5" customHeight="1">
      <c r="A3" s="5" t="s">
        <v>1</v>
      </c>
      <c r="B3" s="57" t="s">
        <v>125</v>
      </c>
    </row>
    <row r="4" spans="1:10" ht="16.5" customHeight="1">
      <c r="A4" s="6" t="s">
        <v>2</v>
      </c>
      <c r="B4" s="7" t="s">
        <v>126</v>
      </c>
      <c r="D4" s="8"/>
      <c r="E4" s="9"/>
    </row>
    <row r="5" spans="1:10" ht="16.5" customHeight="1">
      <c r="A5" s="10" t="s">
        <v>3</v>
      </c>
      <c r="B5" s="7" t="s">
        <v>123</v>
      </c>
      <c r="C5" s="9"/>
      <c r="D5" s="9"/>
      <c r="E5" s="9"/>
    </row>
    <row r="6" spans="1:10" ht="16.5" customHeight="1">
      <c r="A6" s="10" t="s">
        <v>5</v>
      </c>
      <c r="B6" s="11">
        <v>99.8</v>
      </c>
      <c r="C6" s="9"/>
      <c r="D6" s="9"/>
      <c r="E6" s="9"/>
    </row>
    <row r="7" spans="1:10" ht="16.5" customHeight="1">
      <c r="A7" s="6" t="s">
        <v>7</v>
      </c>
      <c r="B7" s="11">
        <v>18.22</v>
      </c>
      <c r="C7" s="9"/>
      <c r="D7" s="9"/>
      <c r="E7" s="9"/>
    </row>
    <row r="8" spans="1:10" ht="16.5" customHeight="1">
      <c r="A8" s="6" t="s">
        <v>9</v>
      </c>
      <c r="B8" s="12">
        <f>B7/50*10/20</f>
        <v>0.1822</v>
      </c>
      <c r="C8" s="9"/>
      <c r="D8" s="9"/>
      <c r="E8" s="9"/>
    </row>
    <row r="9" spans="1:10" ht="15.75" customHeight="1">
      <c r="A9" s="9"/>
      <c r="B9" s="9"/>
      <c r="C9" s="9"/>
      <c r="D9" s="9"/>
      <c r="E9" s="9"/>
    </row>
    <row r="10" spans="1:10" ht="16.5" customHeight="1">
      <c r="A10" s="13" t="s">
        <v>12</v>
      </c>
      <c r="B10" s="14" t="s">
        <v>13</v>
      </c>
      <c r="C10" s="13" t="s">
        <v>14</v>
      </c>
      <c r="D10" s="13" t="s">
        <v>15</v>
      </c>
      <c r="E10" s="15" t="s">
        <v>16</v>
      </c>
      <c r="F10" s="443" t="s">
        <v>129</v>
      </c>
      <c r="J10" s="4"/>
    </row>
    <row r="11" spans="1:10" ht="16.5" customHeight="1">
      <c r="A11" s="16">
        <v>1</v>
      </c>
      <c r="B11" s="17">
        <v>174299884</v>
      </c>
      <c r="C11" s="17">
        <v>4417.12</v>
      </c>
      <c r="D11" s="18">
        <v>0.81</v>
      </c>
      <c r="E11" s="19">
        <v>9.94</v>
      </c>
      <c r="F11" s="19">
        <v>11.15</v>
      </c>
      <c r="J11" s="4"/>
    </row>
    <row r="12" spans="1:10" ht="16.5" customHeight="1">
      <c r="A12" s="16">
        <v>2</v>
      </c>
      <c r="B12" s="17">
        <v>175380774</v>
      </c>
      <c r="C12" s="17">
        <v>4538.7700000000004</v>
      </c>
      <c r="D12" s="18">
        <v>0.82</v>
      </c>
      <c r="E12" s="18">
        <v>9.94</v>
      </c>
      <c r="F12" s="18">
        <v>11.26</v>
      </c>
      <c r="J12" s="4"/>
    </row>
    <row r="13" spans="1:10" ht="16.5" customHeight="1">
      <c r="A13" s="16">
        <v>3</v>
      </c>
      <c r="B13" s="17">
        <v>175168254</v>
      </c>
      <c r="C13" s="17">
        <v>4569.5600000000004</v>
      </c>
      <c r="D13" s="18">
        <v>0.82</v>
      </c>
      <c r="E13" s="18">
        <v>9.9499999999999993</v>
      </c>
      <c r="F13" s="18">
        <v>11.32</v>
      </c>
      <c r="J13" s="4"/>
    </row>
    <row r="14" spans="1:10" ht="16.5" customHeight="1">
      <c r="A14" s="16">
        <v>4</v>
      </c>
      <c r="B14" s="17">
        <v>174473863</v>
      </c>
      <c r="C14" s="17">
        <v>4444.6499999999996</v>
      </c>
      <c r="D14" s="18">
        <v>0.81</v>
      </c>
      <c r="E14" s="18">
        <v>9.9499999999999993</v>
      </c>
      <c r="F14" s="18">
        <v>11.2</v>
      </c>
      <c r="J14" s="4"/>
    </row>
    <row r="15" spans="1:10" ht="16.5" customHeight="1">
      <c r="A15" s="16">
        <v>5</v>
      </c>
      <c r="B15" s="17">
        <v>174958067</v>
      </c>
      <c r="C15" s="17">
        <v>4369.9399999999996</v>
      </c>
      <c r="D15" s="18">
        <v>0.81</v>
      </c>
      <c r="E15" s="18">
        <v>9.9499999999999993</v>
      </c>
      <c r="F15" s="18">
        <v>11.12</v>
      </c>
      <c r="J15" s="4"/>
    </row>
    <row r="16" spans="1:10" ht="16.5" customHeight="1">
      <c r="A16" s="16">
        <v>6</v>
      </c>
      <c r="B16" s="20">
        <v>174337487</v>
      </c>
      <c r="C16" s="20">
        <v>4327.78</v>
      </c>
      <c r="D16" s="21">
        <v>0.81</v>
      </c>
      <c r="E16" s="21">
        <v>9.9499999999999993</v>
      </c>
      <c r="F16" s="21">
        <v>11.06</v>
      </c>
      <c r="J16" s="4"/>
    </row>
    <row r="17" spans="1:10" ht="16.5" customHeight="1">
      <c r="A17" s="22" t="s">
        <v>17</v>
      </c>
      <c r="B17" s="23">
        <f>AVERAGE(B11:B16)</f>
        <v>174769721.5</v>
      </c>
      <c r="C17" s="24">
        <f>AVERAGE(C11:C16)</f>
        <v>4444.6366666666663</v>
      </c>
      <c r="D17" s="25">
        <f>AVERAGE(D11:D16)</f>
        <v>0.81333333333333346</v>
      </c>
      <c r="E17" s="25">
        <f>AVERAGE(E11:E16)</f>
        <v>9.9466666666666672</v>
      </c>
      <c r="F17" s="25">
        <f>AVERAGE(F11:F16)</f>
        <v>11.185</v>
      </c>
      <c r="J17" s="4"/>
    </row>
    <row r="18" spans="1:10" ht="16.5" customHeight="1">
      <c r="A18" s="26" t="s">
        <v>18</v>
      </c>
      <c r="B18" s="27">
        <f>(STDEV(B11:B16)/B17)</f>
        <v>2.637990666375674E-3</v>
      </c>
      <c r="C18" s="28"/>
      <c r="D18" s="28"/>
      <c r="E18" s="28"/>
      <c r="F18" s="29"/>
      <c r="G18" s="2"/>
      <c r="J18" s="4"/>
    </row>
    <row r="19" spans="1:10" s="2" customFormat="1" ht="16.5" customHeight="1">
      <c r="A19" s="30" t="s">
        <v>19</v>
      </c>
      <c r="B19" s="31">
        <f>COUNT(B11:B16)</f>
        <v>6</v>
      </c>
      <c r="C19" s="32"/>
      <c r="D19" s="33"/>
      <c r="E19" s="71"/>
      <c r="F19" s="34"/>
    </row>
    <row r="20" spans="1:10" s="2" customFormat="1" ht="15.75" customHeight="1">
      <c r="A20" s="9"/>
      <c r="B20" s="9"/>
      <c r="C20" s="9"/>
      <c r="D20" s="9"/>
      <c r="E20" s="35"/>
    </row>
    <row r="21" spans="1:10" s="2" customFormat="1" ht="16.5" customHeight="1">
      <c r="A21" s="10" t="s">
        <v>20</v>
      </c>
      <c r="B21" s="36" t="s">
        <v>21</v>
      </c>
      <c r="C21" s="37"/>
      <c r="D21" s="37"/>
      <c r="E21" s="38"/>
    </row>
    <row r="22" spans="1:10" ht="16.5" customHeight="1">
      <c r="A22" s="10"/>
      <c r="B22" s="36" t="s">
        <v>22</v>
      </c>
      <c r="C22" s="37"/>
      <c r="D22" s="37"/>
      <c r="E22" s="38"/>
      <c r="F22" s="2"/>
    </row>
    <row r="23" spans="1:10" ht="16.5" customHeight="1">
      <c r="A23" s="10"/>
      <c r="B23" s="39" t="s">
        <v>23</v>
      </c>
      <c r="C23" s="37"/>
      <c r="D23" s="37"/>
      <c r="E23" s="37"/>
    </row>
    <row r="24" spans="1:10" s="42" customFormat="1" ht="16.5" customHeight="1">
      <c r="A24" s="73"/>
      <c r="B24" s="442" t="s">
        <v>128</v>
      </c>
      <c r="C24" s="38"/>
      <c r="D24" s="38"/>
      <c r="E24" s="38"/>
      <c r="F24" s="386"/>
      <c r="G24" s="386"/>
      <c r="H24" s="386"/>
      <c r="I24" s="386"/>
    </row>
    <row r="25" spans="1:10" ht="15.75" customHeight="1">
      <c r="A25" s="9"/>
      <c r="C25" s="9"/>
      <c r="D25" s="9"/>
      <c r="E25" s="9"/>
    </row>
    <row r="26" spans="1:10" ht="16.5" customHeight="1">
      <c r="A26" s="5" t="s">
        <v>1</v>
      </c>
      <c r="B26" s="57" t="s">
        <v>125</v>
      </c>
    </row>
    <row r="27" spans="1:10" ht="16.5" customHeight="1">
      <c r="A27" s="10" t="s">
        <v>3</v>
      </c>
      <c r="B27" s="7" t="s">
        <v>127</v>
      </c>
      <c r="C27" s="9"/>
      <c r="D27" s="9"/>
      <c r="E27" s="9"/>
    </row>
    <row r="28" spans="1:10" ht="16.5" customHeight="1">
      <c r="A28" s="10" t="s">
        <v>5</v>
      </c>
      <c r="B28" s="11">
        <v>99.6</v>
      </c>
      <c r="C28" s="9"/>
      <c r="D28" s="9"/>
      <c r="E28" s="9"/>
    </row>
    <row r="29" spans="1:10" ht="16.5" customHeight="1">
      <c r="A29" s="6" t="s">
        <v>7</v>
      </c>
      <c r="B29" s="11">
        <v>26.94</v>
      </c>
      <c r="C29" s="9"/>
      <c r="D29" s="9"/>
      <c r="E29" s="9"/>
    </row>
    <row r="30" spans="1:10" ht="16.5" customHeight="1">
      <c r="A30" s="6" t="s">
        <v>9</v>
      </c>
      <c r="B30" s="12">
        <f>B29/100*3/20</f>
        <v>4.0410000000000001E-2</v>
      </c>
      <c r="C30" s="9"/>
      <c r="D30" s="9"/>
      <c r="E30" s="9"/>
    </row>
    <row r="31" spans="1:10" ht="15.75" customHeight="1">
      <c r="A31" s="9"/>
      <c r="B31" s="9"/>
      <c r="C31" s="9"/>
      <c r="D31" s="9"/>
      <c r="E31" s="9"/>
    </row>
    <row r="32" spans="1:10" ht="16.5" customHeight="1">
      <c r="A32" s="13" t="s">
        <v>12</v>
      </c>
      <c r="B32" s="14" t="s">
        <v>13</v>
      </c>
      <c r="C32" s="13" t="s">
        <v>14</v>
      </c>
      <c r="D32" s="13" t="s">
        <v>15</v>
      </c>
      <c r="E32" s="15" t="s">
        <v>16</v>
      </c>
    </row>
    <row r="33" spans="1:7" ht="16.5" customHeight="1">
      <c r="A33" s="16">
        <v>1</v>
      </c>
      <c r="B33" s="17">
        <v>15312204</v>
      </c>
      <c r="C33" s="17">
        <v>6714.29</v>
      </c>
      <c r="D33" s="18">
        <v>1.1000000000000001</v>
      </c>
      <c r="E33" s="19">
        <v>5.19</v>
      </c>
    </row>
    <row r="34" spans="1:7" ht="16.5" customHeight="1">
      <c r="A34" s="16">
        <v>2</v>
      </c>
      <c r="B34" s="17">
        <v>15392825</v>
      </c>
      <c r="C34" s="17">
        <v>6784.69</v>
      </c>
      <c r="D34" s="18">
        <v>1.0900000000000001</v>
      </c>
      <c r="E34" s="18">
        <v>5.2</v>
      </c>
    </row>
    <row r="35" spans="1:7" ht="16.5" customHeight="1">
      <c r="A35" s="16">
        <v>3</v>
      </c>
      <c r="B35" s="17">
        <v>15382958</v>
      </c>
      <c r="C35" s="17">
        <v>6796.32</v>
      </c>
      <c r="D35" s="18">
        <v>1.1100000000000001</v>
      </c>
      <c r="E35" s="18">
        <v>5.19</v>
      </c>
    </row>
    <row r="36" spans="1:7" ht="16.5" customHeight="1">
      <c r="A36" s="16">
        <v>4</v>
      </c>
      <c r="B36" s="17">
        <v>15322526</v>
      </c>
      <c r="C36" s="17">
        <v>6760.41</v>
      </c>
      <c r="D36" s="18">
        <v>1.1100000000000001</v>
      </c>
      <c r="E36" s="18">
        <v>5.19</v>
      </c>
    </row>
    <row r="37" spans="1:7" ht="16.5" customHeight="1">
      <c r="A37" s="16">
        <v>5</v>
      </c>
      <c r="B37" s="17">
        <v>15374133</v>
      </c>
      <c r="C37" s="17">
        <v>6701.67</v>
      </c>
      <c r="D37" s="18">
        <v>1.1000000000000001</v>
      </c>
      <c r="E37" s="18">
        <v>5.19</v>
      </c>
    </row>
    <row r="38" spans="1:7" ht="16.5" customHeight="1">
      <c r="A38" s="16">
        <v>6</v>
      </c>
      <c r="B38" s="20">
        <v>15323945</v>
      </c>
      <c r="C38" s="20">
        <v>6671.85</v>
      </c>
      <c r="D38" s="21">
        <v>1.07</v>
      </c>
      <c r="E38" s="21">
        <v>5.19</v>
      </c>
    </row>
    <row r="39" spans="1:7" ht="16.5" customHeight="1">
      <c r="A39" s="22" t="s">
        <v>17</v>
      </c>
      <c r="B39" s="23">
        <f>AVERAGE(B33:B38)</f>
        <v>15351431.833333334</v>
      </c>
      <c r="C39" s="24">
        <f>AVERAGE(C33:C38)</f>
        <v>6738.204999999999</v>
      </c>
      <c r="D39" s="25">
        <f>AVERAGE(D33:D38)</f>
        <v>1.0966666666666669</v>
      </c>
      <c r="E39" s="25">
        <f>AVERAGE(E33:E38)</f>
        <v>5.1916666666666673</v>
      </c>
    </row>
    <row r="40" spans="1:7" ht="16.5" customHeight="1">
      <c r="A40" s="26" t="s">
        <v>18</v>
      </c>
      <c r="B40" s="27">
        <f>(STDEV(B33:B38)/B39)</f>
        <v>2.3218788611212245E-3</v>
      </c>
      <c r="C40" s="28"/>
      <c r="D40" s="28"/>
      <c r="E40" s="29"/>
      <c r="F40" s="2"/>
    </row>
    <row r="41" spans="1:7" s="2" customFormat="1" ht="16.5" customHeight="1">
      <c r="A41" s="30" t="s">
        <v>19</v>
      </c>
      <c r="B41" s="31">
        <f>COUNT(B33:B38)</f>
        <v>6</v>
      </c>
      <c r="C41" s="32"/>
      <c r="D41" s="33"/>
      <c r="E41" s="34"/>
    </row>
    <row r="42" spans="1:7" s="2" customFormat="1" ht="15.75" customHeight="1">
      <c r="A42" s="9"/>
      <c r="B42" s="9"/>
      <c r="C42" s="9"/>
      <c r="D42" s="9"/>
      <c r="E42" s="35"/>
    </row>
    <row r="43" spans="1:7" s="2" customFormat="1" ht="16.5" customHeight="1">
      <c r="A43" s="10" t="s">
        <v>20</v>
      </c>
      <c r="B43" s="36" t="s">
        <v>21</v>
      </c>
      <c r="C43" s="37"/>
      <c r="D43" s="37"/>
      <c r="E43" s="38"/>
    </row>
    <row r="44" spans="1:7" ht="16.5" customHeight="1">
      <c r="A44" s="10"/>
      <c r="B44" s="36" t="s">
        <v>22</v>
      </c>
      <c r="C44" s="37"/>
      <c r="D44" s="37"/>
      <c r="E44" s="38"/>
      <c r="F44" s="2"/>
    </row>
    <row r="45" spans="1:7" ht="16.5" customHeight="1">
      <c r="A45" s="10"/>
      <c r="B45" s="39" t="s">
        <v>23</v>
      </c>
      <c r="C45" s="37"/>
      <c r="D45" s="38"/>
      <c r="E45" s="37"/>
    </row>
    <row r="46" spans="1:7" ht="14.25" customHeight="1">
      <c r="A46" s="40"/>
      <c r="D46" s="41"/>
      <c r="F46" s="42"/>
      <c r="G46" s="42"/>
    </row>
    <row r="47" spans="1:7" ht="15" customHeight="1">
      <c r="B47" s="445" t="s">
        <v>24</v>
      </c>
      <c r="C47" s="445"/>
      <c r="E47" s="43" t="s">
        <v>25</v>
      </c>
      <c r="F47" s="44"/>
      <c r="G47" s="43" t="s">
        <v>26</v>
      </c>
    </row>
    <row r="48" spans="1:7" ht="15" customHeight="1">
      <c r="A48" s="45" t="s">
        <v>27</v>
      </c>
      <c r="B48" s="47" t="s">
        <v>131</v>
      </c>
      <c r="C48" s="46"/>
      <c r="E48" s="47" t="s">
        <v>132</v>
      </c>
      <c r="F48" s="2"/>
      <c r="G48" s="47"/>
    </row>
    <row r="49" spans="1:7" ht="15" customHeight="1">
      <c r="A49" s="45" t="s">
        <v>28</v>
      </c>
      <c r="B49" s="48"/>
      <c r="C49" s="48"/>
      <c r="E49" s="48"/>
      <c r="F49" s="2"/>
      <c r="G49" s="49"/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B47:C47"/>
  </mergeCells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0"/>
  <sheetViews>
    <sheetView topLeftCell="A70" zoomScale="60" zoomScaleNormal="60" zoomScaleSheetLayoutView="40" zoomScalePageLayoutView="55" workbookViewId="0">
      <selection activeCell="B123" sqref="B123"/>
    </sheetView>
  </sheetViews>
  <sheetFormatPr defaultColWidth="9.140625"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>
      <c r="A1" s="454" t="s">
        <v>43</v>
      </c>
      <c r="B1" s="454"/>
      <c r="C1" s="454"/>
      <c r="D1" s="454"/>
      <c r="E1" s="454"/>
      <c r="F1" s="454"/>
      <c r="G1" s="454"/>
      <c r="H1" s="454"/>
      <c r="I1" s="454"/>
    </row>
    <row r="2" spans="1:9" ht="18.75" customHeight="1">
      <c r="A2" s="454"/>
      <c r="B2" s="454"/>
      <c r="C2" s="454"/>
      <c r="D2" s="454"/>
      <c r="E2" s="454"/>
      <c r="F2" s="454"/>
      <c r="G2" s="454"/>
      <c r="H2" s="454"/>
      <c r="I2" s="454"/>
    </row>
    <row r="3" spans="1:9" ht="18.75" customHeight="1">
      <c r="A3" s="454"/>
      <c r="B3" s="454"/>
      <c r="C3" s="454"/>
      <c r="D3" s="454"/>
      <c r="E3" s="454"/>
      <c r="F3" s="454"/>
      <c r="G3" s="454"/>
      <c r="H3" s="454"/>
      <c r="I3" s="454"/>
    </row>
    <row r="4" spans="1:9" ht="18.75" customHeight="1">
      <c r="A4" s="454"/>
      <c r="B4" s="454"/>
      <c r="C4" s="454"/>
      <c r="D4" s="454"/>
      <c r="E4" s="454"/>
      <c r="F4" s="454"/>
      <c r="G4" s="454"/>
      <c r="H4" s="454"/>
      <c r="I4" s="454"/>
    </row>
    <row r="5" spans="1:9" ht="18.75" customHeight="1">
      <c r="A5" s="454"/>
      <c r="B5" s="454"/>
      <c r="C5" s="454"/>
      <c r="D5" s="454"/>
      <c r="E5" s="454"/>
      <c r="F5" s="454"/>
      <c r="G5" s="454"/>
      <c r="H5" s="454"/>
      <c r="I5" s="454"/>
    </row>
    <row r="6" spans="1:9" ht="18.75" customHeight="1">
      <c r="A6" s="454"/>
      <c r="B6" s="454"/>
      <c r="C6" s="454"/>
      <c r="D6" s="454"/>
      <c r="E6" s="454"/>
      <c r="F6" s="454"/>
      <c r="G6" s="454"/>
      <c r="H6" s="454"/>
      <c r="I6" s="454"/>
    </row>
    <row r="7" spans="1:9" ht="18.75" customHeight="1">
      <c r="A7" s="454"/>
      <c r="B7" s="454"/>
      <c r="C7" s="454"/>
      <c r="D7" s="454"/>
      <c r="E7" s="454"/>
      <c r="F7" s="454"/>
      <c r="G7" s="454"/>
      <c r="H7" s="454"/>
      <c r="I7" s="454"/>
    </row>
    <row r="8" spans="1:9">
      <c r="A8" s="455" t="s">
        <v>44</v>
      </c>
      <c r="B8" s="455"/>
      <c r="C8" s="455"/>
      <c r="D8" s="455"/>
      <c r="E8" s="455"/>
      <c r="F8" s="455"/>
      <c r="G8" s="455"/>
      <c r="H8" s="455"/>
      <c r="I8" s="455"/>
    </row>
    <row r="9" spans="1:9">
      <c r="A9" s="455"/>
      <c r="B9" s="455"/>
      <c r="C9" s="455"/>
      <c r="D9" s="455"/>
      <c r="E9" s="455"/>
      <c r="F9" s="455"/>
      <c r="G9" s="455"/>
      <c r="H9" s="455"/>
      <c r="I9" s="455"/>
    </row>
    <row r="10" spans="1:9">
      <c r="A10" s="455"/>
      <c r="B10" s="455"/>
      <c r="C10" s="455"/>
      <c r="D10" s="455"/>
      <c r="E10" s="455"/>
      <c r="F10" s="455"/>
      <c r="G10" s="455"/>
      <c r="H10" s="455"/>
      <c r="I10" s="455"/>
    </row>
    <row r="11" spans="1:9">
      <c r="A11" s="455"/>
      <c r="B11" s="455"/>
      <c r="C11" s="455"/>
      <c r="D11" s="455"/>
      <c r="E11" s="455"/>
      <c r="F11" s="455"/>
      <c r="G11" s="455"/>
      <c r="H11" s="455"/>
      <c r="I11" s="455"/>
    </row>
    <row r="12" spans="1:9">
      <c r="A12" s="455"/>
      <c r="B12" s="455"/>
      <c r="C12" s="455"/>
      <c r="D12" s="455"/>
      <c r="E12" s="455"/>
      <c r="F12" s="455"/>
      <c r="G12" s="455"/>
      <c r="H12" s="455"/>
      <c r="I12" s="455"/>
    </row>
    <row r="13" spans="1:9">
      <c r="A13" s="455"/>
      <c r="B13" s="455"/>
      <c r="C13" s="455"/>
      <c r="D13" s="455"/>
      <c r="E13" s="455"/>
      <c r="F13" s="455"/>
      <c r="G13" s="455"/>
      <c r="H13" s="455"/>
      <c r="I13" s="455"/>
    </row>
    <row r="14" spans="1:9">
      <c r="A14" s="455"/>
      <c r="B14" s="455"/>
      <c r="C14" s="455"/>
      <c r="D14" s="455"/>
      <c r="E14" s="455"/>
      <c r="F14" s="455"/>
      <c r="G14" s="455"/>
      <c r="H14" s="455"/>
      <c r="I14" s="455"/>
    </row>
    <row r="15" spans="1:9" ht="19.5" customHeight="1">
      <c r="A15" s="96"/>
    </row>
    <row r="16" spans="1:9" ht="19.5" customHeight="1">
      <c r="A16" s="488" t="s">
        <v>29</v>
      </c>
      <c r="B16" s="489"/>
      <c r="C16" s="489"/>
      <c r="D16" s="489"/>
      <c r="E16" s="489"/>
      <c r="F16" s="489"/>
      <c r="G16" s="489"/>
      <c r="H16" s="490"/>
    </row>
    <row r="17" spans="1:14" ht="20.25" customHeight="1">
      <c r="A17" s="491" t="s">
        <v>45</v>
      </c>
      <c r="B17" s="491"/>
      <c r="C17" s="491"/>
      <c r="D17" s="491"/>
      <c r="E17" s="491"/>
      <c r="F17" s="491"/>
      <c r="G17" s="491"/>
      <c r="H17" s="491"/>
    </row>
    <row r="18" spans="1:14" ht="26.25" customHeight="1">
      <c r="A18" s="98" t="s">
        <v>31</v>
      </c>
      <c r="B18" s="487" t="s">
        <v>4</v>
      </c>
      <c r="C18" s="487"/>
      <c r="D18" s="264"/>
      <c r="E18" s="99"/>
      <c r="F18" s="100"/>
      <c r="G18" s="100"/>
      <c r="H18" s="100"/>
    </row>
    <row r="19" spans="1:14" ht="26.25" customHeight="1">
      <c r="A19" s="98" t="s">
        <v>32</v>
      </c>
      <c r="B19" s="101" t="s">
        <v>6</v>
      </c>
      <c r="C19" s="277">
        <v>29</v>
      </c>
      <c r="D19" s="100"/>
      <c r="E19" s="100"/>
      <c r="F19" s="100"/>
      <c r="G19" s="100"/>
      <c r="H19" s="100"/>
    </row>
    <row r="20" spans="1:14" ht="26.25" customHeight="1">
      <c r="A20" s="98" t="s">
        <v>33</v>
      </c>
      <c r="B20" s="492" t="s">
        <v>8</v>
      </c>
      <c r="C20" s="492"/>
      <c r="D20" s="100"/>
      <c r="E20" s="100"/>
      <c r="F20" s="100"/>
      <c r="G20" s="100"/>
      <c r="H20" s="100"/>
    </row>
    <row r="21" spans="1:14" ht="26.25" customHeight="1">
      <c r="A21" s="98" t="s">
        <v>34</v>
      </c>
      <c r="B21" s="492" t="s">
        <v>10</v>
      </c>
      <c r="C21" s="492"/>
      <c r="D21" s="492"/>
      <c r="E21" s="492"/>
      <c r="F21" s="492"/>
      <c r="G21" s="492"/>
      <c r="H21" s="492"/>
      <c r="I21" s="102"/>
    </row>
    <row r="22" spans="1:14" ht="26.25" customHeight="1">
      <c r="A22" s="98" t="s">
        <v>35</v>
      </c>
      <c r="B22" s="103">
        <v>42466</v>
      </c>
      <c r="C22" s="100"/>
      <c r="D22" s="100"/>
      <c r="E22" s="100"/>
      <c r="F22" s="100"/>
      <c r="G22" s="100"/>
      <c r="H22" s="100"/>
    </row>
    <row r="23" spans="1:14" ht="26.25" customHeight="1">
      <c r="A23" s="98" t="s">
        <v>36</v>
      </c>
      <c r="B23" s="103">
        <v>42475</v>
      </c>
      <c r="C23" s="100"/>
      <c r="D23" s="100"/>
      <c r="E23" s="100"/>
      <c r="F23" s="100"/>
      <c r="G23" s="100"/>
      <c r="H23" s="100"/>
    </row>
    <row r="24" spans="1:14" ht="18.75">
      <c r="A24" s="98"/>
      <c r="B24" s="104"/>
    </row>
    <row r="25" spans="1:14" ht="18.75">
      <c r="A25" s="105" t="s">
        <v>1</v>
      </c>
      <c r="B25" s="104"/>
    </row>
    <row r="26" spans="1:14" ht="26.25" customHeight="1">
      <c r="A26" s="106" t="s">
        <v>3</v>
      </c>
      <c r="B26" s="487" t="s">
        <v>123</v>
      </c>
      <c r="C26" s="487"/>
    </row>
    <row r="27" spans="1:14" ht="26.25" customHeight="1">
      <c r="A27" s="107" t="s">
        <v>46</v>
      </c>
      <c r="B27" s="485" t="s">
        <v>124</v>
      </c>
      <c r="C27" s="485"/>
    </row>
    <row r="28" spans="1:14" ht="27" customHeight="1">
      <c r="A28" s="107" t="s">
        <v>5</v>
      </c>
      <c r="B28" s="108">
        <v>99.8</v>
      </c>
    </row>
    <row r="29" spans="1:14" s="13" customFormat="1" ht="27" customHeight="1">
      <c r="A29" s="107" t="s">
        <v>47</v>
      </c>
      <c r="B29" s="109">
        <v>0</v>
      </c>
      <c r="C29" s="462" t="s">
        <v>48</v>
      </c>
      <c r="D29" s="463"/>
      <c r="E29" s="463"/>
      <c r="F29" s="463"/>
      <c r="G29" s="464"/>
      <c r="I29" s="110"/>
      <c r="J29" s="110"/>
      <c r="K29" s="110"/>
      <c r="L29" s="110"/>
    </row>
    <row r="30" spans="1:14" s="13" customFormat="1" ht="19.5" customHeight="1">
      <c r="A30" s="107" t="s">
        <v>49</v>
      </c>
      <c r="B30" s="111">
        <f>B28-B29</f>
        <v>99.8</v>
      </c>
      <c r="C30" s="112"/>
      <c r="D30" s="112"/>
      <c r="E30" s="112"/>
      <c r="F30" s="112"/>
      <c r="G30" s="113"/>
      <c r="I30" s="110"/>
      <c r="J30" s="110"/>
      <c r="K30" s="110"/>
      <c r="L30" s="110"/>
    </row>
    <row r="31" spans="1:14" s="13" customFormat="1" ht="27" customHeight="1">
      <c r="A31" s="107" t="s">
        <v>50</v>
      </c>
      <c r="B31" s="114">
        <v>1</v>
      </c>
      <c r="C31" s="465" t="s">
        <v>51</v>
      </c>
      <c r="D31" s="466"/>
      <c r="E31" s="466"/>
      <c r="F31" s="466"/>
      <c r="G31" s="466"/>
      <c r="H31" s="467"/>
      <c r="I31" s="110"/>
      <c r="J31" s="110"/>
      <c r="K31" s="110"/>
      <c r="L31" s="110"/>
    </row>
    <row r="32" spans="1:14" s="13" customFormat="1" ht="27" customHeight="1">
      <c r="A32" s="107" t="s">
        <v>52</v>
      </c>
      <c r="B32" s="114">
        <v>1</v>
      </c>
      <c r="C32" s="465" t="s">
        <v>53</v>
      </c>
      <c r="D32" s="466"/>
      <c r="E32" s="466"/>
      <c r="F32" s="466"/>
      <c r="G32" s="466"/>
      <c r="H32" s="467"/>
      <c r="I32" s="110"/>
      <c r="J32" s="110"/>
      <c r="K32" s="110"/>
      <c r="L32" s="115"/>
      <c r="M32" s="115"/>
      <c r="N32" s="116"/>
    </row>
    <row r="33" spans="1:14" s="13" customFormat="1" ht="17.25" customHeight="1">
      <c r="A33" s="107"/>
      <c r="B33" s="117"/>
      <c r="C33" s="118"/>
      <c r="D33" s="118"/>
      <c r="E33" s="118"/>
      <c r="F33" s="118"/>
      <c r="G33" s="118"/>
      <c r="H33" s="118"/>
      <c r="I33" s="110"/>
      <c r="J33" s="110"/>
      <c r="K33" s="110"/>
      <c r="L33" s="115"/>
      <c r="M33" s="115"/>
      <c r="N33" s="116"/>
    </row>
    <row r="34" spans="1:14" s="13" customFormat="1" ht="18.75">
      <c r="A34" s="107" t="s">
        <v>54</v>
      </c>
      <c r="B34" s="119">
        <f>B31/B32</f>
        <v>1</v>
      </c>
      <c r="C34" s="97" t="s">
        <v>55</v>
      </c>
      <c r="D34" s="97"/>
      <c r="E34" s="97"/>
      <c r="F34" s="97"/>
      <c r="G34" s="97"/>
      <c r="I34" s="110"/>
      <c r="J34" s="110"/>
      <c r="K34" s="110"/>
      <c r="L34" s="115"/>
      <c r="M34" s="115"/>
      <c r="N34" s="116"/>
    </row>
    <row r="35" spans="1:14" s="13" customFormat="1" ht="19.5" customHeight="1">
      <c r="A35" s="107"/>
      <c r="B35" s="111"/>
      <c r="G35" s="97"/>
      <c r="I35" s="110"/>
      <c r="J35" s="110"/>
      <c r="K35" s="110"/>
      <c r="L35" s="115"/>
      <c r="M35" s="115"/>
      <c r="N35" s="116"/>
    </row>
    <row r="36" spans="1:14" s="13" customFormat="1" ht="27" customHeight="1">
      <c r="A36" s="120" t="s">
        <v>56</v>
      </c>
      <c r="B36" s="121">
        <v>50</v>
      </c>
      <c r="C36" s="97"/>
      <c r="D36" s="468" t="s">
        <v>57</v>
      </c>
      <c r="E36" s="486"/>
      <c r="F36" s="468" t="s">
        <v>58</v>
      </c>
      <c r="G36" s="469"/>
      <c r="J36" s="110"/>
      <c r="K36" s="110"/>
      <c r="L36" s="115"/>
      <c r="M36" s="115"/>
      <c r="N36" s="116"/>
    </row>
    <row r="37" spans="1:14" s="13" customFormat="1" ht="27" customHeight="1">
      <c r="A37" s="122" t="s">
        <v>59</v>
      </c>
      <c r="B37" s="123">
        <v>10</v>
      </c>
      <c r="C37" s="124" t="s">
        <v>60</v>
      </c>
      <c r="D37" s="125" t="s">
        <v>61</v>
      </c>
      <c r="E37" s="126" t="s">
        <v>62</v>
      </c>
      <c r="F37" s="125" t="s">
        <v>61</v>
      </c>
      <c r="G37" s="127" t="s">
        <v>62</v>
      </c>
      <c r="I37" s="128" t="s">
        <v>63</v>
      </c>
      <c r="J37" s="110"/>
      <c r="K37" s="110"/>
      <c r="L37" s="115"/>
      <c r="M37" s="115"/>
      <c r="N37" s="116"/>
    </row>
    <row r="38" spans="1:14" s="13" customFormat="1" ht="26.25" customHeight="1">
      <c r="A38" s="122" t="s">
        <v>64</v>
      </c>
      <c r="B38" s="123">
        <v>20</v>
      </c>
      <c r="C38" s="129">
        <v>1</v>
      </c>
      <c r="D38" s="130">
        <v>175079251</v>
      </c>
      <c r="E38" s="131">
        <f>IF(ISBLANK(D38),"-",$D$48/$D$45*D38)</f>
        <v>154054982.41268489</v>
      </c>
      <c r="F38" s="130">
        <v>191895736</v>
      </c>
      <c r="G38" s="132">
        <f>IF(ISBLANK(F38),"-",$D$48/$F$45*F38)</f>
        <v>151700431.23722792</v>
      </c>
      <c r="I38" s="133"/>
      <c r="J38" s="110"/>
      <c r="K38" s="110"/>
      <c r="L38" s="115"/>
      <c r="M38" s="115"/>
      <c r="N38" s="116"/>
    </row>
    <row r="39" spans="1:14" s="13" customFormat="1" ht="26.25" customHeight="1">
      <c r="A39" s="122" t="s">
        <v>65</v>
      </c>
      <c r="B39" s="123">
        <v>1</v>
      </c>
      <c r="C39" s="134">
        <v>2</v>
      </c>
      <c r="D39" s="135">
        <v>174244602</v>
      </c>
      <c r="E39" s="136">
        <f>IF(ISBLANK(D39),"-",$D$48/$D$45*D39)</f>
        <v>153320561.65019396</v>
      </c>
      <c r="F39" s="135">
        <v>192421990</v>
      </c>
      <c r="G39" s="137">
        <f>IF(ISBLANK(F39),"-",$D$48/$F$45*F39)</f>
        <v>152116453.8149277</v>
      </c>
      <c r="I39" s="470">
        <f>ABS((F43/D43*D42)-F42)/D42</f>
        <v>1.1788388411426843E-2</v>
      </c>
      <c r="J39" s="110"/>
      <c r="K39" s="110"/>
      <c r="L39" s="115"/>
      <c r="M39" s="115"/>
      <c r="N39" s="116"/>
    </row>
    <row r="40" spans="1:14" ht="26.25" customHeight="1">
      <c r="A40" s="122" t="s">
        <v>66</v>
      </c>
      <c r="B40" s="123">
        <v>1</v>
      </c>
      <c r="C40" s="134">
        <v>3</v>
      </c>
      <c r="D40" s="135">
        <v>174433307</v>
      </c>
      <c r="E40" s="136">
        <f>IF(ISBLANK(D40),"-",$D$48/$D$45*D40)</f>
        <v>153486606.14313152</v>
      </c>
      <c r="F40" s="135">
        <v>192482511</v>
      </c>
      <c r="G40" s="137">
        <f>IF(ISBLANK(F40),"-",$D$48/$F$45*F40)</f>
        <v>152164297.8264221</v>
      </c>
      <c r="I40" s="470"/>
      <c r="L40" s="115"/>
      <c r="M40" s="115"/>
      <c r="N40" s="138"/>
    </row>
    <row r="41" spans="1:14" ht="27" customHeight="1">
      <c r="A41" s="122" t="s">
        <v>67</v>
      </c>
      <c r="B41" s="123">
        <v>1</v>
      </c>
      <c r="C41" s="139">
        <v>4</v>
      </c>
      <c r="D41" s="140"/>
      <c r="E41" s="141" t="str">
        <f>IF(ISBLANK(D41),"-",$D$48/$D$45*D41)</f>
        <v>-</v>
      </c>
      <c r="F41" s="140"/>
      <c r="G41" s="142" t="str">
        <f>IF(ISBLANK(F41),"-",$D$48/$F$45*F41)</f>
        <v>-</v>
      </c>
      <c r="I41" s="143"/>
      <c r="L41" s="115"/>
      <c r="M41" s="115"/>
      <c r="N41" s="138"/>
    </row>
    <row r="42" spans="1:14" ht="27" customHeight="1">
      <c r="A42" s="122" t="s">
        <v>68</v>
      </c>
      <c r="B42" s="123">
        <v>1</v>
      </c>
      <c r="C42" s="144" t="s">
        <v>69</v>
      </c>
      <c r="D42" s="145">
        <f>AVERAGE(D38:D41)</f>
        <v>174585720</v>
      </c>
      <c r="E42" s="146">
        <f>AVERAGE(E38:E41)</f>
        <v>153620716.73533678</v>
      </c>
      <c r="F42" s="145">
        <f>AVERAGE(F38:F41)</f>
        <v>192266745.66666666</v>
      </c>
      <c r="G42" s="147">
        <f>AVERAGE(G38:G41)</f>
        <v>151993727.62619257</v>
      </c>
      <c r="H42" s="148"/>
    </row>
    <row r="43" spans="1:14" ht="26.25" customHeight="1">
      <c r="A43" s="122" t="s">
        <v>70</v>
      </c>
      <c r="B43" s="123">
        <v>1</v>
      </c>
      <c r="C43" s="149" t="s">
        <v>71</v>
      </c>
      <c r="D43" s="150">
        <v>18.22</v>
      </c>
      <c r="E43" s="138"/>
      <c r="F43" s="150">
        <v>20.28</v>
      </c>
      <c r="H43" s="148"/>
    </row>
    <row r="44" spans="1:14" ht="26.25" customHeight="1">
      <c r="A44" s="122" t="s">
        <v>72</v>
      </c>
      <c r="B44" s="123">
        <v>1</v>
      </c>
      <c r="C44" s="151" t="s">
        <v>73</v>
      </c>
      <c r="D44" s="152">
        <f>D43*$B$34</f>
        <v>18.22</v>
      </c>
      <c r="E44" s="153"/>
      <c r="F44" s="152">
        <f>F43*$B$34</f>
        <v>20.28</v>
      </c>
      <c r="H44" s="148"/>
    </row>
    <row r="45" spans="1:14" ht="19.5" customHeight="1">
      <c r="A45" s="122" t="s">
        <v>74</v>
      </c>
      <c r="B45" s="154">
        <f>(B44/B43)*(B42/B41)*(B40/B39)*(B38/B37)*B36</f>
        <v>100</v>
      </c>
      <c r="C45" s="151" t="s">
        <v>75</v>
      </c>
      <c r="D45" s="155">
        <f>D44*$B$30/100</f>
        <v>18.183559999999996</v>
      </c>
      <c r="E45" s="156"/>
      <c r="F45" s="155">
        <f>F44*$B$30/100</f>
        <v>20.239439999999998</v>
      </c>
      <c r="H45" s="148"/>
    </row>
    <row r="46" spans="1:14" ht="19.5" customHeight="1">
      <c r="A46" s="456" t="s">
        <v>76</v>
      </c>
      <c r="B46" s="457"/>
      <c r="C46" s="151" t="s">
        <v>77</v>
      </c>
      <c r="D46" s="157">
        <f>D45/$B$45</f>
        <v>0.18183559999999996</v>
      </c>
      <c r="E46" s="158"/>
      <c r="F46" s="159">
        <f>F45/$B$45</f>
        <v>0.20239439999999997</v>
      </c>
      <c r="H46" s="148"/>
    </row>
    <row r="47" spans="1:14" ht="27" customHeight="1">
      <c r="A47" s="458"/>
      <c r="B47" s="459"/>
      <c r="C47" s="160" t="s">
        <v>78</v>
      </c>
      <c r="D47" s="161">
        <v>0.16</v>
      </c>
      <c r="E47" s="162"/>
      <c r="F47" s="158"/>
      <c r="H47" s="148"/>
    </row>
    <row r="48" spans="1:14" ht="18.75">
      <c r="C48" s="163" t="s">
        <v>79</v>
      </c>
      <c r="D48" s="155">
        <f>D47*$B$45</f>
        <v>16</v>
      </c>
      <c r="F48" s="164"/>
      <c r="H48" s="148"/>
    </row>
    <row r="49" spans="1:12" ht="19.5" customHeight="1">
      <c r="C49" s="165" t="s">
        <v>80</v>
      </c>
      <c r="D49" s="166">
        <f>D48/B34</f>
        <v>16</v>
      </c>
      <c r="F49" s="164"/>
      <c r="H49" s="148"/>
    </row>
    <row r="50" spans="1:12" ht="18.75">
      <c r="C50" s="120" t="s">
        <v>81</v>
      </c>
      <c r="D50" s="167">
        <f>AVERAGE(E38:E41,G38:G41)</f>
        <v>152807222.18076468</v>
      </c>
      <c r="F50" s="168"/>
      <c r="H50" s="148"/>
    </row>
    <row r="51" spans="1:12" ht="18.75">
      <c r="C51" s="122" t="s">
        <v>82</v>
      </c>
      <c r="D51" s="169">
        <f>STDEV(E38:E41,G38:G41)/D50</f>
        <v>6.1372423335924473E-3</v>
      </c>
      <c r="F51" s="168"/>
      <c r="H51" s="148"/>
    </row>
    <row r="52" spans="1:12" ht="19.5" customHeight="1">
      <c r="C52" s="170" t="s">
        <v>19</v>
      </c>
      <c r="D52" s="171">
        <f>COUNT(E38:E41,G38:G41)</f>
        <v>6</v>
      </c>
      <c r="F52" s="168"/>
    </row>
    <row r="54" spans="1:12" ht="18.75">
      <c r="A54" s="172" t="s">
        <v>1</v>
      </c>
      <c r="B54" s="173" t="s">
        <v>83</v>
      </c>
    </row>
    <row r="55" spans="1:12" ht="18.75">
      <c r="A55" s="97" t="s">
        <v>84</v>
      </c>
      <c r="B55" s="174" t="str">
        <f>B21</f>
        <v/>
      </c>
    </row>
    <row r="56" spans="1:12" ht="26.25" customHeight="1">
      <c r="A56" s="175" t="s">
        <v>85</v>
      </c>
      <c r="B56" s="176">
        <v>800</v>
      </c>
      <c r="C56" s="97" t="str">
        <f>B20</f>
        <v/>
      </c>
      <c r="H56" s="177"/>
    </row>
    <row r="57" spans="1:12" ht="18.75">
      <c r="A57" s="174" t="s">
        <v>86</v>
      </c>
      <c r="B57" s="265">
        <f>Uniformity!C46</f>
        <v>1042.7159999999999</v>
      </c>
      <c r="H57" s="177"/>
    </row>
    <row r="58" spans="1:12" ht="19.5" customHeight="1">
      <c r="H58" s="177"/>
    </row>
    <row r="59" spans="1:12" s="13" customFormat="1" ht="27" customHeight="1">
      <c r="A59" s="120" t="s">
        <v>87</v>
      </c>
      <c r="B59" s="121">
        <v>200</v>
      </c>
      <c r="C59" s="97"/>
      <c r="D59" s="178" t="s">
        <v>88</v>
      </c>
      <c r="E59" s="179" t="s">
        <v>60</v>
      </c>
      <c r="F59" s="179" t="s">
        <v>61</v>
      </c>
      <c r="G59" s="179" t="s">
        <v>89</v>
      </c>
      <c r="H59" s="124" t="s">
        <v>90</v>
      </c>
      <c r="L59" s="110"/>
    </row>
    <row r="60" spans="1:12" s="13" customFormat="1" ht="26.25" customHeight="1">
      <c r="A60" s="122" t="s">
        <v>91</v>
      </c>
      <c r="B60" s="123">
        <v>2</v>
      </c>
      <c r="C60" s="473" t="s">
        <v>92</v>
      </c>
      <c r="D60" s="476">
        <v>1048.52</v>
      </c>
      <c r="E60" s="180">
        <v>1</v>
      </c>
      <c r="F60" s="181">
        <v>153831115</v>
      </c>
      <c r="G60" s="266">
        <f>IF(ISBLANK(F60),"-",(F60/$D$50*$D$47*$B$68)*($B$57/$D$60))</f>
        <v>800.90243263434991</v>
      </c>
      <c r="H60" s="182">
        <f t="shared" ref="H60:H71" si="0">IF(ISBLANK(F60),"-",G60/$B$56)</f>
        <v>1.0011280407929375</v>
      </c>
      <c r="L60" s="110"/>
    </row>
    <row r="61" spans="1:12" s="13" customFormat="1" ht="26.25" customHeight="1">
      <c r="A61" s="122" t="s">
        <v>93</v>
      </c>
      <c r="B61" s="123">
        <v>50</v>
      </c>
      <c r="C61" s="474"/>
      <c r="D61" s="477"/>
      <c r="E61" s="183">
        <v>2</v>
      </c>
      <c r="F61" s="135">
        <v>153856393</v>
      </c>
      <c r="G61" s="267">
        <f>IF(ISBLANK(F61),"-",(F61/$D$50*$D$47*$B$68)*($B$57/$D$60))</f>
        <v>801.03403937523683</v>
      </c>
      <c r="H61" s="184">
        <f t="shared" si="0"/>
        <v>1.0012925492190461</v>
      </c>
      <c r="L61" s="110"/>
    </row>
    <row r="62" spans="1:12" s="13" customFormat="1" ht="26.25" customHeight="1">
      <c r="A62" s="122" t="s">
        <v>94</v>
      </c>
      <c r="B62" s="123">
        <v>1</v>
      </c>
      <c r="C62" s="474"/>
      <c r="D62" s="477"/>
      <c r="E62" s="183">
        <v>3</v>
      </c>
      <c r="F62" s="185">
        <v>153953137</v>
      </c>
      <c r="G62" s="267">
        <f>IF(ISBLANK(F62),"-",(F62/$D$50*$D$47*$B$68)*($B$57/$D$60))</f>
        <v>801.53772489388348</v>
      </c>
      <c r="H62" s="184">
        <f t="shared" si="0"/>
        <v>1.0019221561173544</v>
      </c>
      <c r="L62" s="110"/>
    </row>
    <row r="63" spans="1:12" ht="27" customHeight="1">
      <c r="A63" s="122" t="s">
        <v>95</v>
      </c>
      <c r="B63" s="123">
        <v>1</v>
      </c>
      <c r="C63" s="484"/>
      <c r="D63" s="478"/>
      <c r="E63" s="186">
        <v>4</v>
      </c>
      <c r="F63" s="187"/>
      <c r="G63" s="267" t="str">
        <f>IF(ISBLANK(F63),"-",(F63/$D$50*$D$47*$B$68)*($B$57/$D$60))</f>
        <v>-</v>
      </c>
      <c r="H63" s="184" t="str">
        <f t="shared" si="0"/>
        <v>-</v>
      </c>
    </row>
    <row r="64" spans="1:12" ht="26.25" customHeight="1">
      <c r="A64" s="122" t="s">
        <v>96</v>
      </c>
      <c r="B64" s="123">
        <v>1</v>
      </c>
      <c r="C64" s="473" t="s">
        <v>97</v>
      </c>
      <c r="D64" s="476">
        <v>1038.42</v>
      </c>
      <c r="E64" s="180">
        <v>1</v>
      </c>
      <c r="F64" s="181">
        <v>153465140</v>
      </c>
      <c r="G64" s="268">
        <f>IF(ISBLANK(F64),"-",(F64/$D$50*$D$47*$B$68)*($B$57/$D$64))</f>
        <v>806.76832641299552</v>
      </c>
      <c r="H64" s="188">
        <f t="shared" si="0"/>
        <v>1.0084604080162445</v>
      </c>
    </row>
    <row r="65" spans="1:8" ht="26.25" customHeight="1">
      <c r="A65" s="122" t="s">
        <v>98</v>
      </c>
      <c r="B65" s="123">
        <v>1</v>
      </c>
      <c r="C65" s="474"/>
      <c r="D65" s="477"/>
      <c r="E65" s="183">
        <v>2</v>
      </c>
      <c r="F65" s="135">
        <v>153349129</v>
      </c>
      <c r="G65" s="269">
        <f>IF(ISBLANK(F65),"-",(F65/$D$50*$D$47*$B$68)*($B$57/$D$64))</f>
        <v>806.15845500952582</v>
      </c>
      <c r="H65" s="189">
        <f t="shared" si="0"/>
        <v>1.0076980687619073</v>
      </c>
    </row>
    <row r="66" spans="1:8" ht="26.25" customHeight="1">
      <c r="A66" s="122" t="s">
        <v>99</v>
      </c>
      <c r="B66" s="123">
        <v>1</v>
      </c>
      <c r="C66" s="474"/>
      <c r="D66" s="477"/>
      <c r="E66" s="183">
        <v>3</v>
      </c>
      <c r="F66" s="135">
        <v>153861815</v>
      </c>
      <c r="G66" s="269">
        <f>IF(ISBLANK(F66),"-",(F66/$D$50*$D$47*$B$68)*($B$57/$D$64))</f>
        <v>808.85365227839986</v>
      </c>
      <c r="H66" s="189">
        <f t="shared" si="0"/>
        <v>1.0110670653479998</v>
      </c>
    </row>
    <row r="67" spans="1:8" ht="27" customHeight="1">
      <c r="A67" s="122" t="s">
        <v>100</v>
      </c>
      <c r="B67" s="123">
        <v>1</v>
      </c>
      <c r="C67" s="484"/>
      <c r="D67" s="478"/>
      <c r="E67" s="186">
        <v>4</v>
      </c>
      <c r="F67" s="187"/>
      <c r="G67" s="270" t="str">
        <f>IF(ISBLANK(F67),"-",(F67/$D$50*$D$47*$B$68)*($B$57/$D$64))</f>
        <v>-</v>
      </c>
      <c r="H67" s="190" t="str">
        <f t="shared" si="0"/>
        <v>-</v>
      </c>
    </row>
    <row r="68" spans="1:8" ht="26.25" customHeight="1">
      <c r="A68" s="122" t="s">
        <v>101</v>
      </c>
      <c r="B68" s="191">
        <f>(B67/B66)*(B65/B64)*(B63/B62)*(B61/B60)*B59</f>
        <v>5000</v>
      </c>
      <c r="C68" s="473" t="s">
        <v>102</v>
      </c>
      <c r="D68" s="476">
        <v>1068.0999999999999</v>
      </c>
      <c r="E68" s="180">
        <v>1</v>
      </c>
      <c r="F68" s="181">
        <v>157988442</v>
      </c>
      <c r="G68" s="268">
        <f>IF(ISBLANK(F68),"-",(F68/$D$50*$D$47*$B$68)*($B$57/$D$68))</f>
        <v>807.46841782895342</v>
      </c>
      <c r="H68" s="184">
        <f t="shared" si="0"/>
        <v>1.0093355222861917</v>
      </c>
    </row>
    <row r="69" spans="1:8" ht="27" customHeight="1">
      <c r="A69" s="170" t="s">
        <v>103</v>
      </c>
      <c r="B69" s="192">
        <f>(D47*B68)/B56*B57</f>
        <v>1042.7159999999999</v>
      </c>
      <c r="C69" s="474"/>
      <c r="D69" s="477"/>
      <c r="E69" s="183">
        <v>2</v>
      </c>
      <c r="F69" s="135">
        <v>158004665</v>
      </c>
      <c r="G69" s="269">
        <f>IF(ISBLANK(F69),"-",(F69/$D$50*$D$47*$B$68)*($B$57/$D$68))</f>
        <v>807.55133250281574</v>
      </c>
      <c r="H69" s="184">
        <f t="shared" si="0"/>
        <v>1.0094391656285198</v>
      </c>
    </row>
    <row r="70" spans="1:8" ht="26.25" customHeight="1">
      <c r="A70" s="479" t="s">
        <v>76</v>
      </c>
      <c r="B70" s="480"/>
      <c r="C70" s="474"/>
      <c r="D70" s="477"/>
      <c r="E70" s="183">
        <v>3</v>
      </c>
      <c r="F70" s="135">
        <v>158112457</v>
      </c>
      <c r="G70" s="269">
        <f>IF(ISBLANK(F70),"-",(F70/$D$50*$D$47*$B$68)*($B$57/$D$68))</f>
        <v>808.10225024459965</v>
      </c>
      <c r="H70" s="184">
        <f t="shared" si="0"/>
        <v>1.0101278128057496</v>
      </c>
    </row>
    <row r="71" spans="1:8" ht="27" customHeight="1">
      <c r="A71" s="481"/>
      <c r="B71" s="482"/>
      <c r="C71" s="475"/>
      <c r="D71" s="478"/>
      <c r="E71" s="186">
        <v>4</v>
      </c>
      <c r="F71" s="187"/>
      <c r="G71" s="270" t="str">
        <f>IF(ISBLANK(F71),"-",(F71/$D$50*$D$47*$B$68)*($B$57/$D$68))</f>
        <v>-</v>
      </c>
      <c r="H71" s="193" t="str">
        <f t="shared" si="0"/>
        <v>-</v>
      </c>
    </row>
    <row r="72" spans="1:8" ht="26.25" customHeight="1">
      <c r="A72" s="194"/>
      <c r="B72" s="194"/>
      <c r="C72" s="194"/>
      <c r="D72" s="194"/>
      <c r="E72" s="194"/>
      <c r="F72" s="196" t="s">
        <v>69</v>
      </c>
      <c r="G72" s="275">
        <f>AVERAGE(G60:G71)</f>
        <v>805.37518124230667</v>
      </c>
      <c r="H72" s="197">
        <f>AVERAGE(H60:H71)</f>
        <v>1.0067189765528832</v>
      </c>
    </row>
    <row r="73" spans="1:8" ht="26.25" customHeight="1">
      <c r="C73" s="194"/>
      <c r="D73" s="194"/>
      <c r="E73" s="194"/>
      <c r="F73" s="198" t="s">
        <v>82</v>
      </c>
      <c r="G73" s="271">
        <f>STDEV(G60:G71)/G72</f>
        <v>4.0421947846019579E-3</v>
      </c>
      <c r="H73" s="271">
        <f>STDEV(H60:H71)/H72</f>
        <v>4.0421947846048766E-3</v>
      </c>
    </row>
    <row r="74" spans="1:8" ht="27" customHeight="1">
      <c r="A74" s="194"/>
      <c r="B74" s="194"/>
      <c r="C74" s="195"/>
      <c r="D74" s="195"/>
      <c r="E74" s="199"/>
      <c r="F74" s="200" t="s">
        <v>19</v>
      </c>
      <c r="G74" s="201">
        <f>COUNT(G60:G71)</f>
        <v>9</v>
      </c>
      <c r="H74" s="201">
        <f>COUNT(H60:H71)</f>
        <v>9</v>
      </c>
    </row>
    <row r="76" spans="1:8" ht="26.25" customHeight="1">
      <c r="A76" s="106" t="s">
        <v>104</v>
      </c>
      <c r="B76" s="202" t="s">
        <v>105</v>
      </c>
      <c r="C76" s="460" t="str">
        <f>B20</f>
        <v/>
      </c>
      <c r="D76" s="460"/>
      <c r="E76" s="203" t="s">
        <v>106</v>
      </c>
      <c r="F76" s="203"/>
      <c r="G76" s="204">
        <f>H72</f>
        <v>1.0067189765528832</v>
      </c>
      <c r="H76" s="205"/>
    </row>
    <row r="77" spans="1:8" ht="18.75">
      <c r="A77" s="105" t="s">
        <v>107</v>
      </c>
      <c r="B77" s="105" t="s">
        <v>108</v>
      </c>
    </row>
    <row r="78" spans="1:8" ht="18.75">
      <c r="A78" s="105"/>
      <c r="B78" s="105"/>
    </row>
    <row r="79" spans="1:8" ht="26.25" customHeight="1">
      <c r="A79" s="106" t="s">
        <v>3</v>
      </c>
      <c r="B79" s="483" t="str">
        <f>B26</f>
        <v>Sulfamethoxazole</v>
      </c>
      <c r="C79" s="483"/>
    </row>
    <row r="80" spans="1:8" ht="26.25" customHeight="1">
      <c r="A80" s="107" t="s">
        <v>46</v>
      </c>
      <c r="B80" s="483" t="str">
        <f>B27</f>
        <v>S12-1</v>
      </c>
      <c r="C80" s="483"/>
    </row>
    <row r="81" spans="1:12" ht="27" customHeight="1">
      <c r="A81" s="107" t="s">
        <v>5</v>
      </c>
      <c r="B81" s="206">
        <f>B28</f>
        <v>99.8</v>
      </c>
    </row>
    <row r="82" spans="1:12" s="13" customFormat="1" ht="27" customHeight="1">
      <c r="A82" s="107" t="s">
        <v>47</v>
      </c>
      <c r="B82" s="109">
        <v>0</v>
      </c>
      <c r="C82" s="462" t="s">
        <v>48</v>
      </c>
      <c r="D82" s="463"/>
      <c r="E82" s="463"/>
      <c r="F82" s="463"/>
      <c r="G82" s="464"/>
      <c r="I82" s="110"/>
      <c r="J82" s="110"/>
      <c r="K82" s="110"/>
      <c r="L82" s="110"/>
    </row>
    <row r="83" spans="1:12" s="13" customFormat="1" ht="19.5" customHeight="1">
      <c r="A83" s="107" t="s">
        <v>49</v>
      </c>
      <c r="B83" s="111">
        <f>B81-B82</f>
        <v>99.8</v>
      </c>
      <c r="C83" s="112"/>
      <c r="D83" s="112"/>
      <c r="E83" s="112"/>
      <c r="F83" s="112"/>
      <c r="G83" s="113"/>
      <c r="I83" s="110"/>
      <c r="J83" s="110"/>
      <c r="K83" s="110"/>
      <c r="L83" s="110"/>
    </row>
    <row r="84" spans="1:12" s="13" customFormat="1" ht="27" customHeight="1">
      <c r="A84" s="107" t="s">
        <v>50</v>
      </c>
      <c r="B84" s="114">
        <v>1</v>
      </c>
      <c r="C84" s="465" t="s">
        <v>109</v>
      </c>
      <c r="D84" s="466"/>
      <c r="E84" s="466"/>
      <c r="F84" s="466"/>
      <c r="G84" s="466"/>
      <c r="H84" s="467"/>
      <c r="I84" s="110"/>
      <c r="J84" s="110"/>
      <c r="K84" s="110"/>
      <c r="L84" s="110"/>
    </row>
    <row r="85" spans="1:12" s="13" customFormat="1" ht="27" customHeight="1">
      <c r="A85" s="107" t="s">
        <v>52</v>
      </c>
      <c r="B85" s="114">
        <v>1</v>
      </c>
      <c r="C85" s="465" t="s">
        <v>110</v>
      </c>
      <c r="D85" s="466"/>
      <c r="E85" s="466"/>
      <c r="F85" s="466"/>
      <c r="G85" s="466"/>
      <c r="H85" s="467"/>
      <c r="I85" s="110"/>
      <c r="J85" s="110"/>
      <c r="K85" s="110"/>
      <c r="L85" s="110"/>
    </row>
    <row r="86" spans="1:12" s="13" customFormat="1" ht="18.75">
      <c r="A86" s="107"/>
      <c r="B86" s="117"/>
      <c r="C86" s="118"/>
      <c r="D86" s="118"/>
      <c r="E86" s="118"/>
      <c r="F86" s="118"/>
      <c r="G86" s="118"/>
      <c r="H86" s="118"/>
      <c r="I86" s="110"/>
      <c r="J86" s="110"/>
      <c r="K86" s="110"/>
      <c r="L86" s="110"/>
    </row>
    <row r="87" spans="1:12" s="13" customFormat="1" ht="18.75">
      <c r="A87" s="107" t="s">
        <v>54</v>
      </c>
      <c r="B87" s="119">
        <f>B84/B85</f>
        <v>1</v>
      </c>
      <c r="C87" s="97" t="s">
        <v>55</v>
      </c>
      <c r="D87" s="97"/>
      <c r="E87" s="97"/>
      <c r="F87" s="97"/>
      <c r="G87" s="97"/>
      <c r="I87" s="110"/>
      <c r="J87" s="110"/>
      <c r="K87" s="110"/>
      <c r="L87" s="110"/>
    </row>
    <row r="88" spans="1:12" ht="19.5" customHeight="1">
      <c r="A88" s="105"/>
      <c r="B88" s="105"/>
    </row>
    <row r="89" spans="1:12" ht="27" customHeight="1">
      <c r="A89" s="120" t="s">
        <v>56</v>
      </c>
      <c r="B89" s="121">
        <v>50</v>
      </c>
      <c r="D89" s="207" t="s">
        <v>57</v>
      </c>
      <c r="E89" s="208"/>
      <c r="F89" s="468" t="s">
        <v>58</v>
      </c>
      <c r="G89" s="469"/>
    </row>
    <row r="90" spans="1:12" ht="27" customHeight="1">
      <c r="A90" s="122" t="s">
        <v>59</v>
      </c>
      <c r="B90" s="123">
        <v>10</v>
      </c>
      <c r="C90" s="209" t="s">
        <v>60</v>
      </c>
      <c r="D90" s="125" t="s">
        <v>61</v>
      </c>
      <c r="E90" s="126" t="s">
        <v>62</v>
      </c>
      <c r="F90" s="125" t="s">
        <v>61</v>
      </c>
      <c r="G90" s="210" t="s">
        <v>62</v>
      </c>
      <c r="I90" s="128" t="s">
        <v>63</v>
      </c>
    </row>
    <row r="91" spans="1:12" ht="26.25" customHeight="1">
      <c r="A91" s="122" t="s">
        <v>64</v>
      </c>
      <c r="B91" s="123">
        <v>20</v>
      </c>
      <c r="C91" s="211">
        <v>1</v>
      </c>
      <c r="D91" s="304">
        <v>175079251</v>
      </c>
      <c r="E91" s="131">
        <f>IF(ISBLANK(D91),"-",$D$101/$D$98*D91)</f>
        <v>85586101.340380505</v>
      </c>
      <c r="F91" s="304">
        <v>191895736</v>
      </c>
      <c r="G91" s="132">
        <f>IF(ISBLANK(F91),"-",$D$101/$F$98*F91)</f>
        <v>84278017.354015514</v>
      </c>
      <c r="I91" s="133"/>
    </row>
    <row r="92" spans="1:12" ht="26.25" customHeight="1">
      <c r="A92" s="122" t="s">
        <v>65</v>
      </c>
      <c r="B92" s="123">
        <v>1</v>
      </c>
      <c r="C92" s="195">
        <v>2</v>
      </c>
      <c r="D92" s="308">
        <v>174244602</v>
      </c>
      <c r="E92" s="136">
        <f>IF(ISBLANK(D92),"-",$D$101/$D$98*D92)</f>
        <v>85178089.805663303</v>
      </c>
      <c r="F92" s="308">
        <v>192421990</v>
      </c>
      <c r="G92" s="137">
        <f>IF(ISBLANK(F92),"-",$D$101/$F$98*F92)</f>
        <v>84509141.008293167</v>
      </c>
      <c r="I92" s="470">
        <f>ABS((F96/D96*D95)-F95)/D95</f>
        <v>1.1788388411426843E-2</v>
      </c>
    </row>
    <row r="93" spans="1:12" ht="26.25" customHeight="1">
      <c r="A93" s="122" t="s">
        <v>66</v>
      </c>
      <c r="B93" s="123">
        <v>1</v>
      </c>
      <c r="C93" s="195">
        <v>3</v>
      </c>
      <c r="D93" s="308">
        <v>174433307</v>
      </c>
      <c r="E93" s="136">
        <f>IF(ISBLANK(D93),"-",$D$101/$D$98*D93)</f>
        <v>85270336.746184185</v>
      </c>
      <c r="F93" s="308">
        <v>192482511</v>
      </c>
      <c r="G93" s="137">
        <f>IF(ISBLANK(F93),"-",$D$101/$F$98*F93)</f>
        <v>84535721.01467894</v>
      </c>
      <c r="I93" s="470"/>
    </row>
    <row r="94" spans="1:12" ht="27" customHeight="1">
      <c r="A94" s="122" t="s">
        <v>67</v>
      </c>
      <c r="B94" s="123">
        <v>1</v>
      </c>
      <c r="C94" s="212">
        <v>4</v>
      </c>
      <c r="D94" s="312"/>
      <c r="E94" s="141" t="str">
        <f>IF(ISBLANK(D94),"-",$D$101/$D$98*D94)</f>
        <v>-</v>
      </c>
      <c r="F94" s="312"/>
      <c r="G94" s="142" t="str">
        <f>IF(ISBLANK(F94),"-",$D$101/$F$98*F94)</f>
        <v>-</v>
      </c>
      <c r="I94" s="143"/>
    </row>
    <row r="95" spans="1:12" ht="27" customHeight="1">
      <c r="A95" s="122" t="s">
        <v>68</v>
      </c>
      <c r="B95" s="123">
        <v>1</v>
      </c>
      <c r="C95" s="213" t="s">
        <v>69</v>
      </c>
      <c r="D95" s="214">
        <f>AVERAGE(D91:D94)</f>
        <v>174585720</v>
      </c>
      <c r="E95" s="146">
        <f>AVERAGE(E91:E94)</f>
        <v>85344842.630742669</v>
      </c>
      <c r="F95" s="215">
        <f>AVERAGE(F91:F94)</f>
        <v>192266745.66666666</v>
      </c>
      <c r="G95" s="216">
        <f>AVERAGE(G91:G94)</f>
        <v>84440959.792329207</v>
      </c>
    </row>
    <row r="96" spans="1:12" ht="26.25" customHeight="1">
      <c r="A96" s="122" t="s">
        <v>70</v>
      </c>
      <c r="B96" s="108">
        <v>1</v>
      </c>
      <c r="C96" s="217" t="s">
        <v>111</v>
      </c>
      <c r="D96" s="218">
        <f>D43</f>
        <v>18.22</v>
      </c>
      <c r="E96" s="138"/>
      <c r="F96" s="150">
        <f>F43</f>
        <v>20.28</v>
      </c>
    </row>
    <row r="97" spans="1:10" ht="26.25" customHeight="1">
      <c r="A97" s="122" t="s">
        <v>72</v>
      </c>
      <c r="B97" s="108">
        <v>1</v>
      </c>
      <c r="C97" s="219" t="s">
        <v>112</v>
      </c>
      <c r="D97" s="220">
        <f>D96*$B$87</f>
        <v>18.22</v>
      </c>
      <c r="E97" s="153"/>
      <c r="F97" s="152">
        <f>F96*$B$87</f>
        <v>20.28</v>
      </c>
    </row>
    <row r="98" spans="1:10" ht="19.5" customHeight="1">
      <c r="A98" s="122" t="s">
        <v>74</v>
      </c>
      <c r="B98" s="221">
        <f>(B97/B96)*(B95/B94)*(B93/B92)*(B91/B90)*B89</f>
        <v>100</v>
      </c>
      <c r="C98" s="219" t="s">
        <v>113</v>
      </c>
      <c r="D98" s="222">
        <f>D97*$B$83/100</f>
        <v>18.183559999999996</v>
      </c>
      <c r="E98" s="156"/>
      <c r="F98" s="155">
        <f>F97*$B$83/100</f>
        <v>20.239439999999998</v>
      </c>
    </row>
    <row r="99" spans="1:10" ht="19.5" customHeight="1">
      <c r="A99" s="456" t="s">
        <v>76</v>
      </c>
      <c r="B99" s="471"/>
      <c r="C99" s="219" t="s">
        <v>114</v>
      </c>
      <c r="D99" s="223">
        <f>D98/$B$98</f>
        <v>0.18183559999999996</v>
      </c>
      <c r="E99" s="156"/>
      <c r="F99" s="159">
        <f>F98/$B$98</f>
        <v>0.20239439999999997</v>
      </c>
      <c r="G99" s="224"/>
      <c r="H99" s="148"/>
    </row>
    <row r="100" spans="1:10" ht="19.5" customHeight="1">
      <c r="A100" s="458"/>
      <c r="B100" s="472"/>
      <c r="C100" s="219" t="s">
        <v>78</v>
      </c>
      <c r="D100" s="225">
        <f>$B$56/$B$116</f>
        <v>8.8888888888888892E-2</v>
      </c>
      <c r="F100" s="164"/>
      <c r="G100" s="226"/>
      <c r="H100" s="148"/>
    </row>
    <row r="101" spans="1:10" ht="18.75">
      <c r="C101" s="219" t="s">
        <v>79</v>
      </c>
      <c r="D101" s="220">
        <f>D100*$B$98</f>
        <v>8.8888888888888893</v>
      </c>
      <c r="F101" s="164"/>
      <c r="G101" s="224"/>
      <c r="H101" s="148"/>
    </row>
    <row r="102" spans="1:10" ht="19.5" customHeight="1">
      <c r="C102" s="227" t="s">
        <v>80</v>
      </c>
      <c r="D102" s="228">
        <f>D101/B34</f>
        <v>8.8888888888888893</v>
      </c>
      <c r="F102" s="168"/>
      <c r="G102" s="224"/>
      <c r="H102" s="148"/>
      <c r="J102" s="229"/>
    </row>
    <row r="103" spans="1:10" ht="18.75">
      <c r="C103" s="230" t="s">
        <v>115</v>
      </c>
      <c r="D103" s="231">
        <f>AVERAGE(E91:E94,G91:G94)</f>
        <v>84892901.211535946</v>
      </c>
      <c r="F103" s="168"/>
      <c r="G103" s="232"/>
      <c r="H103" s="148"/>
      <c r="J103" s="233"/>
    </row>
    <row r="104" spans="1:10" ht="18.75">
      <c r="C104" s="198" t="s">
        <v>82</v>
      </c>
      <c r="D104" s="234">
        <f>STDEV(E91:E94,G91:G94)/D103</f>
        <v>6.1372423335734659E-3</v>
      </c>
      <c r="F104" s="168"/>
      <c r="G104" s="224"/>
      <c r="H104" s="148"/>
      <c r="J104" s="233"/>
    </row>
    <row r="105" spans="1:10" ht="19.5" customHeight="1">
      <c r="C105" s="200" t="s">
        <v>19</v>
      </c>
      <c r="D105" s="235">
        <f>COUNT(E91:E94,G91:G94)</f>
        <v>6</v>
      </c>
      <c r="F105" s="168"/>
      <c r="G105" s="224"/>
      <c r="H105" s="148"/>
      <c r="J105" s="233"/>
    </row>
    <row r="106" spans="1:10" ht="19.5" customHeight="1">
      <c r="A106" s="172"/>
      <c r="B106" s="172"/>
      <c r="C106" s="172"/>
      <c r="D106" s="172"/>
      <c r="E106" s="172"/>
    </row>
    <row r="107" spans="1:10" ht="26.25" customHeight="1">
      <c r="A107" s="120" t="s">
        <v>116</v>
      </c>
      <c r="B107" s="121">
        <v>900</v>
      </c>
      <c r="C107" s="236" t="s">
        <v>117</v>
      </c>
      <c r="D107" s="237" t="s">
        <v>61</v>
      </c>
      <c r="E107" s="238" t="s">
        <v>118</v>
      </c>
      <c r="F107" s="239" t="s">
        <v>119</v>
      </c>
    </row>
    <row r="108" spans="1:10" ht="26.25" customHeight="1">
      <c r="A108" s="122" t="s">
        <v>120</v>
      </c>
      <c r="B108" s="123">
        <v>5</v>
      </c>
      <c r="C108" s="240">
        <v>1</v>
      </c>
      <c r="D108" s="241">
        <v>93161005</v>
      </c>
      <c r="E108" s="272">
        <f t="shared" ref="E108:E113" si="1">IF(ISBLANK(D108),"-",D108/$D$103*$D$100*$B$116)</f>
        <v>877.91561999146779</v>
      </c>
      <c r="F108" s="242">
        <f t="shared" ref="F108:F113" si="2">IF(ISBLANK(D108), "-", E108/$B$56)</f>
        <v>1.0973945249893347</v>
      </c>
    </row>
    <row r="109" spans="1:10" ht="26.25" customHeight="1">
      <c r="A109" s="122" t="s">
        <v>93</v>
      </c>
      <c r="B109" s="123">
        <v>50</v>
      </c>
      <c r="C109" s="240">
        <v>2</v>
      </c>
      <c r="D109" s="241">
        <v>87522086</v>
      </c>
      <c r="E109" s="273">
        <f t="shared" si="1"/>
        <v>824.77648661729825</v>
      </c>
      <c r="F109" s="243">
        <f t="shared" si="2"/>
        <v>1.0309706082716228</v>
      </c>
    </row>
    <row r="110" spans="1:10" ht="26.25" customHeight="1">
      <c r="A110" s="122" t="s">
        <v>94</v>
      </c>
      <c r="B110" s="123">
        <v>1</v>
      </c>
      <c r="C110" s="240">
        <v>3</v>
      </c>
      <c r="D110" s="241">
        <v>88461986</v>
      </c>
      <c r="E110" s="273">
        <f t="shared" si="1"/>
        <v>833.63376430800145</v>
      </c>
      <c r="F110" s="243">
        <f t="shared" si="2"/>
        <v>1.0420422053850018</v>
      </c>
    </row>
    <row r="111" spans="1:10" ht="26.25" customHeight="1">
      <c r="A111" s="122" t="s">
        <v>95</v>
      </c>
      <c r="B111" s="123">
        <v>1</v>
      </c>
      <c r="C111" s="240">
        <v>4</v>
      </c>
      <c r="D111" s="241">
        <v>83154460</v>
      </c>
      <c r="E111" s="273">
        <f t="shared" si="1"/>
        <v>783.61755871950618</v>
      </c>
      <c r="F111" s="243">
        <f t="shared" si="2"/>
        <v>0.97952194839938267</v>
      </c>
    </row>
    <row r="112" spans="1:10" ht="26.25" customHeight="1">
      <c r="A112" s="122" t="s">
        <v>96</v>
      </c>
      <c r="B112" s="123">
        <v>1</v>
      </c>
      <c r="C112" s="240">
        <v>5</v>
      </c>
      <c r="D112" s="241">
        <v>87253909</v>
      </c>
      <c r="E112" s="273">
        <f t="shared" si="1"/>
        <v>822.24928355393001</v>
      </c>
      <c r="F112" s="243">
        <f t="shared" si="2"/>
        <v>1.0278116044424126</v>
      </c>
    </row>
    <row r="113" spans="1:10" ht="26.25" customHeight="1">
      <c r="A113" s="122" t="s">
        <v>98</v>
      </c>
      <c r="B113" s="123">
        <v>1</v>
      </c>
      <c r="C113" s="244">
        <v>6</v>
      </c>
      <c r="D113" s="245">
        <v>85497521</v>
      </c>
      <c r="E113" s="274">
        <f t="shared" si="1"/>
        <v>805.69771822930124</v>
      </c>
      <c r="F113" s="246">
        <f t="shared" si="2"/>
        <v>1.0071221477866266</v>
      </c>
    </row>
    <row r="114" spans="1:10" ht="26.25" customHeight="1">
      <c r="A114" s="122" t="s">
        <v>99</v>
      </c>
      <c r="B114" s="123">
        <v>1</v>
      </c>
      <c r="C114" s="240"/>
      <c r="D114" s="195"/>
      <c r="E114" s="96"/>
      <c r="F114" s="247"/>
    </row>
    <row r="115" spans="1:10" ht="26.25" customHeight="1">
      <c r="A115" s="122" t="s">
        <v>100</v>
      </c>
      <c r="B115" s="123">
        <v>1</v>
      </c>
      <c r="C115" s="240"/>
      <c r="D115" s="248" t="s">
        <v>69</v>
      </c>
      <c r="E115" s="276">
        <f>AVERAGE(E108:E113)</f>
        <v>824.64840523658415</v>
      </c>
      <c r="F115" s="249">
        <f>AVERAGE(F108:F113)</f>
        <v>1.0308105065457303</v>
      </c>
    </row>
    <row r="116" spans="1:10" ht="27" customHeight="1">
      <c r="A116" s="122" t="s">
        <v>101</v>
      </c>
      <c r="B116" s="154">
        <f>(B115/B114)*(B113/B112)*(B111/B110)*(B109/B108)*B107</f>
        <v>9000</v>
      </c>
      <c r="C116" s="250"/>
      <c r="D116" s="213" t="s">
        <v>82</v>
      </c>
      <c r="E116" s="251">
        <f>STDEV(E108:E113)/E115</f>
        <v>3.8218548575091174E-2</v>
      </c>
      <c r="F116" s="251">
        <f>STDEV(F108:F113)/F115</f>
        <v>3.8218548575092548E-2</v>
      </c>
      <c r="I116" s="96"/>
    </row>
    <row r="117" spans="1:10" ht="27" customHeight="1">
      <c r="A117" s="456" t="s">
        <v>76</v>
      </c>
      <c r="B117" s="457"/>
      <c r="C117" s="252"/>
      <c r="D117" s="253" t="s">
        <v>19</v>
      </c>
      <c r="E117" s="254">
        <f>COUNT(E108:E113)</f>
        <v>6</v>
      </c>
      <c r="F117" s="254">
        <f>COUNT(F108:F113)</f>
        <v>6</v>
      </c>
      <c r="I117" s="96"/>
      <c r="J117" s="233"/>
    </row>
    <row r="118" spans="1:10" ht="19.5" customHeight="1">
      <c r="A118" s="458"/>
      <c r="B118" s="459"/>
      <c r="C118" s="96"/>
      <c r="D118" s="96"/>
      <c r="E118" s="96"/>
      <c r="F118" s="195"/>
      <c r="G118" s="96"/>
      <c r="H118" s="96"/>
      <c r="I118" s="96"/>
    </row>
    <row r="119" spans="1:10" ht="18.75">
      <c r="A119" s="263"/>
      <c r="B119" s="118"/>
      <c r="C119" s="96"/>
      <c r="D119" s="96"/>
      <c r="E119" s="96"/>
      <c r="F119" s="195"/>
      <c r="G119" s="96"/>
      <c r="H119" s="96"/>
      <c r="I119" s="96"/>
    </row>
    <row r="120" spans="1:10" ht="26.25" customHeight="1">
      <c r="A120" s="106" t="s">
        <v>104</v>
      </c>
      <c r="B120" s="202" t="s">
        <v>121</v>
      </c>
      <c r="C120" s="460" t="str">
        <f>B20</f>
        <v/>
      </c>
      <c r="D120" s="460"/>
      <c r="E120" s="203" t="s">
        <v>122</v>
      </c>
      <c r="F120" s="203"/>
      <c r="G120" s="204">
        <f>F115</f>
        <v>1.0308105065457303</v>
      </c>
      <c r="H120" s="96"/>
      <c r="I120" s="96"/>
    </row>
    <row r="121" spans="1:10" ht="19.5" customHeight="1">
      <c r="A121" s="255"/>
      <c r="B121" s="255"/>
      <c r="C121" s="256"/>
      <c r="D121" s="256"/>
      <c r="E121" s="256"/>
      <c r="F121" s="256"/>
      <c r="G121" s="256"/>
      <c r="H121" s="256"/>
    </row>
    <row r="122" spans="1:10" ht="18.75">
      <c r="B122" s="461" t="s">
        <v>24</v>
      </c>
      <c r="C122" s="461"/>
      <c r="E122" s="209" t="s">
        <v>25</v>
      </c>
      <c r="F122" s="257"/>
      <c r="G122" s="461" t="s">
        <v>26</v>
      </c>
      <c r="H122" s="461"/>
    </row>
    <row r="123" spans="1:10" ht="69.95" customHeight="1">
      <c r="A123" s="258" t="s">
        <v>27</v>
      </c>
      <c r="B123" s="259"/>
      <c r="C123" s="259"/>
      <c r="E123" s="259"/>
      <c r="F123" s="96"/>
      <c r="G123" s="260"/>
      <c r="H123" s="260"/>
    </row>
    <row r="124" spans="1:10" ht="69.95" customHeight="1">
      <c r="A124" s="258" t="s">
        <v>28</v>
      </c>
      <c r="B124" s="261"/>
      <c r="C124" s="261"/>
      <c r="E124" s="261"/>
      <c r="F124" s="96"/>
      <c r="G124" s="262"/>
      <c r="H124" s="262"/>
    </row>
    <row r="125" spans="1:10" ht="18.75">
      <c r="A125" s="194"/>
      <c r="B125" s="194"/>
      <c r="C125" s="195"/>
      <c r="D125" s="195"/>
      <c r="E125" s="195"/>
      <c r="F125" s="199"/>
      <c r="G125" s="195"/>
      <c r="H125" s="195"/>
      <c r="I125" s="96"/>
    </row>
    <row r="126" spans="1:10" ht="18.75">
      <c r="A126" s="194"/>
      <c r="B126" s="194"/>
      <c r="C126" s="195"/>
      <c r="D126" s="195"/>
      <c r="E126" s="195"/>
      <c r="F126" s="199"/>
      <c r="G126" s="195"/>
      <c r="H126" s="195"/>
      <c r="I126" s="96"/>
    </row>
    <row r="127" spans="1:10" ht="18.75">
      <c r="A127" s="194"/>
      <c r="B127" s="194"/>
      <c r="C127" s="195"/>
      <c r="D127" s="195"/>
      <c r="E127" s="195"/>
      <c r="F127" s="199"/>
      <c r="G127" s="195"/>
      <c r="H127" s="195"/>
      <c r="I127" s="96"/>
    </row>
    <row r="128" spans="1:10" ht="18.75">
      <c r="A128" s="194"/>
      <c r="B128" s="194"/>
      <c r="C128" s="195"/>
      <c r="D128" s="195"/>
      <c r="E128" s="195"/>
      <c r="F128" s="199"/>
      <c r="G128" s="195"/>
      <c r="H128" s="195"/>
      <c r="I128" s="96"/>
    </row>
    <row r="129" spans="1:9" ht="18.75">
      <c r="A129" s="194"/>
      <c r="B129" s="194"/>
      <c r="C129" s="195"/>
      <c r="D129" s="195"/>
      <c r="E129" s="195"/>
      <c r="F129" s="199"/>
      <c r="G129" s="195"/>
      <c r="H129" s="195"/>
      <c r="I129" s="96"/>
    </row>
    <row r="130" spans="1:9" ht="18.75">
      <c r="A130" s="194"/>
      <c r="B130" s="194"/>
      <c r="C130" s="195"/>
      <c r="D130" s="195"/>
      <c r="E130" s="195"/>
      <c r="F130" s="199"/>
      <c r="G130" s="195"/>
      <c r="H130" s="195"/>
      <c r="I130" s="96"/>
    </row>
    <row r="131" spans="1:9" ht="18.75">
      <c r="A131" s="194"/>
      <c r="B131" s="194"/>
      <c r="C131" s="195"/>
      <c r="D131" s="195"/>
      <c r="E131" s="195"/>
      <c r="F131" s="199"/>
      <c r="G131" s="195"/>
      <c r="H131" s="195"/>
      <c r="I131" s="96"/>
    </row>
    <row r="132" spans="1:9" ht="18.75">
      <c r="A132" s="194"/>
      <c r="B132" s="194"/>
      <c r="C132" s="195"/>
      <c r="D132" s="195"/>
      <c r="E132" s="195"/>
      <c r="F132" s="199"/>
      <c r="G132" s="195"/>
      <c r="H132" s="195"/>
      <c r="I132" s="96"/>
    </row>
    <row r="133" spans="1:9" ht="18.75">
      <c r="A133" s="194"/>
      <c r="B133" s="194"/>
      <c r="C133" s="195"/>
      <c r="D133" s="195"/>
      <c r="E133" s="195"/>
      <c r="F133" s="199"/>
      <c r="G133" s="195"/>
      <c r="H133" s="195"/>
      <c r="I133" s="96"/>
    </row>
    <row r="250" spans="1:1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50"/>
  <sheetViews>
    <sheetView tabSelected="1" topLeftCell="A31" zoomScale="60" zoomScaleNormal="60" zoomScaleSheetLayoutView="40" zoomScalePageLayoutView="55" workbookViewId="0">
      <selection activeCell="E56" sqref="E56"/>
    </sheetView>
  </sheetViews>
  <sheetFormatPr defaultColWidth="9.140625" defaultRowHeight="13.5"/>
  <cols>
    <col min="1" max="1" width="55.42578125" style="386" customWidth="1"/>
    <col min="2" max="2" width="33.7109375" style="386" customWidth="1"/>
    <col min="3" max="3" width="42.28515625" style="386" customWidth="1"/>
    <col min="4" max="4" width="30.5703125" style="386" customWidth="1"/>
    <col min="5" max="5" width="39.85546875" style="386" customWidth="1"/>
    <col min="6" max="6" width="30.7109375" style="386" customWidth="1"/>
    <col min="7" max="7" width="39.85546875" style="386" customWidth="1"/>
    <col min="8" max="8" width="30" style="386" customWidth="1"/>
    <col min="9" max="9" width="30.28515625" style="386" hidden="1" customWidth="1"/>
    <col min="10" max="10" width="30.42578125" style="386" customWidth="1"/>
    <col min="11" max="11" width="21.28515625" style="386" customWidth="1"/>
    <col min="12" max="12" width="9.140625" style="386"/>
    <col min="13" max="16384" width="9.140625" style="42"/>
  </cols>
  <sheetData>
    <row r="1" spans="1:9" ht="18.75" customHeight="1">
      <c r="A1" s="454" t="s">
        <v>43</v>
      </c>
      <c r="B1" s="454"/>
      <c r="C1" s="454"/>
      <c r="D1" s="454"/>
      <c r="E1" s="454"/>
      <c r="F1" s="454"/>
      <c r="G1" s="454"/>
      <c r="H1" s="454"/>
      <c r="I1" s="454"/>
    </row>
    <row r="2" spans="1:9" ht="18.75" customHeight="1">
      <c r="A2" s="454"/>
      <c r="B2" s="454"/>
      <c r="C2" s="454"/>
      <c r="D2" s="454"/>
      <c r="E2" s="454"/>
      <c r="F2" s="454"/>
      <c r="G2" s="454"/>
      <c r="H2" s="454"/>
      <c r="I2" s="454"/>
    </row>
    <row r="3" spans="1:9" ht="18.75" customHeight="1">
      <c r="A3" s="454"/>
      <c r="B3" s="454"/>
      <c r="C3" s="454"/>
      <c r="D3" s="454"/>
      <c r="E3" s="454"/>
      <c r="F3" s="454"/>
      <c r="G3" s="454"/>
      <c r="H3" s="454"/>
      <c r="I3" s="454"/>
    </row>
    <row r="4" spans="1:9" ht="18.75" customHeight="1">
      <c r="A4" s="454"/>
      <c r="B4" s="454"/>
      <c r="C4" s="454"/>
      <c r="D4" s="454"/>
      <c r="E4" s="454"/>
      <c r="F4" s="454"/>
      <c r="G4" s="454"/>
      <c r="H4" s="454"/>
      <c r="I4" s="454"/>
    </row>
    <row r="5" spans="1:9" ht="18.75" customHeight="1">
      <c r="A5" s="454"/>
      <c r="B5" s="454"/>
      <c r="C5" s="454"/>
      <c r="D5" s="454"/>
      <c r="E5" s="454"/>
      <c r="F5" s="454"/>
      <c r="G5" s="454"/>
      <c r="H5" s="454"/>
      <c r="I5" s="454"/>
    </row>
    <row r="6" spans="1:9" ht="18.75" customHeight="1">
      <c r="A6" s="454"/>
      <c r="B6" s="454"/>
      <c r="C6" s="454"/>
      <c r="D6" s="454"/>
      <c r="E6" s="454"/>
      <c r="F6" s="454"/>
      <c r="G6" s="454"/>
      <c r="H6" s="454"/>
      <c r="I6" s="454"/>
    </row>
    <row r="7" spans="1:9" ht="18.75" customHeight="1">
      <c r="A7" s="454"/>
      <c r="B7" s="454"/>
      <c r="C7" s="454"/>
      <c r="D7" s="454"/>
      <c r="E7" s="454"/>
      <c r="F7" s="454"/>
      <c r="G7" s="454"/>
      <c r="H7" s="454"/>
      <c r="I7" s="454"/>
    </row>
    <row r="8" spans="1:9">
      <c r="A8" s="455" t="s">
        <v>44</v>
      </c>
      <c r="B8" s="455"/>
      <c r="C8" s="455"/>
      <c r="D8" s="455"/>
      <c r="E8" s="455"/>
      <c r="F8" s="455"/>
      <c r="G8" s="455"/>
      <c r="H8" s="455"/>
      <c r="I8" s="455"/>
    </row>
    <row r="9" spans="1:9">
      <c r="A9" s="455"/>
      <c r="B9" s="455"/>
      <c r="C9" s="455"/>
      <c r="D9" s="455"/>
      <c r="E9" s="455"/>
      <c r="F9" s="455"/>
      <c r="G9" s="455"/>
      <c r="H9" s="455"/>
      <c r="I9" s="455"/>
    </row>
    <row r="10" spans="1:9">
      <c r="A10" s="455"/>
      <c r="B10" s="455"/>
      <c r="C10" s="455"/>
      <c r="D10" s="455"/>
      <c r="E10" s="455"/>
      <c r="F10" s="455"/>
      <c r="G10" s="455"/>
      <c r="H10" s="455"/>
      <c r="I10" s="455"/>
    </row>
    <row r="11" spans="1:9">
      <c r="A11" s="455"/>
      <c r="B11" s="455"/>
      <c r="C11" s="455"/>
      <c r="D11" s="455"/>
      <c r="E11" s="455"/>
      <c r="F11" s="455"/>
      <c r="G11" s="455"/>
      <c r="H11" s="455"/>
      <c r="I11" s="455"/>
    </row>
    <row r="12" spans="1:9">
      <c r="A12" s="455"/>
      <c r="B12" s="455"/>
      <c r="C12" s="455"/>
      <c r="D12" s="455"/>
      <c r="E12" s="455"/>
      <c r="F12" s="455"/>
      <c r="G12" s="455"/>
      <c r="H12" s="455"/>
      <c r="I12" s="455"/>
    </row>
    <row r="13" spans="1:9">
      <c r="A13" s="455"/>
      <c r="B13" s="455"/>
      <c r="C13" s="455"/>
      <c r="D13" s="455"/>
      <c r="E13" s="455"/>
      <c r="F13" s="455"/>
      <c r="G13" s="455"/>
      <c r="H13" s="455"/>
      <c r="I13" s="455"/>
    </row>
    <row r="14" spans="1:9">
      <c r="A14" s="455"/>
      <c r="B14" s="455"/>
      <c r="C14" s="455"/>
      <c r="D14" s="455"/>
      <c r="E14" s="455"/>
      <c r="F14" s="455"/>
      <c r="G14" s="455"/>
      <c r="H14" s="455"/>
      <c r="I14" s="455"/>
    </row>
    <row r="15" spans="1:9" ht="19.5" customHeight="1" thickBot="1">
      <c r="A15" s="368"/>
    </row>
    <row r="16" spans="1:9" ht="19.5" customHeight="1" thickBot="1">
      <c r="A16" s="488" t="s">
        <v>29</v>
      </c>
      <c r="B16" s="489"/>
      <c r="C16" s="489"/>
      <c r="D16" s="489"/>
      <c r="E16" s="489"/>
      <c r="F16" s="489"/>
      <c r="G16" s="489"/>
      <c r="H16" s="490"/>
    </row>
    <row r="17" spans="1:14" ht="20.25" customHeight="1">
      <c r="A17" s="491" t="s">
        <v>45</v>
      </c>
      <c r="B17" s="491"/>
      <c r="C17" s="491"/>
      <c r="D17" s="491"/>
      <c r="E17" s="491"/>
      <c r="F17" s="491"/>
      <c r="G17" s="491"/>
      <c r="H17" s="491"/>
    </row>
    <row r="18" spans="1:14" ht="26.25" customHeight="1">
      <c r="A18" s="278" t="s">
        <v>31</v>
      </c>
      <c r="B18" s="487" t="s">
        <v>4</v>
      </c>
      <c r="C18" s="487"/>
      <c r="D18" s="422"/>
      <c r="E18" s="279"/>
      <c r="F18" s="435"/>
      <c r="G18" s="435"/>
      <c r="H18" s="435"/>
    </row>
    <row r="19" spans="1:14" ht="26.25" customHeight="1">
      <c r="A19" s="278" t="s">
        <v>32</v>
      </c>
      <c r="B19" s="436" t="s">
        <v>6</v>
      </c>
      <c r="C19" s="435">
        <v>29</v>
      </c>
      <c r="D19" s="435"/>
      <c r="E19" s="435"/>
      <c r="F19" s="435"/>
      <c r="G19" s="435"/>
      <c r="H19" s="435"/>
    </row>
    <row r="20" spans="1:14" ht="26.25" customHeight="1">
      <c r="A20" s="278" t="s">
        <v>33</v>
      </c>
      <c r="B20" s="492" t="s">
        <v>8</v>
      </c>
      <c r="C20" s="492"/>
      <c r="D20" s="435"/>
      <c r="E20" s="435"/>
      <c r="F20" s="435"/>
      <c r="G20" s="435"/>
      <c r="H20" s="435"/>
    </row>
    <row r="21" spans="1:14" ht="26.25" customHeight="1">
      <c r="A21" s="278" t="s">
        <v>34</v>
      </c>
      <c r="B21" s="492" t="s">
        <v>10</v>
      </c>
      <c r="C21" s="492"/>
      <c r="D21" s="492"/>
      <c r="E21" s="492"/>
      <c r="F21" s="492"/>
      <c r="G21" s="492"/>
      <c r="H21" s="492"/>
      <c r="I21" s="280"/>
    </row>
    <row r="22" spans="1:14" ht="26.25" customHeight="1">
      <c r="A22" s="278" t="s">
        <v>35</v>
      </c>
      <c r="B22" s="281">
        <v>42466</v>
      </c>
      <c r="C22" s="435"/>
      <c r="D22" s="435"/>
      <c r="E22" s="435"/>
      <c r="F22" s="435"/>
      <c r="G22" s="435"/>
      <c r="H22" s="435"/>
    </row>
    <row r="23" spans="1:14" ht="26.25" customHeight="1">
      <c r="A23" s="278" t="s">
        <v>36</v>
      </c>
      <c r="B23" s="281">
        <v>42475</v>
      </c>
      <c r="C23" s="435"/>
      <c r="D23" s="435"/>
      <c r="E23" s="435"/>
      <c r="F23" s="435"/>
      <c r="G23" s="435"/>
      <c r="H23" s="435"/>
    </row>
    <row r="24" spans="1:14" ht="18.75">
      <c r="A24" s="278"/>
      <c r="B24" s="282"/>
    </row>
    <row r="25" spans="1:14" ht="18.75">
      <c r="A25" s="283" t="s">
        <v>1</v>
      </c>
      <c r="B25" s="282"/>
    </row>
    <row r="26" spans="1:14" ht="26.25" customHeight="1">
      <c r="A26" s="417" t="s">
        <v>3</v>
      </c>
      <c r="B26" s="494" t="s">
        <v>127</v>
      </c>
      <c r="C26" s="487"/>
    </row>
    <row r="27" spans="1:14" ht="26.25" customHeight="1">
      <c r="A27" s="375" t="s">
        <v>46</v>
      </c>
      <c r="B27" s="493" t="s">
        <v>130</v>
      </c>
      <c r="C27" s="485"/>
    </row>
    <row r="28" spans="1:14" ht="27" customHeight="1" thickBot="1">
      <c r="A28" s="375" t="s">
        <v>5</v>
      </c>
      <c r="B28" s="370">
        <v>99.6</v>
      </c>
    </row>
    <row r="29" spans="1:14" s="15" customFormat="1" ht="27" customHeight="1" thickBot="1">
      <c r="A29" s="375" t="s">
        <v>47</v>
      </c>
      <c r="B29" s="284">
        <v>0</v>
      </c>
      <c r="C29" s="462" t="s">
        <v>48</v>
      </c>
      <c r="D29" s="463"/>
      <c r="E29" s="463"/>
      <c r="F29" s="463"/>
      <c r="G29" s="464"/>
      <c r="I29" s="285"/>
      <c r="J29" s="285"/>
      <c r="K29" s="285"/>
      <c r="L29" s="285"/>
    </row>
    <row r="30" spans="1:14" s="15" customFormat="1" ht="19.5" customHeight="1" thickBot="1">
      <c r="A30" s="375" t="s">
        <v>49</v>
      </c>
      <c r="B30" s="439">
        <f>B28-B29</f>
        <v>99.6</v>
      </c>
      <c r="C30" s="286"/>
      <c r="D30" s="286"/>
      <c r="E30" s="286"/>
      <c r="F30" s="286"/>
      <c r="G30" s="287"/>
      <c r="I30" s="285"/>
      <c r="J30" s="285"/>
      <c r="K30" s="285"/>
      <c r="L30" s="285"/>
    </row>
    <row r="31" spans="1:14" s="15" customFormat="1" ht="27" customHeight="1" thickBot="1">
      <c r="A31" s="375" t="s">
        <v>50</v>
      </c>
      <c r="B31" s="288">
        <v>1</v>
      </c>
      <c r="C31" s="465" t="s">
        <v>51</v>
      </c>
      <c r="D31" s="466"/>
      <c r="E31" s="466"/>
      <c r="F31" s="466"/>
      <c r="G31" s="466"/>
      <c r="H31" s="467"/>
      <c r="I31" s="285"/>
      <c r="J31" s="285"/>
      <c r="K31" s="285"/>
      <c r="L31" s="285"/>
    </row>
    <row r="32" spans="1:14" s="15" customFormat="1" ht="27" customHeight="1" thickBot="1">
      <c r="A32" s="375" t="s">
        <v>52</v>
      </c>
      <c r="B32" s="288">
        <v>1</v>
      </c>
      <c r="C32" s="465" t="s">
        <v>53</v>
      </c>
      <c r="D32" s="466"/>
      <c r="E32" s="466"/>
      <c r="F32" s="466"/>
      <c r="G32" s="466"/>
      <c r="H32" s="467"/>
      <c r="I32" s="285"/>
      <c r="J32" s="285"/>
      <c r="K32" s="285"/>
      <c r="L32" s="289"/>
      <c r="M32" s="289"/>
      <c r="N32" s="290"/>
    </row>
    <row r="33" spans="1:14" s="15" customFormat="1" ht="17.25" customHeight="1">
      <c r="A33" s="375"/>
      <c r="B33" s="291"/>
      <c r="C33" s="292"/>
      <c r="D33" s="292"/>
      <c r="E33" s="292"/>
      <c r="F33" s="292"/>
      <c r="G33" s="292"/>
      <c r="H33" s="292"/>
      <c r="I33" s="285"/>
      <c r="J33" s="285"/>
      <c r="K33" s="285"/>
      <c r="L33" s="289"/>
      <c r="M33" s="289"/>
      <c r="N33" s="290"/>
    </row>
    <row r="34" spans="1:14" s="15" customFormat="1" ht="18.75">
      <c r="A34" s="375" t="s">
        <v>54</v>
      </c>
      <c r="B34" s="293">
        <f>B31/B32</f>
        <v>1</v>
      </c>
      <c r="C34" s="368" t="s">
        <v>55</v>
      </c>
      <c r="D34" s="368"/>
      <c r="E34" s="368"/>
      <c r="F34" s="368"/>
      <c r="G34" s="368"/>
      <c r="I34" s="285"/>
      <c r="J34" s="285"/>
      <c r="K34" s="285"/>
      <c r="L34" s="289"/>
      <c r="M34" s="289"/>
      <c r="N34" s="290"/>
    </row>
    <row r="35" spans="1:14" s="15" customFormat="1" ht="19.5" customHeight="1" thickBot="1">
      <c r="A35" s="375"/>
      <c r="B35" s="439"/>
      <c r="G35" s="368"/>
      <c r="I35" s="285"/>
      <c r="J35" s="285"/>
      <c r="K35" s="285"/>
      <c r="L35" s="289"/>
      <c r="M35" s="289"/>
      <c r="N35" s="290"/>
    </row>
    <row r="36" spans="1:14" s="15" customFormat="1" ht="27" customHeight="1" thickBot="1">
      <c r="A36" s="294" t="s">
        <v>56</v>
      </c>
      <c r="B36" s="295">
        <v>100</v>
      </c>
      <c r="C36" s="368"/>
      <c r="D36" s="468" t="s">
        <v>57</v>
      </c>
      <c r="E36" s="486"/>
      <c r="F36" s="468" t="s">
        <v>58</v>
      </c>
      <c r="G36" s="469"/>
      <c r="J36" s="285"/>
      <c r="K36" s="285"/>
      <c r="L36" s="289"/>
      <c r="M36" s="289"/>
      <c r="N36" s="290"/>
    </row>
    <row r="37" spans="1:14" s="15" customFormat="1" ht="27" customHeight="1" thickBot="1">
      <c r="A37" s="296" t="s">
        <v>59</v>
      </c>
      <c r="B37" s="297">
        <v>3</v>
      </c>
      <c r="C37" s="298" t="s">
        <v>60</v>
      </c>
      <c r="D37" s="299" t="s">
        <v>61</v>
      </c>
      <c r="E37" s="300" t="s">
        <v>62</v>
      </c>
      <c r="F37" s="299" t="s">
        <v>61</v>
      </c>
      <c r="G37" s="301" t="s">
        <v>62</v>
      </c>
      <c r="I37" s="302" t="s">
        <v>63</v>
      </c>
      <c r="J37" s="285"/>
      <c r="K37" s="285"/>
      <c r="L37" s="289"/>
      <c r="M37" s="289"/>
      <c r="N37" s="290"/>
    </row>
    <row r="38" spans="1:14" s="15" customFormat="1" ht="26.25" customHeight="1">
      <c r="A38" s="296" t="s">
        <v>64</v>
      </c>
      <c r="B38" s="297">
        <v>20</v>
      </c>
      <c r="C38" s="303">
        <v>1</v>
      </c>
      <c r="D38" s="304">
        <v>15439948</v>
      </c>
      <c r="E38" s="305">
        <f>IF(ISBLANK(D38),"-",$D$48/$D$45*D38)</f>
        <v>12275738.340642948</v>
      </c>
      <c r="F38" s="304">
        <v>13343998</v>
      </c>
      <c r="G38" s="306">
        <f>IF(ISBLANK(F38),"-",$D$48/$F$45*F38)</f>
        <v>11781336.282199424</v>
      </c>
      <c r="I38" s="307"/>
      <c r="J38" s="285"/>
      <c r="K38" s="285"/>
      <c r="L38" s="289"/>
      <c r="M38" s="289"/>
      <c r="N38" s="290"/>
    </row>
    <row r="39" spans="1:14" s="15" customFormat="1" ht="26.25" customHeight="1">
      <c r="A39" s="296" t="s">
        <v>65</v>
      </c>
      <c r="B39" s="297">
        <v>1</v>
      </c>
      <c r="C39" s="325">
        <v>2</v>
      </c>
      <c r="D39" s="308">
        <v>15330795</v>
      </c>
      <c r="E39" s="309">
        <f>IF(ISBLANK(D39),"-",$D$48/$D$45*D39)</f>
        <v>12188954.779772393</v>
      </c>
      <c r="F39" s="308">
        <v>13380090</v>
      </c>
      <c r="G39" s="310">
        <f>IF(ISBLANK(F39),"-",$D$48/$F$45*F39)</f>
        <v>11813201.693832215</v>
      </c>
      <c r="I39" s="470">
        <f>ABS((F43/D43*D42)-F42)/D42</f>
        <v>3.0772189744081864E-2</v>
      </c>
      <c r="J39" s="285"/>
      <c r="K39" s="285"/>
      <c r="L39" s="289"/>
      <c r="M39" s="289"/>
      <c r="N39" s="290"/>
    </row>
    <row r="40" spans="1:14" ht="26.25" customHeight="1">
      <c r="A40" s="296" t="s">
        <v>66</v>
      </c>
      <c r="B40" s="297">
        <v>1</v>
      </c>
      <c r="C40" s="325">
        <v>3</v>
      </c>
      <c r="D40" s="308">
        <v>15345510</v>
      </c>
      <c r="E40" s="309">
        <f>IF(ISBLANK(D40),"-",$D$48/$D$45*D40)</f>
        <v>12200654.138454337</v>
      </c>
      <c r="F40" s="308">
        <v>13385407</v>
      </c>
      <c r="G40" s="310">
        <f>IF(ISBLANK(F40),"-",$D$48/$F$45*F40)</f>
        <v>11817896.041434221</v>
      </c>
      <c r="I40" s="470"/>
      <c r="L40" s="289"/>
      <c r="M40" s="289"/>
      <c r="N40" s="368"/>
    </row>
    <row r="41" spans="1:14" ht="27" customHeight="1" thickBot="1">
      <c r="A41" s="296" t="s">
        <v>67</v>
      </c>
      <c r="B41" s="297">
        <v>1</v>
      </c>
      <c r="C41" s="311">
        <v>4</v>
      </c>
      <c r="D41" s="312"/>
      <c r="E41" s="313" t="str">
        <f>IF(ISBLANK(D41),"-",$D$48/$D$45*D41)</f>
        <v>-</v>
      </c>
      <c r="F41" s="312"/>
      <c r="G41" s="314" t="str">
        <f>IF(ISBLANK(F41),"-",$D$48/$F$45*F41)</f>
        <v>-</v>
      </c>
      <c r="I41" s="315"/>
      <c r="L41" s="289"/>
      <c r="M41" s="289"/>
      <c r="N41" s="368"/>
    </row>
    <row r="42" spans="1:14" ht="27" customHeight="1" thickBot="1">
      <c r="A42" s="296" t="s">
        <v>68</v>
      </c>
      <c r="B42" s="297">
        <v>1</v>
      </c>
      <c r="C42" s="316" t="s">
        <v>69</v>
      </c>
      <c r="D42" s="317">
        <f>AVERAGE(D38:D41)</f>
        <v>15372084.333333334</v>
      </c>
      <c r="E42" s="318">
        <f>AVERAGE(E38:E41)</f>
        <v>12221782.419623226</v>
      </c>
      <c r="F42" s="317">
        <f>AVERAGE(F38:F41)</f>
        <v>13369831.666666666</v>
      </c>
      <c r="G42" s="319">
        <f>AVERAGE(G38:G41)</f>
        <v>11804144.672488621</v>
      </c>
      <c r="H42" s="320"/>
    </row>
    <row r="43" spans="1:14" ht="26.25" customHeight="1">
      <c r="A43" s="296" t="s">
        <v>70</v>
      </c>
      <c r="B43" s="297">
        <v>1</v>
      </c>
      <c r="C43" s="321" t="s">
        <v>71</v>
      </c>
      <c r="D43" s="322">
        <v>26.94</v>
      </c>
      <c r="E43" s="368"/>
      <c r="F43" s="322">
        <v>24.26</v>
      </c>
      <c r="H43" s="320"/>
    </row>
    <row r="44" spans="1:14" ht="26.25" customHeight="1">
      <c r="A44" s="296" t="s">
        <v>72</v>
      </c>
      <c r="B44" s="297">
        <v>1</v>
      </c>
      <c r="C44" s="323" t="s">
        <v>73</v>
      </c>
      <c r="D44" s="324">
        <f>D43*$B$34</f>
        <v>26.94</v>
      </c>
      <c r="E44" s="383"/>
      <c r="F44" s="324">
        <f>F43*$B$34</f>
        <v>24.26</v>
      </c>
      <c r="H44" s="320"/>
    </row>
    <row r="45" spans="1:14" ht="19.5" customHeight="1" thickBot="1">
      <c r="A45" s="296" t="s">
        <v>74</v>
      </c>
      <c r="B45" s="325">
        <f>(B44/B43)*(B42/B41)*(B40/B39)*(B38/B37)*B36</f>
        <v>666.66666666666674</v>
      </c>
      <c r="C45" s="323" t="s">
        <v>75</v>
      </c>
      <c r="D45" s="326">
        <f>D44*$B$30/100</f>
        <v>26.832240000000002</v>
      </c>
      <c r="E45" s="365"/>
      <c r="F45" s="326">
        <f>F44*$B$30/100</f>
        <v>24.162959999999998</v>
      </c>
      <c r="H45" s="320"/>
    </row>
    <row r="46" spans="1:14" ht="19.5" customHeight="1" thickBot="1">
      <c r="A46" s="456" t="s">
        <v>76</v>
      </c>
      <c r="B46" s="457"/>
      <c r="C46" s="323" t="s">
        <v>77</v>
      </c>
      <c r="D46" s="327">
        <f>D45/$B$45</f>
        <v>4.0248359999999997E-2</v>
      </c>
      <c r="E46" s="328"/>
      <c r="F46" s="329">
        <f>F45/$B$45</f>
        <v>3.6244439999999996E-2</v>
      </c>
      <c r="H46" s="320"/>
    </row>
    <row r="47" spans="1:14" ht="27" customHeight="1" thickBot="1">
      <c r="A47" s="458"/>
      <c r="B47" s="459"/>
      <c r="C47" s="330" t="s">
        <v>78</v>
      </c>
      <c r="D47" s="331">
        <v>3.2000000000000001E-2</v>
      </c>
      <c r="E47" s="332"/>
      <c r="F47" s="328"/>
      <c r="H47" s="320"/>
    </row>
    <row r="48" spans="1:14" ht="18.75">
      <c r="C48" s="333" t="s">
        <v>79</v>
      </c>
      <c r="D48" s="326">
        <f>D47*$B$45</f>
        <v>21.333333333333336</v>
      </c>
      <c r="F48" s="334"/>
      <c r="H48" s="320"/>
    </row>
    <row r="49" spans="1:12" ht="19.5" customHeight="1" thickBot="1">
      <c r="C49" s="335" t="s">
        <v>80</v>
      </c>
      <c r="D49" s="336">
        <f>D48/B34</f>
        <v>21.333333333333336</v>
      </c>
      <c r="F49" s="334"/>
      <c r="H49" s="320"/>
    </row>
    <row r="50" spans="1:12" ht="18.75">
      <c r="C50" s="294" t="s">
        <v>81</v>
      </c>
      <c r="D50" s="337">
        <f>AVERAGE(E38:E41,G38:G41)</f>
        <v>12012963.546055922</v>
      </c>
      <c r="F50" s="338"/>
      <c r="H50" s="320"/>
    </row>
    <row r="51" spans="1:12" ht="18.75">
      <c r="C51" s="296" t="s">
        <v>82</v>
      </c>
      <c r="D51" s="339">
        <f>STDEV(E38:E41,G38:G41)/D50</f>
        <v>1.9231157607895694E-2</v>
      </c>
      <c r="F51" s="338"/>
      <c r="H51" s="320"/>
    </row>
    <row r="52" spans="1:12" ht="19.5" customHeight="1" thickBot="1">
      <c r="C52" s="340" t="s">
        <v>19</v>
      </c>
      <c r="D52" s="341">
        <f>COUNT(E38:E41,G38:G41)</f>
        <v>6</v>
      </c>
      <c r="F52" s="338"/>
    </row>
    <row r="54" spans="1:12" ht="18.75">
      <c r="A54" s="342" t="s">
        <v>1</v>
      </c>
      <c r="B54" s="343" t="s">
        <v>83</v>
      </c>
    </row>
    <row r="55" spans="1:12" ht="18.75">
      <c r="A55" s="368" t="s">
        <v>84</v>
      </c>
      <c r="B55" s="344" t="str">
        <f>B21</f>
        <v>Each tablet contains: Sulphamethoxazole B.P. 800 mg and Trimethoprim B.P. 160 mg.</v>
      </c>
    </row>
    <row r="56" spans="1:12" ht="26.25" customHeight="1">
      <c r="A56" s="344" t="s">
        <v>85</v>
      </c>
      <c r="B56" s="345">
        <v>160</v>
      </c>
      <c r="C56" s="368" t="str">
        <f>B20</f>
        <v>each tablets contains sulphamethoxazole 800mg Trimethoprim 160mg.</v>
      </c>
      <c r="H56" s="383"/>
    </row>
    <row r="57" spans="1:12" ht="18.75">
      <c r="A57" s="344" t="s">
        <v>86</v>
      </c>
      <c r="B57" s="423">
        <f>Uniformity!C46</f>
        <v>1042.7159999999999</v>
      </c>
      <c r="H57" s="383"/>
    </row>
    <row r="58" spans="1:12" ht="19.5" customHeight="1" thickBot="1">
      <c r="H58" s="383"/>
    </row>
    <row r="59" spans="1:12" s="15" customFormat="1" ht="27" customHeight="1" thickBot="1">
      <c r="A59" s="294" t="s">
        <v>87</v>
      </c>
      <c r="B59" s="295">
        <v>200</v>
      </c>
      <c r="C59" s="368"/>
      <c r="D59" s="346" t="s">
        <v>88</v>
      </c>
      <c r="E59" s="347" t="s">
        <v>60</v>
      </c>
      <c r="F59" s="347" t="s">
        <v>61</v>
      </c>
      <c r="G59" s="347" t="s">
        <v>89</v>
      </c>
      <c r="H59" s="298" t="s">
        <v>90</v>
      </c>
      <c r="L59" s="285"/>
    </row>
    <row r="60" spans="1:12" s="15" customFormat="1" ht="26.25" customHeight="1">
      <c r="A60" s="296" t="s">
        <v>91</v>
      </c>
      <c r="B60" s="297">
        <v>2</v>
      </c>
      <c r="C60" s="473" t="s">
        <v>92</v>
      </c>
      <c r="D60" s="476">
        <f>Sulfamethoxazole!D60</f>
        <v>1048.52</v>
      </c>
      <c r="E60" s="348">
        <v>1</v>
      </c>
      <c r="F60" s="349">
        <v>11568307</v>
      </c>
      <c r="G60" s="424">
        <f>IF(ISBLANK(F60),"-",(F60/$D$50*$D$47*$B$68)*($B$57/$D$60))</f>
        <v>153.22475926644938</v>
      </c>
      <c r="H60" s="350">
        <f t="shared" ref="H60:H71" si="0">IF(ISBLANK(F60),"-",G60/$B$56)</f>
        <v>0.95765474541530859</v>
      </c>
      <c r="L60" s="285"/>
    </row>
    <row r="61" spans="1:12" s="15" customFormat="1" ht="26.25" customHeight="1">
      <c r="A61" s="296" t="s">
        <v>93</v>
      </c>
      <c r="B61" s="297">
        <v>50</v>
      </c>
      <c r="C61" s="474"/>
      <c r="D61" s="477"/>
      <c r="E61" s="351">
        <v>2</v>
      </c>
      <c r="F61" s="308">
        <v>11562072</v>
      </c>
      <c r="G61" s="425">
        <f>IF(ISBLANK(F61),"-",(F61/$D$50*$D$47*$B$68)*($B$57/$D$60))</f>
        <v>153.14217532620415</v>
      </c>
      <c r="H61" s="352">
        <f t="shared" si="0"/>
        <v>0.95713859578877591</v>
      </c>
      <c r="L61" s="285"/>
    </row>
    <row r="62" spans="1:12" s="15" customFormat="1" ht="26.25" customHeight="1">
      <c r="A62" s="296" t="s">
        <v>94</v>
      </c>
      <c r="B62" s="297">
        <v>1</v>
      </c>
      <c r="C62" s="474"/>
      <c r="D62" s="477"/>
      <c r="E62" s="351">
        <v>3</v>
      </c>
      <c r="F62" s="353">
        <v>11562591</v>
      </c>
      <c r="G62" s="425">
        <f>IF(ISBLANK(F62),"-",(F62/$D$50*$D$47*$B$68)*($B$57/$D$60))</f>
        <v>153.14904959484684</v>
      </c>
      <c r="H62" s="352">
        <f t="shared" si="0"/>
        <v>0.95718155996779275</v>
      </c>
      <c r="L62" s="285"/>
    </row>
    <row r="63" spans="1:12" ht="27" customHeight="1" thickBot="1">
      <c r="A63" s="296" t="s">
        <v>95</v>
      </c>
      <c r="B63" s="297">
        <v>1</v>
      </c>
      <c r="C63" s="484"/>
      <c r="D63" s="478"/>
      <c r="E63" s="354">
        <v>4</v>
      </c>
      <c r="F63" s="355"/>
      <c r="G63" s="425" t="str">
        <f>IF(ISBLANK(F63),"-",(F63/$D$50*$D$47*$B$68)*($B$57/$D$60))</f>
        <v>-</v>
      </c>
      <c r="H63" s="352" t="str">
        <f t="shared" si="0"/>
        <v>-</v>
      </c>
    </row>
    <row r="64" spans="1:12" ht="26.25" customHeight="1">
      <c r="A64" s="296" t="s">
        <v>96</v>
      </c>
      <c r="B64" s="297">
        <v>1</v>
      </c>
      <c r="C64" s="473" t="s">
        <v>97</v>
      </c>
      <c r="D64" s="476">
        <f>Sulfamethoxazole!D64</f>
        <v>1038.42</v>
      </c>
      <c r="E64" s="348">
        <v>1</v>
      </c>
      <c r="F64" s="349">
        <v>11700082</v>
      </c>
      <c r="G64" s="426">
        <f>IF(ISBLANK(F64),"-",(F64/$D$50*$D$47*$B$68)*($B$57/$D$64))</f>
        <v>156.47743646720241</v>
      </c>
      <c r="H64" s="356">
        <f t="shared" si="0"/>
        <v>0.97798397792001501</v>
      </c>
    </row>
    <row r="65" spans="1:8" ht="26.25" customHeight="1">
      <c r="A65" s="296" t="s">
        <v>98</v>
      </c>
      <c r="B65" s="297">
        <v>1</v>
      </c>
      <c r="C65" s="474"/>
      <c r="D65" s="477"/>
      <c r="E65" s="351">
        <v>2</v>
      </c>
      <c r="F65" s="308">
        <v>11684653</v>
      </c>
      <c r="G65" s="427">
        <f>IF(ISBLANK(F65),"-",(F65/$D$50*$D$47*$B$68)*($B$57/$D$64))</f>
        <v>156.2710883093645</v>
      </c>
      <c r="H65" s="357">
        <f t="shared" si="0"/>
        <v>0.97669430193352813</v>
      </c>
    </row>
    <row r="66" spans="1:8" ht="26.25" customHeight="1">
      <c r="A66" s="296" t="s">
        <v>99</v>
      </c>
      <c r="B66" s="297">
        <v>1</v>
      </c>
      <c r="C66" s="474"/>
      <c r="D66" s="477"/>
      <c r="E66" s="351">
        <v>3</v>
      </c>
      <c r="F66" s="308">
        <v>11716295</v>
      </c>
      <c r="G66" s="427">
        <f>IF(ISBLANK(F66),"-",(F66/$D$50*$D$47*$B$68)*($B$57/$D$64))</f>
        <v>156.69426987721124</v>
      </c>
      <c r="H66" s="357">
        <f t="shared" si="0"/>
        <v>0.97933918673257025</v>
      </c>
    </row>
    <row r="67" spans="1:8" ht="27" customHeight="1" thickBot="1">
      <c r="A67" s="296" t="s">
        <v>100</v>
      </c>
      <c r="B67" s="297">
        <v>1</v>
      </c>
      <c r="C67" s="484"/>
      <c r="D67" s="478"/>
      <c r="E67" s="354">
        <v>4</v>
      </c>
      <c r="F67" s="355"/>
      <c r="G67" s="428" t="str">
        <f>IF(ISBLANK(F67),"-",(F67/$D$50*$D$47*$B$68)*($B$57/$D$64))</f>
        <v>-</v>
      </c>
      <c r="H67" s="358" t="str">
        <f t="shared" si="0"/>
        <v>-</v>
      </c>
    </row>
    <row r="68" spans="1:8" ht="26.25" customHeight="1">
      <c r="A68" s="296" t="s">
        <v>101</v>
      </c>
      <c r="B68" s="359">
        <f>(B67/B66)*(B65/B64)*(B63/B62)*(B61/B60)*B59</f>
        <v>5000</v>
      </c>
      <c r="C68" s="473" t="s">
        <v>102</v>
      </c>
      <c r="D68" s="476">
        <f>Sulfamethoxazole!D68</f>
        <v>1068.0999999999999</v>
      </c>
      <c r="E68" s="348">
        <v>1</v>
      </c>
      <c r="F68" s="349">
        <v>11815772</v>
      </c>
      <c r="G68" s="426">
        <f>IF(ISBLANK(F68),"-",(F68/$D$50*$D$47*$B$68)*($B$57/$D$68))</f>
        <v>153.63354373665433</v>
      </c>
      <c r="H68" s="352">
        <f t="shared" si="0"/>
        <v>0.96020964835408962</v>
      </c>
    </row>
    <row r="69" spans="1:8" ht="27" customHeight="1" thickBot="1">
      <c r="A69" s="340" t="s">
        <v>103</v>
      </c>
      <c r="B69" s="360">
        <f>(D47*B68)/B56*B57</f>
        <v>1042.7159999999999</v>
      </c>
      <c r="C69" s="474"/>
      <c r="D69" s="477"/>
      <c r="E69" s="351">
        <v>2</v>
      </c>
      <c r="F69" s="308">
        <v>11805782</v>
      </c>
      <c r="G69" s="427">
        <f>IF(ISBLANK(F69),"-",(F69/$D$50*$D$47*$B$68)*($B$57/$D$68))</f>
        <v>153.50364963393051</v>
      </c>
      <c r="H69" s="352">
        <f t="shared" si="0"/>
        <v>0.95939781021206572</v>
      </c>
    </row>
    <row r="70" spans="1:8" ht="26.25" customHeight="1">
      <c r="A70" s="479" t="s">
        <v>76</v>
      </c>
      <c r="B70" s="480"/>
      <c r="C70" s="474"/>
      <c r="D70" s="477"/>
      <c r="E70" s="351">
        <v>3</v>
      </c>
      <c r="F70" s="308">
        <v>11795834</v>
      </c>
      <c r="G70" s="427">
        <f>IF(ISBLANK(F70),"-",(F70/$D$50*$D$47*$B$68)*($B$57/$D$68))</f>
        <v>153.37430163253947</v>
      </c>
      <c r="H70" s="352">
        <f t="shared" si="0"/>
        <v>0.95858938520337167</v>
      </c>
    </row>
    <row r="71" spans="1:8" ht="27" customHeight="1" thickBot="1">
      <c r="A71" s="481"/>
      <c r="B71" s="482"/>
      <c r="C71" s="475"/>
      <c r="D71" s="478"/>
      <c r="E71" s="354">
        <v>4</v>
      </c>
      <c r="F71" s="355"/>
      <c r="G71" s="428" t="str">
        <f>IF(ISBLANK(F71),"-",(F71/$D$50*$D$47*$B$68)*($B$57/$D$68))</f>
        <v>-</v>
      </c>
      <c r="H71" s="361" t="str">
        <f t="shared" si="0"/>
        <v>-</v>
      </c>
    </row>
    <row r="72" spans="1:8" ht="26.25" customHeight="1">
      <c r="A72" s="383"/>
      <c r="B72" s="383"/>
      <c r="C72" s="383"/>
      <c r="D72" s="383"/>
      <c r="E72" s="383"/>
      <c r="F72" s="362" t="s">
        <v>69</v>
      </c>
      <c r="G72" s="433">
        <f>AVERAGE(G60:G71)</f>
        <v>154.38558598271143</v>
      </c>
      <c r="H72" s="363">
        <f>AVERAGE(H60:H71)</f>
        <v>0.96490991239194634</v>
      </c>
    </row>
    <row r="73" spans="1:8" ht="26.25" customHeight="1">
      <c r="C73" s="383"/>
      <c r="D73" s="383"/>
      <c r="E73" s="383"/>
      <c r="F73" s="364" t="s">
        <v>82</v>
      </c>
      <c r="G73" s="429">
        <f>STDEV(G60:G71)/G72</f>
        <v>1.0254200783803914E-2</v>
      </c>
      <c r="H73" s="429">
        <f>STDEV(H60:H71)/H72</f>
        <v>1.0254200783816926E-2</v>
      </c>
    </row>
    <row r="74" spans="1:8" ht="27" customHeight="1" thickBot="1">
      <c r="A74" s="383"/>
      <c r="B74" s="383"/>
      <c r="C74" s="383"/>
      <c r="D74" s="383"/>
      <c r="E74" s="365"/>
      <c r="F74" s="366" t="s">
        <v>19</v>
      </c>
      <c r="G74" s="367">
        <f>COUNT(G60:G71)</f>
        <v>9</v>
      </c>
      <c r="H74" s="367">
        <f>COUNT(H60:H71)</f>
        <v>9</v>
      </c>
    </row>
    <row r="76" spans="1:8" ht="26.25" customHeight="1">
      <c r="A76" s="417" t="s">
        <v>104</v>
      </c>
      <c r="B76" s="375" t="s">
        <v>105</v>
      </c>
      <c r="C76" s="460" t="str">
        <f>B20</f>
        <v>each tablets contains sulphamethoxazole 800mg Trimethoprim 160mg.</v>
      </c>
      <c r="D76" s="460"/>
      <c r="E76" s="368" t="s">
        <v>106</v>
      </c>
      <c r="F76" s="368"/>
      <c r="G76" s="369">
        <f>H72</f>
        <v>0.96490991239194634</v>
      </c>
      <c r="H76" s="439"/>
    </row>
    <row r="77" spans="1:8" ht="18.75">
      <c r="A77" s="283" t="s">
        <v>107</v>
      </c>
      <c r="B77" s="283" t="s">
        <v>108</v>
      </c>
    </row>
    <row r="78" spans="1:8" ht="18.75">
      <c r="A78" s="283"/>
      <c r="B78" s="283"/>
    </row>
    <row r="79" spans="1:8" ht="26.25" customHeight="1">
      <c r="A79" s="417" t="s">
        <v>3</v>
      </c>
      <c r="B79" s="483" t="str">
        <f>B26</f>
        <v>Trimethoprim</v>
      </c>
      <c r="C79" s="483"/>
    </row>
    <row r="80" spans="1:8" ht="26.25" customHeight="1">
      <c r="A80" s="375" t="s">
        <v>46</v>
      </c>
      <c r="B80" s="483" t="str">
        <f>B27</f>
        <v>T7-001</v>
      </c>
      <c r="C80" s="483"/>
    </row>
    <row r="81" spans="1:12" ht="27" customHeight="1" thickBot="1">
      <c r="A81" s="375" t="s">
        <v>5</v>
      </c>
      <c r="B81" s="370">
        <f>B28</f>
        <v>99.6</v>
      </c>
    </row>
    <row r="82" spans="1:12" s="15" customFormat="1" ht="27" customHeight="1" thickBot="1">
      <c r="A82" s="375" t="s">
        <v>47</v>
      </c>
      <c r="B82" s="284">
        <v>0</v>
      </c>
      <c r="C82" s="462" t="s">
        <v>48</v>
      </c>
      <c r="D82" s="463"/>
      <c r="E82" s="463"/>
      <c r="F82" s="463"/>
      <c r="G82" s="464"/>
      <c r="I82" s="285"/>
      <c r="J82" s="285"/>
      <c r="K82" s="285"/>
      <c r="L82" s="285"/>
    </row>
    <row r="83" spans="1:12" s="15" customFormat="1" ht="19.5" customHeight="1" thickBot="1">
      <c r="A83" s="375" t="s">
        <v>49</v>
      </c>
      <c r="B83" s="439">
        <f>B81-B82</f>
        <v>99.6</v>
      </c>
      <c r="C83" s="286"/>
      <c r="D83" s="286"/>
      <c r="E83" s="286"/>
      <c r="F83" s="286"/>
      <c r="G83" s="287"/>
      <c r="I83" s="285"/>
      <c r="J83" s="285"/>
      <c r="K83" s="285"/>
      <c r="L83" s="285"/>
    </row>
    <row r="84" spans="1:12" s="15" customFormat="1" ht="27" customHeight="1" thickBot="1">
      <c r="A84" s="375" t="s">
        <v>50</v>
      </c>
      <c r="B84" s="288">
        <v>1</v>
      </c>
      <c r="C84" s="465" t="s">
        <v>109</v>
      </c>
      <c r="D84" s="466"/>
      <c r="E84" s="466"/>
      <c r="F84" s="466"/>
      <c r="G84" s="466"/>
      <c r="H84" s="467"/>
      <c r="I84" s="285"/>
      <c r="J84" s="285"/>
      <c r="K84" s="285"/>
      <c r="L84" s="285"/>
    </row>
    <row r="85" spans="1:12" s="15" customFormat="1" ht="27" customHeight="1" thickBot="1">
      <c r="A85" s="375" t="s">
        <v>52</v>
      </c>
      <c r="B85" s="288">
        <v>1</v>
      </c>
      <c r="C85" s="465" t="s">
        <v>110</v>
      </c>
      <c r="D85" s="466"/>
      <c r="E85" s="466"/>
      <c r="F85" s="466"/>
      <c r="G85" s="466"/>
      <c r="H85" s="467"/>
      <c r="I85" s="285"/>
      <c r="J85" s="285"/>
      <c r="K85" s="285"/>
      <c r="L85" s="285"/>
    </row>
    <row r="86" spans="1:12" s="15" customFormat="1" ht="18.75">
      <c r="A86" s="375"/>
      <c r="B86" s="291"/>
      <c r="C86" s="292"/>
      <c r="D86" s="292"/>
      <c r="E86" s="292"/>
      <c r="F86" s="292"/>
      <c r="G86" s="292"/>
      <c r="H86" s="292"/>
      <c r="I86" s="285"/>
      <c r="J86" s="285"/>
      <c r="K86" s="285"/>
      <c r="L86" s="285"/>
    </row>
    <row r="87" spans="1:12" s="15" customFormat="1" ht="18.75">
      <c r="A87" s="375" t="s">
        <v>54</v>
      </c>
      <c r="B87" s="293">
        <f>B84/B85</f>
        <v>1</v>
      </c>
      <c r="C87" s="368" t="s">
        <v>55</v>
      </c>
      <c r="D87" s="368"/>
      <c r="E87" s="368"/>
      <c r="F87" s="368"/>
      <c r="G87" s="368"/>
      <c r="I87" s="285"/>
      <c r="J87" s="285"/>
      <c r="K87" s="285"/>
      <c r="L87" s="285"/>
    </row>
    <row r="88" spans="1:12" ht="19.5" customHeight="1" thickBot="1">
      <c r="A88" s="283"/>
      <c r="B88" s="283"/>
    </row>
    <row r="89" spans="1:12" ht="27" customHeight="1" thickBot="1">
      <c r="A89" s="294" t="s">
        <v>56</v>
      </c>
      <c r="B89" s="295">
        <v>100</v>
      </c>
      <c r="D89" s="437" t="s">
        <v>57</v>
      </c>
      <c r="E89" s="438"/>
      <c r="F89" s="468" t="s">
        <v>58</v>
      </c>
      <c r="G89" s="469"/>
    </row>
    <row r="90" spans="1:12" ht="27" customHeight="1" thickBot="1">
      <c r="A90" s="296" t="s">
        <v>59</v>
      </c>
      <c r="B90" s="297">
        <v>3</v>
      </c>
      <c r="C90" s="440" t="s">
        <v>60</v>
      </c>
      <c r="D90" s="299" t="s">
        <v>61</v>
      </c>
      <c r="E90" s="300" t="s">
        <v>62</v>
      </c>
      <c r="F90" s="299" t="s">
        <v>61</v>
      </c>
      <c r="G90" s="371" t="s">
        <v>62</v>
      </c>
      <c r="I90" s="302" t="s">
        <v>63</v>
      </c>
    </row>
    <row r="91" spans="1:12" ht="26.25" customHeight="1">
      <c r="A91" s="296" t="s">
        <v>64</v>
      </c>
      <c r="B91" s="297">
        <v>20</v>
      </c>
      <c r="C91" s="372">
        <v>1</v>
      </c>
      <c r="D91" s="304">
        <v>15439948</v>
      </c>
      <c r="E91" s="305">
        <f>IF(ISBLANK(D91),"-",$D$101/$D$98*D91)</f>
        <v>6819854.6336905267</v>
      </c>
      <c r="F91" s="304">
        <v>13343998</v>
      </c>
      <c r="G91" s="306">
        <f>IF(ISBLANK(F91),"-",$D$101/$F$98*F91)</f>
        <v>6545186.8234441243</v>
      </c>
      <c r="I91" s="307"/>
    </row>
    <row r="92" spans="1:12" ht="26.25" customHeight="1">
      <c r="A92" s="296" t="s">
        <v>65</v>
      </c>
      <c r="B92" s="297">
        <v>1</v>
      </c>
      <c r="C92" s="383">
        <v>2</v>
      </c>
      <c r="D92" s="308">
        <v>15330795</v>
      </c>
      <c r="E92" s="309">
        <f>IF(ISBLANK(D92),"-",$D$101/$D$98*D92)</f>
        <v>6771641.5443179961</v>
      </c>
      <c r="F92" s="308">
        <v>13380090</v>
      </c>
      <c r="G92" s="310">
        <f>IF(ISBLANK(F92),"-",$D$101/$F$98*F92)</f>
        <v>6562889.8299067859</v>
      </c>
      <c r="I92" s="470">
        <f>ABS((F96/D96*D95)-F95)/D95</f>
        <v>3.0772189744081864E-2</v>
      </c>
    </row>
    <row r="93" spans="1:12" ht="26.25" customHeight="1">
      <c r="A93" s="296" t="s">
        <v>66</v>
      </c>
      <c r="B93" s="297">
        <v>1</v>
      </c>
      <c r="C93" s="383">
        <v>3</v>
      </c>
      <c r="D93" s="308">
        <v>15345510</v>
      </c>
      <c r="E93" s="309">
        <f>IF(ISBLANK(D93),"-",$D$101/$D$98*D93)</f>
        <v>6778141.188030188</v>
      </c>
      <c r="F93" s="308">
        <v>13385407</v>
      </c>
      <c r="G93" s="310">
        <f>IF(ISBLANK(F93),"-",$D$101/$F$98*F93)</f>
        <v>6565497.8007967882</v>
      </c>
      <c r="I93" s="470"/>
    </row>
    <row r="94" spans="1:12" ht="27" customHeight="1" thickBot="1">
      <c r="A94" s="296" t="s">
        <v>67</v>
      </c>
      <c r="B94" s="297">
        <v>1</v>
      </c>
      <c r="C94" s="373">
        <v>4</v>
      </c>
      <c r="D94" s="312"/>
      <c r="E94" s="313" t="str">
        <f>IF(ISBLANK(D94),"-",$D$101/$D$98*D94)</f>
        <v>-</v>
      </c>
      <c r="F94" s="374"/>
      <c r="G94" s="314" t="str">
        <f>IF(ISBLANK(F94),"-",$D$101/$F$98*F94)</f>
        <v>-</v>
      </c>
      <c r="I94" s="315"/>
    </row>
    <row r="95" spans="1:12" ht="27" customHeight="1" thickBot="1">
      <c r="A95" s="296" t="s">
        <v>68</v>
      </c>
      <c r="B95" s="297">
        <v>1</v>
      </c>
      <c r="C95" s="375" t="s">
        <v>69</v>
      </c>
      <c r="D95" s="376">
        <f>AVERAGE(D91:D94)</f>
        <v>15372084.333333334</v>
      </c>
      <c r="E95" s="318">
        <f>AVERAGE(E91:E94)</f>
        <v>6789879.122012903</v>
      </c>
      <c r="F95" s="377">
        <f>AVERAGE(F91:F94)</f>
        <v>13369831.666666666</v>
      </c>
      <c r="G95" s="378">
        <f>AVERAGE(G91:G94)</f>
        <v>6557858.1513825655</v>
      </c>
    </row>
    <row r="96" spans="1:12" ht="26.25" customHeight="1">
      <c r="A96" s="296" t="s">
        <v>70</v>
      </c>
      <c r="B96" s="370">
        <v>1</v>
      </c>
      <c r="C96" s="379" t="s">
        <v>111</v>
      </c>
      <c r="D96" s="380">
        <f>D43</f>
        <v>26.94</v>
      </c>
      <c r="E96" s="368"/>
      <c r="F96" s="322">
        <f>F43</f>
        <v>24.26</v>
      </c>
    </row>
    <row r="97" spans="1:10" ht="26.25" customHeight="1">
      <c r="A97" s="296" t="s">
        <v>72</v>
      </c>
      <c r="B97" s="370">
        <v>1</v>
      </c>
      <c r="C97" s="381" t="s">
        <v>112</v>
      </c>
      <c r="D97" s="382">
        <f>D96*$B$87</f>
        <v>26.94</v>
      </c>
      <c r="E97" s="383"/>
      <c r="F97" s="324">
        <f>F96*$B$87</f>
        <v>24.26</v>
      </c>
    </row>
    <row r="98" spans="1:10" ht="19.5" customHeight="1" thickBot="1">
      <c r="A98" s="296" t="s">
        <v>74</v>
      </c>
      <c r="B98" s="383">
        <f>(B97/B96)*(B95/B94)*(B93/B92)*(B91/B90)*B89</f>
        <v>666.66666666666674</v>
      </c>
      <c r="C98" s="381" t="s">
        <v>113</v>
      </c>
      <c r="D98" s="384">
        <f>D97*$B$83/100</f>
        <v>26.832240000000002</v>
      </c>
      <c r="E98" s="365"/>
      <c r="F98" s="326">
        <f>F97*$B$83/100</f>
        <v>24.162959999999998</v>
      </c>
    </row>
    <row r="99" spans="1:10" ht="19.5" customHeight="1" thickBot="1">
      <c r="A99" s="456" t="s">
        <v>76</v>
      </c>
      <c r="B99" s="471"/>
      <c r="C99" s="381" t="s">
        <v>114</v>
      </c>
      <c r="D99" s="385">
        <f>D98/$B$98</f>
        <v>4.0248359999999997E-2</v>
      </c>
      <c r="E99" s="365"/>
      <c r="F99" s="329">
        <f>F98/$B$98</f>
        <v>3.6244439999999996E-2</v>
      </c>
      <c r="H99" s="320"/>
    </row>
    <row r="100" spans="1:10" ht="19.5" customHeight="1" thickBot="1">
      <c r="A100" s="458"/>
      <c r="B100" s="472"/>
      <c r="C100" s="381" t="s">
        <v>78</v>
      </c>
      <c r="D100" s="387">
        <f>$B$56/$B$116</f>
        <v>1.7777777777777778E-2</v>
      </c>
      <c r="F100" s="334"/>
      <c r="G100" s="393"/>
      <c r="H100" s="320"/>
    </row>
    <row r="101" spans="1:10" ht="18.75">
      <c r="C101" s="381" t="s">
        <v>79</v>
      </c>
      <c r="D101" s="382">
        <f>D100*$B$98</f>
        <v>11.851851851851853</v>
      </c>
      <c r="F101" s="334"/>
      <c r="H101" s="320"/>
    </row>
    <row r="102" spans="1:10" ht="19.5" customHeight="1" thickBot="1">
      <c r="C102" s="388" t="s">
        <v>80</v>
      </c>
      <c r="D102" s="389">
        <f>D101/B34</f>
        <v>11.851851851851853</v>
      </c>
      <c r="F102" s="338"/>
      <c r="H102" s="320"/>
      <c r="J102" s="390"/>
    </row>
    <row r="103" spans="1:10" ht="18.75">
      <c r="C103" s="391" t="s">
        <v>115</v>
      </c>
      <c r="D103" s="392">
        <f>AVERAGE(E91:E94,G91:G94)</f>
        <v>6673868.6366977347</v>
      </c>
      <c r="F103" s="338"/>
      <c r="G103" s="393"/>
      <c r="H103" s="320"/>
      <c r="J103" s="394"/>
    </row>
    <row r="104" spans="1:10" ht="18.75">
      <c r="C104" s="364" t="s">
        <v>82</v>
      </c>
      <c r="D104" s="395">
        <f>STDEV(E91:E94,G91:G94)/D103</f>
        <v>1.9231157607910016E-2</v>
      </c>
      <c r="F104" s="338"/>
      <c r="H104" s="320"/>
      <c r="J104" s="394"/>
    </row>
    <row r="105" spans="1:10" ht="19.5" customHeight="1" thickBot="1">
      <c r="C105" s="366" t="s">
        <v>19</v>
      </c>
      <c r="D105" s="396">
        <f>COUNT(E91:E94,G91:G94)</f>
        <v>6</v>
      </c>
      <c r="F105" s="338"/>
      <c r="H105" s="320"/>
      <c r="J105" s="394"/>
    </row>
    <row r="106" spans="1:10" ht="19.5" customHeight="1" thickBot="1">
      <c r="A106" s="342"/>
      <c r="B106" s="342"/>
      <c r="C106" s="342"/>
      <c r="D106" s="342"/>
      <c r="E106" s="342"/>
    </row>
    <row r="107" spans="1:10" ht="26.25" customHeight="1">
      <c r="A107" s="294" t="s">
        <v>116</v>
      </c>
      <c r="B107" s="295">
        <v>900</v>
      </c>
      <c r="C107" s="437" t="s">
        <v>117</v>
      </c>
      <c r="D107" s="397" t="s">
        <v>61</v>
      </c>
      <c r="E107" s="398" t="s">
        <v>118</v>
      </c>
      <c r="F107" s="399" t="s">
        <v>119</v>
      </c>
    </row>
    <row r="108" spans="1:10" ht="26.25" customHeight="1">
      <c r="A108" s="296" t="s">
        <v>120</v>
      </c>
      <c r="B108" s="297">
        <v>5</v>
      </c>
      <c r="C108" s="400">
        <v>1</v>
      </c>
      <c r="D108" s="401">
        <v>7048300</v>
      </c>
      <c r="E108" s="430">
        <f t="shared" ref="E108:E113" si="1">IF(ISBLANK(D108),"-",D108/$D$103*$D$100*$B$116)</f>
        <v>168.9766552789097</v>
      </c>
      <c r="F108" s="402">
        <f t="shared" ref="F108:F113" si="2">IF(ISBLANK(D108), "-", E108/$B$56)</f>
        <v>1.0561040954931857</v>
      </c>
    </row>
    <row r="109" spans="1:10" ht="26.25" customHeight="1">
      <c r="A109" s="296" t="s">
        <v>93</v>
      </c>
      <c r="B109" s="297">
        <v>50</v>
      </c>
      <c r="C109" s="400">
        <v>2</v>
      </c>
      <c r="D109" s="401">
        <v>6683344</v>
      </c>
      <c r="E109" s="431">
        <f t="shared" si="1"/>
        <v>160.22716331574554</v>
      </c>
      <c r="F109" s="403">
        <f t="shared" si="2"/>
        <v>1.0014197707234096</v>
      </c>
    </row>
    <row r="110" spans="1:10" ht="26.25" customHeight="1">
      <c r="A110" s="296" t="s">
        <v>94</v>
      </c>
      <c r="B110" s="297">
        <v>1</v>
      </c>
      <c r="C110" s="400">
        <v>3</v>
      </c>
      <c r="D110" s="401">
        <v>6707606</v>
      </c>
      <c r="E110" s="431">
        <f t="shared" si="1"/>
        <v>160.80882295145585</v>
      </c>
      <c r="F110" s="403">
        <f t="shared" si="2"/>
        <v>1.0050551434465991</v>
      </c>
    </row>
    <row r="111" spans="1:10" ht="26.25" customHeight="1">
      <c r="A111" s="296" t="s">
        <v>95</v>
      </c>
      <c r="B111" s="297">
        <v>1</v>
      </c>
      <c r="C111" s="400">
        <v>4</v>
      </c>
      <c r="D111" s="401">
        <v>6322381</v>
      </c>
      <c r="E111" s="431">
        <f t="shared" si="1"/>
        <v>151.57339993742156</v>
      </c>
      <c r="F111" s="403">
        <f t="shared" si="2"/>
        <v>0.94733374960888472</v>
      </c>
    </row>
    <row r="112" spans="1:10" ht="26.25" customHeight="1">
      <c r="A112" s="296" t="s">
        <v>96</v>
      </c>
      <c r="B112" s="297">
        <v>1</v>
      </c>
      <c r="C112" s="400">
        <v>5</v>
      </c>
      <c r="D112" s="401">
        <v>6655498</v>
      </c>
      <c r="E112" s="431">
        <f t="shared" si="1"/>
        <v>159.55958050245772</v>
      </c>
      <c r="F112" s="403">
        <f t="shared" si="2"/>
        <v>0.9972473781403608</v>
      </c>
    </row>
    <row r="113" spans="1:10" ht="26.25" customHeight="1">
      <c r="A113" s="296" t="s">
        <v>98</v>
      </c>
      <c r="B113" s="297">
        <v>1</v>
      </c>
      <c r="C113" s="404">
        <v>6</v>
      </c>
      <c r="D113" s="405">
        <v>6500330</v>
      </c>
      <c r="E113" s="432">
        <f t="shared" si="1"/>
        <v>155.83956721608826</v>
      </c>
      <c r="F113" s="406">
        <f t="shared" si="2"/>
        <v>0.97399729510055155</v>
      </c>
    </row>
    <row r="114" spans="1:10" ht="26.25" customHeight="1">
      <c r="A114" s="296" t="s">
        <v>99</v>
      </c>
      <c r="B114" s="297">
        <v>1</v>
      </c>
      <c r="C114" s="400"/>
      <c r="D114" s="383"/>
      <c r="E114" s="368"/>
      <c r="F114" s="407"/>
    </row>
    <row r="115" spans="1:10" ht="26.25" customHeight="1">
      <c r="A115" s="296" t="s">
        <v>100</v>
      </c>
      <c r="B115" s="297">
        <v>1</v>
      </c>
      <c r="C115" s="400"/>
      <c r="D115" s="408" t="s">
        <v>69</v>
      </c>
      <c r="E115" s="434">
        <f>AVERAGE(E108:E113)</f>
        <v>159.49753153367976</v>
      </c>
      <c r="F115" s="409">
        <f>AVERAGE(F108:F113)</f>
        <v>0.99685957208549858</v>
      </c>
    </row>
    <row r="116" spans="1:10" ht="27" customHeight="1" thickBot="1">
      <c r="A116" s="296" t="s">
        <v>101</v>
      </c>
      <c r="B116" s="325">
        <f>(B115/B114)*(B113/B112)*(B111/B110)*(B109/B108)*B107</f>
        <v>9000</v>
      </c>
      <c r="C116" s="410"/>
      <c r="D116" s="375" t="s">
        <v>82</v>
      </c>
      <c r="E116" s="411">
        <f>STDEV(E108:E113)/E115</f>
        <v>3.6373067435062946E-2</v>
      </c>
      <c r="F116" s="411">
        <f>STDEV(F108:F113)/F115</f>
        <v>3.6373067435065111E-2</v>
      </c>
      <c r="I116" s="368"/>
    </row>
    <row r="117" spans="1:10" ht="27" customHeight="1" thickBot="1">
      <c r="A117" s="456" t="s">
        <v>76</v>
      </c>
      <c r="B117" s="457"/>
      <c r="C117" s="412"/>
      <c r="D117" s="413" t="s">
        <v>19</v>
      </c>
      <c r="E117" s="414">
        <f>COUNT(E108:E113)</f>
        <v>6</v>
      </c>
      <c r="F117" s="414">
        <f>COUNT(F108:F113)</f>
        <v>6</v>
      </c>
      <c r="I117" s="368"/>
      <c r="J117" s="394"/>
    </row>
    <row r="118" spans="1:10" ht="19.5" customHeight="1" thickBot="1">
      <c r="A118" s="458"/>
      <c r="B118" s="459"/>
      <c r="C118" s="368"/>
      <c r="D118" s="368"/>
      <c r="E118" s="368"/>
      <c r="F118" s="383"/>
      <c r="G118" s="368"/>
      <c r="H118" s="368"/>
      <c r="I118" s="368"/>
    </row>
    <row r="119" spans="1:10" ht="18.75">
      <c r="A119" s="421"/>
      <c r="B119" s="292"/>
      <c r="C119" s="368"/>
      <c r="D119" s="368"/>
      <c r="E119" s="368"/>
      <c r="F119" s="383"/>
      <c r="G119" s="368"/>
      <c r="H119" s="368"/>
      <c r="I119" s="368"/>
    </row>
    <row r="120" spans="1:10" ht="26.25" customHeight="1">
      <c r="A120" s="417" t="s">
        <v>104</v>
      </c>
      <c r="B120" s="375" t="s">
        <v>121</v>
      </c>
      <c r="C120" s="460" t="str">
        <f>B20</f>
        <v>each tablets contains sulphamethoxazole 800mg Trimethoprim 160mg.</v>
      </c>
      <c r="D120" s="460"/>
      <c r="E120" s="368" t="s">
        <v>122</v>
      </c>
      <c r="F120" s="368"/>
      <c r="G120" s="369">
        <f>F115</f>
        <v>0.99685957208549858</v>
      </c>
      <c r="H120" s="368"/>
      <c r="I120" s="368"/>
    </row>
    <row r="121" spans="1:10" ht="19.5" customHeight="1" thickBot="1">
      <c r="A121" s="441"/>
      <c r="B121" s="441"/>
      <c r="C121" s="415"/>
      <c r="D121" s="415"/>
      <c r="E121" s="415"/>
      <c r="F121" s="415"/>
      <c r="G121" s="415"/>
      <c r="H121" s="415"/>
    </row>
    <row r="122" spans="1:10" ht="18.75">
      <c r="B122" s="461" t="s">
        <v>24</v>
      </c>
      <c r="C122" s="461"/>
      <c r="E122" s="440" t="s">
        <v>25</v>
      </c>
      <c r="F122" s="416"/>
      <c r="G122" s="461" t="s">
        <v>26</v>
      </c>
      <c r="H122" s="461"/>
    </row>
    <row r="123" spans="1:10" ht="69.95" customHeight="1">
      <c r="A123" s="417" t="s">
        <v>27</v>
      </c>
      <c r="B123" s="418"/>
      <c r="C123" s="418"/>
      <c r="E123" s="418"/>
      <c r="F123" s="368"/>
      <c r="G123" s="418"/>
      <c r="H123" s="418"/>
    </row>
    <row r="124" spans="1:10" ht="69.95" customHeight="1">
      <c r="A124" s="417" t="s">
        <v>28</v>
      </c>
      <c r="B124" s="419"/>
      <c r="C124" s="419"/>
      <c r="E124" s="419"/>
      <c r="F124" s="368"/>
      <c r="G124" s="420"/>
      <c r="H124" s="420"/>
    </row>
    <row r="125" spans="1:10" ht="18.75">
      <c r="A125" s="383"/>
      <c r="B125" s="383"/>
      <c r="C125" s="383"/>
      <c r="D125" s="383"/>
      <c r="E125" s="383"/>
      <c r="F125" s="365"/>
      <c r="G125" s="383"/>
      <c r="H125" s="383"/>
      <c r="I125" s="368"/>
    </row>
    <row r="126" spans="1:10" ht="18.75">
      <c r="A126" s="383"/>
      <c r="B126" s="383"/>
      <c r="C126" s="383"/>
      <c r="D126" s="383"/>
      <c r="E126" s="383"/>
      <c r="F126" s="365"/>
      <c r="G126" s="383"/>
      <c r="H126" s="383"/>
      <c r="I126" s="368"/>
    </row>
    <row r="127" spans="1:10" ht="18.75">
      <c r="A127" s="383"/>
      <c r="B127" s="383"/>
      <c r="C127" s="383"/>
      <c r="D127" s="383"/>
      <c r="E127" s="383"/>
      <c r="F127" s="365"/>
      <c r="G127" s="383"/>
      <c r="H127" s="383"/>
      <c r="I127" s="368"/>
    </row>
    <row r="128" spans="1:10" ht="18.75">
      <c r="A128" s="383"/>
      <c r="B128" s="383"/>
      <c r="C128" s="383"/>
      <c r="D128" s="383"/>
      <c r="E128" s="383"/>
      <c r="F128" s="365"/>
      <c r="G128" s="383"/>
      <c r="H128" s="383"/>
      <c r="I128" s="368"/>
    </row>
    <row r="129" spans="1:9" ht="18.75">
      <c r="A129" s="383"/>
      <c r="B129" s="383"/>
      <c r="C129" s="383"/>
      <c r="D129" s="383"/>
      <c r="E129" s="383"/>
      <c r="F129" s="365"/>
      <c r="G129" s="383"/>
      <c r="H129" s="383"/>
      <c r="I129" s="368"/>
    </row>
    <row r="130" spans="1:9" ht="18.75">
      <c r="A130" s="383"/>
      <c r="B130" s="383"/>
      <c r="C130" s="383"/>
      <c r="D130" s="383"/>
      <c r="E130" s="383"/>
      <c r="F130" s="365"/>
      <c r="G130" s="383"/>
      <c r="H130" s="383"/>
      <c r="I130" s="368"/>
    </row>
    <row r="131" spans="1:9" ht="18.75">
      <c r="A131" s="383"/>
      <c r="B131" s="383"/>
      <c r="C131" s="383"/>
      <c r="D131" s="383"/>
      <c r="E131" s="383"/>
      <c r="F131" s="365"/>
      <c r="G131" s="383"/>
      <c r="H131" s="383"/>
      <c r="I131" s="368"/>
    </row>
    <row r="132" spans="1:9" ht="18.75">
      <c r="A132" s="383"/>
      <c r="B132" s="383"/>
      <c r="C132" s="383"/>
      <c r="D132" s="383"/>
      <c r="E132" s="383"/>
      <c r="F132" s="365"/>
      <c r="G132" s="383"/>
      <c r="H132" s="383"/>
      <c r="I132" s="368"/>
    </row>
    <row r="133" spans="1:9" ht="18.75">
      <c r="A133" s="383"/>
      <c r="B133" s="383"/>
      <c r="C133" s="383"/>
      <c r="D133" s="383"/>
      <c r="E133" s="383"/>
      <c r="F133" s="365"/>
      <c r="G133" s="383"/>
      <c r="H133" s="383"/>
      <c r="I133" s="368"/>
    </row>
    <row r="250" spans="1:1">
      <c r="A250" s="386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I92:I93"/>
    <mergeCell ref="A99:B100"/>
    <mergeCell ref="A117:B118"/>
    <mergeCell ref="C120:D120"/>
    <mergeCell ref="B122:C122"/>
    <mergeCell ref="G122:H122"/>
    <mergeCell ref="B79:C79"/>
    <mergeCell ref="B80:C80"/>
    <mergeCell ref="C82:G82"/>
    <mergeCell ref="C84:H84"/>
    <mergeCell ref="C85:H85"/>
    <mergeCell ref="F89:G89"/>
    <mergeCell ref="C64:C67"/>
    <mergeCell ref="D64:D67"/>
    <mergeCell ref="C68:C71"/>
    <mergeCell ref="D68:D71"/>
    <mergeCell ref="A70:B71"/>
    <mergeCell ref="C76:D76"/>
    <mergeCell ref="D36:E36"/>
    <mergeCell ref="F36:G36"/>
    <mergeCell ref="I39:I40"/>
    <mergeCell ref="A46:B47"/>
    <mergeCell ref="C60:C63"/>
    <mergeCell ref="D60:D63"/>
    <mergeCell ref="B21:H21"/>
    <mergeCell ref="B26:C26"/>
    <mergeCell ref="B27:C27"/>
    <mergeCell ref="C29:G29"/>
    <mergeCell ref="C31:H31"/>
    <mergeCell ref="C32:H32"/>
    <mergeCell ref="A1:I7"/>
    <mergeCell ref="A8:I14"/>
    <mergeCell ref="A16:H16"/>
    <mergeCell ref="A17:H17"/>
    <mergeCell ref="B18:C18"/>
    <mergeCell ref="B20:C20"/>
  </mergeCells>
  <conditionalFormatting sqref="E51">
    <cfRule type="cellIs" dxfId="8" priority="9" operator="greaterThan">
      <formula>0.02</formula>
    </cfRule>
  </conditionalFormatting>
  <conditionalFormatting sqref="D51">
    <cfRule type="cellIs" dxfId="7" priority="8" operator="greaterThan">
      <formula>0.02</formula>
    </cfRule>
  </conditionalFormatting>
  <conditionalFormatting sqref="G73">
    <cfRule type="cellIs" dxfId="6" priority="7" operator="greaterThan">
      <formula>0.02</formula>
    </cfRule>
  </conditionalFormatting>
  <conditionalFormatting sqref="H73">
    <cfRule type="cellIs" dxfId="5" priority="6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4" operator="lessThanOrEqual">
      <formula>0.02</formula>
    </cfRule>
  </conditionalFormatting>
  <conditionalFormatting sqref="I39">
    <cfRule type="cellIs" dxfId="2" priority="3" operator="greaterThan">
      <formula>0.02</formula>
    </cfRule>
  </conditionalFormatting>
  <conditionalFormatting sqref="I92">
    <cfRule type="cellIs" dxfId="1" priority="2" operator="lessThanOrEqual">
      <formula>0.02</formula>
    </cfRule>
  </conditionalFormatting>
  <conditionalFormatting sqref="I92">
    <cfRule type="cellIs" dxfId="0" priority="1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Uniformity</vt:lpstr>
      <vt:lpstr>SST </vt:lpstr>
      <vt:lpstr>Sulfamethoxazole</vt:lpstr>
      <vt:lpstr>Trimethoprim</vt:lpstr>
      <vt:lpstr>'SST '!Print_Area</vt:lpstr>
      <vt:lpstr>Sulfamethoxazole!Print_Area</vt:lpstr>
      <vt:lpstr>Trimethoprim!Print_Area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Joyfrida</cp:lastModifiedBy>
  <cp:lastPrinted>2016-04-13T05:21:37Z</cp:lastPrinted>
  <dcterms:created xsi:type="dcterms:W3CDTF">2005-07-05T10:19:27Z</dcterms:created>
  <dcterms:modified xsi:type="dcterms:W3CDTF">2016-04-13T05:40:55Z</dcterms:modified>
</cp:coreProperties>
</file>