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5" windowWidth="20730" windowHeight="9405" activeTab="2"/>
  </bookViews>
  <sheets>
    <sheet name="Uniformity" sheetId="6" r:id="rId1"/>
    <sheet name="SST " sheetId="1" r:id="rId2"/>
    <sheet name="Sulfamethoxazole" sheetId="3" r:id="rId3"/>
    <sheet name="Trimethoprim" sheetId="5" r:id="rId4"/>
  </sheets>
  <definedNames>
    <definedName name="_xlnm.Print_Area" localSheetId="1">'SST '!$A$1:$G$52</definedName>
    <definedName name="_xlnm.Print_Area" localSheetId="2">Sulfamethoxazole!$A$1:$H$126</definedName>
    <definedName name="_xlnm.Print_Area" localSheetId="3">Trimethoprim!$A$1:$H$126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C46" i="6" l="1"/>
  <c r="C49" i="6" s="1"/>
  <c r="C45" i="6"/>
  <c r="C19" i="6"/>
  <c r="B57" i="3" l="1"/>
  <c r="B57" i="5"/>
  <c r="D26" i="6"/>
  <c r="D30" i="6"/>
  <c r="D34" i="6"/>
  <c r="D38" i="6"/>
  <c r="D42" i="6"/>
  <c r="B49" i="6"/>
  <c r="D50" i="6"/>
  <c r="C50" i="6"/>
  <c r="D29" i="6"/>
  <c r="D41" i="6"/>
  <c r="D24" i="6"/>
  <c r="D28" i="6"/>
  <c r="D32" i="6"/>
  <c r="D36" i="6"/>
  <c r="D40" i="6"/>
  <c r="D49" i="6"/>
  <c r="D25" i="6"/>
  <c r="D33" i="6"/>
  <c r="D37" i="6"/>
  <c r="D27" i="6"/>
  <c r="D31" i="6"/>
  <c r="D35" i="6"/>
  <c r="D39" i="6"/>
  <c r="D43" i="6"/>
  <c r="C120" i="5"/>
  <c r="B116" i="5"/>
  <c r="D100" i="5"/>
  <c r="D101" i="5" s="1"/>
  <c r="B98" i="5"/>
  <c r="F96" i="5"/>
  <c r="D96" i="5"/>
  <c r="F95" i="5"/>
  <c r="D95" i="5"/>
  <c r="G94" i="5"/>
  <c r="E94" i="5"/>
  <c r="B87" i="5"/>
  <c r="D97" i="5" s="1"/>
  <c r="B81" i="5"/>
  <c r="B83" i="5" s="1"/>
  <c r="B80" i="5"/>
  <c r="B79" i="5"/>
  <c r="C76" i="5"/>
  <c r="H71" i="5"/>
  <c r="G71" i="5"/>
  <c r="D68" i="5"/>
  <c r="B68" i="5"/>
  <c r="H67" i="5"/>
  <c r="G67" i="5"/>
  <c r="D64" i="5"/>
  <c r="H63" i="5"/>
  <c r="G63" i="5"/>
  <c r="D60" i="5"/>
  <c r="C56" i="5"/>
  <c r="B55" i="5"/>
  <c r="B45" i="5"/>
  <c r="D48" i="5" s="1"/>
  <c r="D49" i="5" s="1"/>
  <c r="F42" i="5"/>
  <c r="D42" i="5"/>
  <c r="G41" i="5"/>
  <c r="E41" i="5"/>
  <c r="B34" i="5"/>
  <c r="F44" i="5" s="1"/>
  <c r="F45" i="5" s="1"/>
  <c r="B30" i="5"/>
  <c r="F97" i="5" l="1"/>
  <c r="F98" i="5" s="1"/>
  <c r="G93" i="5" s="1"/>
  <c r="D44" i="5"/>
  <c r="D45" i="5" s="1"/>
  <c r="D46" i="5" s="1"/>
  <c r="D98" i="5"/>
  <c r="D99" i="5" s="1"/>
  <c r="I39" i="5"/>
  <c r="B69" i="5"/>
  <c r="E40" i="5"/>
  <c r="E38" i="5"/>
  <c r="F46" i="5"/>
  <c r="G38" i="5"/>
  <c r="G39" i="5"/>
  <c r="E39" i="5"/>
  <c r="G40" i="5"/>
  <c r="E91" i="5"/>
  <c r="I92" i="5"/>
  <c r="D102" i="5"/>
  <c r="E92" i="5"/>
  <c r="G91" i="5"/>
  <c r="F99" i="5" l="1"/>
  <c r="G92" i="5"/>
  <c r="G95" i="5" s="1"/>
  <c r="E93" i="5"/>
  <c r="E95" i="5"/>
  <c r="D105" i="5"/>
  <c r="D50" i="5"/>
  <c r="E42" i="5"/>
  <c r="D52" i="5"/>
  <c r="G42" i="5"/>
  <c r="D103" i="5" l="1"/>
  <c r="G69" i="5"/>
  <c r="H69" i="5" s="1"/>
  <c r="G68" i="5"/>
  <c r="H68" i="5" s="1"/>
  <c r="G65" i="5"/>
  <c r="H65" i="5" s="1"/>
  <c r="G70" i="5"/>
  <c r="H70" i="5" s="1"/>
  <c r="G62" i="5"/>
  <c r="H62" i="5" s="1"/>
  <c r="G60" i="5"/>
  <c r="G66" i="5"/>
  <c r="H66" i="5" s="1"/>
  <c r="G64" i="5"/>
  <c r="H64" i="5" s="1"/>
  <c r="G61" i="5"/>
  <c r="H61" i="5" s="1"/>
  <c r="D51" i="5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G74" i="5" l="1"/>
  <c r="G72" i="5"/>
  <c r="G73" i="5" s="1"/>
  <c r="H60" i="5"/>
  <c r="E117" i="5"/>
  <c r="F108" i="5"/>
  <c r="E115" i="5"/>
  <c r="E116" i="5" s="1"/>
  <c r="B30" i="1"/>
  <c r="E17" i="1"/>
  <c r="B8" i="1"/>
  <c r="F96" i="3"/>
  <c r="F97" i="3" s="1"/>
  <c r="D96" i="3"/>
  <c r="C120" i="3"/>
  <c r="B116" i="3"/>
  <c r="D100" i="3" s="1"/>
  <c r="B98" i="3"/>
  <c r="F95" i="3"/>
  <c r="D95" i="3"/>
  <c r="I92" i="3"/>
  <c r="B87" i="3"/>
  <c r="D97" i="3" s="1"/>
  <c r="B83" i="3"/>
  <c r="B81" i="3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B41" i="1"/>
  <c r="E39" i="1"/>
  <c r="D39" i="1"/>
  <c r="C39" i="1"/>
  <c r="B39" i="1"/>
  <c r="B40" i="1" s="1"/>
  <c r="B19" i="1"/>
  <c r="F17" i="1"/>
  <c r="D17" i="1"/>
  <c r="C17" i="1"/>
  <c r="B17" i="1"/>
  <c r="B18" i="1" s="1"/>
  <c r="D45" i="3" l="1"/>
  <c r="H74" i="5"/>
  <c r="H72" i="5"/>
  <c r="F115" i="5"/>
  <c r="F117" i="5"/>
  <c r="D101" i="3"/>
  <c r="G92" i="3" s="1"/>
  <c r="F98" i="3"/>
  <c r="D98" i="3"/>
  <c r="D99" i="3" s="1"/>
  <c r="F44" i="3"/>
  <c r="F45" i="3" s="1"/>
  <c r="F46" i="3" s="1"/>
  <c r="D102" i="3"/>
  <c r="F99" i="3"/>
  <c r="G94" i="3"/>
  <c r="I39" i="3"/>
  <c r="D46" i="3"/>
  <c r="G40" i="3"/>
  <c r="G38" i="3"/>
  <c r="E40" i="3"/>
  <c r="D49" i="3"/>
  <c r="E38" i="3"/>
  <c r="G41" i="3"/>
  <c r="E41" i="3"/>
  <c r="E39" i="3"/>
  <c r="B69" i="3"/>
  <c r="G76" i="5" l="1"/>
  <c r="H73" i="5"/>
  <c r="G120" i="5"/>
  <c r="F116" i="5"/>
  <c r="G91" i="3"/>
  <c r="G93" i="3"/>
  <c r="G95" i="3" s="1"/>
  <c r="E92" i="3"/>
  <c r="E91" i="3"/>
  <c r="E94" i="3"/>
  <c r="G39" i="3"/>
  <c r="G42" i="3" s="1"/>
  <c r="E93" i="3"/>
  <c r="E42" i="3"/>
  <c r="D103" i="3" l="1"/>
  <c r="E109" i="3" s="1"/>
  <c r="F109" i="3" s="1"/>
  <c r="D52" i="3"/>
  <c r="D50" i="3"/>
  <c r="G67" i="3" s="1"/>
  <c r="H67" i="3" s="1"/>
  <c r="D105" i="3"/>
  <c r="E95" i="3"/>
  <c r="D51" i="3"/>
  <c r="G70" i="3"/>
  <c r="H70" i="3" s="1"/>
  <c r="G68" i="3"/>
  <c r="H68" i="3" s="1"/>
  <c r="G71" i="3"/>
  <c r="H71" i="3" s="1"/>
  <c r="G65" i="3"/>
  <c r="H65" i="3" s="1"/>
  <c r="G60" i="3"/>
  <c r="G61" i="3"/>
  <c r="H61" i="3" s="1"/>
  <c r="G64" i="3"/>
  <c r="H64" i="3" s="1"/>
  <c r="E113" i="3" l="1"/>
  <c r="F113" i="3" s="1"/>
  <c r="D104" i="3"/>
  <c r="E108" i="3"/>
  <c r="F108" i="3" s="1"/>
  <c r="E110" i="3"/>
  <c r="F110" i="3" s="1"/>
  <c r="E111" i="3"/>
  <c r="F111" i="3" s="1"/>
  <c r="E112" i="3"/>
  <c r="F112" i="3" s="1"/>
  <c r="G69" i="3"/>
  <c r="H69" i="3" s="1"/>
  <c r="G62" i="3"/>
  <c r="H62" i="3" s="1"/>
  <c r="G66" i="3"/>
  <c r="H66" i="3" s="1"/>
  <c r="G63" i="3"/>
  <c r="H63" i="3" s="1"/>
  <c r="H60" i="3"/>
  <c r="E117" i="3" l="1"/>
  <c r="E115" i="3"/>
  <c r="E116" i="3" s="1"/>
  <c r="G72" i="3"/>
  <c r="G73" i="3" s="1"/>
  <c r="G74" i="3"/>
  <c r="F117" i="3"/>
  <c r="F115" i="3"/>
  <c r="H72" i="3"/>
  <c r="H74" i="3"/>
  <c r="G120" i="3" l="1"/>
  <c r="F116" i="3"/>
  <c r="H73" i="3"/>
  <c r="G76" i="3"/>
</calcChain>
</file>

<file path=xl/sharedStrings.xml><?xml version="1.0" encoding="utf-8"?>
<sst xmlns="http://schemas.openxmlformats.org/spreadsheetml/2006/main" count="396" uniqueCount="133">
  <si>
    <t>HPLC System Suitability Report</t>
  </si>
  <si>
    <t>Analysis Data</t>
  </si>
  <si>
    <t>Sample(s)</t>
  </si>
  <si>
    <t>Reference Substance:</t>
  </si>
  <si>
    <t>Sulfran DS Tablets</t>
  </si>
  <si>
    <t>% age Purity:</t>
  </si>
  <si>
    <t>Weight (mg):</t>
  </si>
  <si>
    <t>each tablets contains sulphamethoxazole 800mg Trimethoprim 160mg.</t>
  </si>
  <si>
    <t>Standard Conc (mg/mL):</t>
  </si>
  <si>
    <t>Each tablet contains: Sulphamethoxazole B.P. 800 mg and Trimethoprim B.P. 160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</si>
  <si>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</si>
  <si>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</si>
  <si>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</si>
  <si>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</si>
  <si>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</si>
  <si>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</si>
  <si>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</si>
  <si>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</si>
  <si>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</si>
  <si>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</si>
  <si>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</si>
  <si>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</si>
  <si>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</si>
  <si>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</si>
  <si>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</si>
  <si>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</si>
  <si>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</si>
  <si>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</si>
  <si>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</si>
  <si>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</si>
  <si>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</si>
  <si>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</si>
  <si>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</si>
  <si>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</si>
  <si>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</si>
  <si>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</si>
  <si>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</si>
  <si>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</si>
  <si>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</si>
  <si>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</si>
  <si>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</si>
  <si>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</si>
  <si>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</si>
  <si>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</si>
  <si>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</si>
  <si>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</si>
  <si>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</si>
  <si>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</si>
  <si>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</si>
  <si>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</si>
  <si>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</si>
  <si>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</si>
  <si>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</si>
  <si>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</si>
  <si>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</si>
  <si>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</si>
  <si>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</si>
  <si>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</si>
  <si>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</si>
  <si>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</si>
  <si>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</si>
  <si>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</si>
  <si>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</si>
  <si>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</si>
  <si>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</si>
  <si>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</si>
  <si>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</si>
  <si>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</si>
  <si>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</si>
  <si>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</si>
  <si>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</si>
  <si>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</si>
  <si>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</si>
  <si>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</si>
  <si>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</si>
  <si>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</si>
  <si>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</si>
  <si>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</si>
  <si>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</si>
  <si>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</si>
  <si>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</si>
  <si>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</si>
  <si>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</si>
  <si>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</si>
  <si>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</si>
  <si>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</si>
  <si>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</si>
  <si>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</si>
  <si>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</si>
  <si>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</si>
  <si>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</si>
  <si>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</si>
  <si>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</si>
  <si>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</si>
  <si>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</si>
  <si>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</si>
  <si>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</si>
  <si>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</si>
  <si>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</si>
  <si>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</si>
  <si>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</si>
  <si>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</si>
  <si>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</si>
  <si>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</si>
  <si>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</si>
  <si>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</si>
  <si>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</si>
  <si>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</si>
  <si>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</si>
  <si>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</si>
  <si>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</si>
  <si>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</si>
  <si>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</si>
  <si>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</si>
  <si>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</si>
  <si>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</si>
  <si>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</si>
  <si>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</si>
  <si>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</si>
  <si>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</si>
  <si>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</si>
  <si>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Sulfamethoxazole</t>
  </si>
  <si>
    <t>S12-1</t>
  </si>
  <si>
    <t>Assay &amp; Dissolution</t>
  </si>
  <si>
    <t>Sulfran DS Tablets &amp; Cosatrim Suspension</t>
  </si>
  <si>
    <t>Trimethoprim</t>
  </si>
  <si>
    <r>
      <t xml:space="preserve">Resolution - NLT than </t>
    </r>
    <r>
      <rPr>
        <b/>
        <sz val="12"/>
        <color rgb="FF000000"/>
        <rFont val="Book Antiqua"/>
        <family val="1"/>
      </rPr>
      <t>5.0</t>
    </r>
    <r>
      <rPr>
        <sz val="12"/>
        <color rgb="FF000000"/>
        <rFont val="Book Antiqua"/>
      </rPr>
      <t xml:space="preserve"> between sulfamethoxazole and trimethoprim</t>
    </r>
  </si>
  <si>
    <t>Resolution</t>
  </si>
  <si>
    <t>T7-001</t>
  </si>
  <si>
    <t>Dr. Sarah Mwangi</t>
  </si>
  <si>
    <t>15th April 2016</t>
  </si>
  <si>
    <t>NDQB201603835</t>
  </si>
  <si>
    <t>2016-04-01 12:12:49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</si>
</sst>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8" fillId="2" borderId="0"/>
  </cellStyleXfs>
  <cellXfs count="49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7" xfId="0" applyFont="1" applyFill="1" applyBorder="1"/>
    <xf numFmtId="0" fontId="5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25" fillId="2" borderId="0" xfId="0" applyFont="1" applyFill="1"/>
    <xf numFmtId="0" fontId="24" fillId="2" borderId="1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0" fillId="2" borderId="0" xfId="1" applyFont="1" applyFill="1"/>
    <xf numFmtId="0" fontId="10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9" fillId="2" borderId="0" xfId="1" applyFont="1" applyFill="1"/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8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8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166" fontId="5" fillId="2" borderId="13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wrapText="1"/>
    </xf>
    <xf numFmtId="0" fontId="10" fillId="2" borderId="19" xfId="1" applyFont="1" applyFill="1" applyBorder="1" applyAlignment="1">
      <alignment horizontal="center" wrapText="1"/>
    </xf>
    <xf numFmtId="0" fontId="10" fillId="2" borderId="20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26" fillId="3" borderId="0" xfId="0" applyFont="1" applyFill="1" applyAlignment="1" applyProtection="1">
      <alignment horizontal="left" wrapText="1"/>
      <protection locked="0"/>
    </xf>
    <xf numFmtId="0" fontId="27" fillId="3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400" customWidth="1"/>
    <col min="2" max="2" width="18.42578125" style="400" customWidth="1"/>
    <col min="3" max="3" width="14.28515625" style="400" customWidth="1"/>
    <col min="4" max="4" width="15" style="400" customWidth="1"/>
    <col min="5" max="5" width="9.140625" style="400" customWidth="1"/>
    <col min="6" max="6" width="27.85546875" style="400" customWidth="1"/>
    <col min="7" max="7" width="12.28515625" style="400" customWidth="1"/>
    <col min="8" max="8" width="9.140625" style="400" customWidth="1"/>
    <col min="9" max="16384" width="9.140625" style="401"/>
  </cols>
  <sheetData>
    <row r="10" spans="1:7" ht="13.5" customHeight="1" thickBot="1" x14ac:dyDescent="0.35"/>
    <row r="11" spans="1:7" ht="13.5" customHeight="1" thickBot="1" x14ac:dyDescent="0.35">
      <c r="A11" s="446" t="s">
        <v>27</v>
      </c>
      <c r="B11" s="447"/>
      <c r="C11" s="447"/>
      <c r="D11" s="447"/>
      <c r="E11" s="447"/>
      <c r="F11" s="448"/>
      <c r="G11" s="402"/>
    </row>
    <row r="12" spans="1:7" ht="16.5" customHeight="1" x14ac:dyDescent="0.3">
      <c r="A12" s="449" t="s">
        <v>28</v>
      </c>
      <c r="B12" s="449"/>
      <c r="C12" s="449"/>
      <c r="D12" s="449"/>
      <c r="E12" s="449"/>
      <c r="F12" s="449"/>
      <c r="G12" s="403"/>
    </row>
    <row r="14" spans="1:7" ht="16.5" customHeight="1" x14ac:dyDescent="0.3">
      <c r="A14" s="450" t="s">
        <v>29</v>
      </c>
      <c r="B14" s="450"/>
      <c r="C14" s="404" t="s">
        <v>4</v>
      </c>
    </row>
    <row r="15" spans="1:7" ht="16.5" customHeight="1" x14ac:dyDescent="0.3">
      <c r="A15" s="450" t="s">
        <v>30</v>
      </c>
      <c r="B15" s="450"/>
      <c r="C15" s="404" t="s">
        <v>131</v>
      </c>
    </row>
    <row r="16" spans="1:7" ht="16.5" customHeight="1" x14ac:dyDescent="0.3">
      <c r="A16" s="450" t="s">
        <v>31</v>
      </c>
      <c r="B16" s="450"/>
      <c r="C16" s="404" t="s">
        <v>7</v>
      </c>
    </row>
    <row r="17" spans="1:5" ht="16.5" customHeight="1" x14ac:dyDescent="0.3">
      <c r="A17" s="450" t="s">
        <v>32</v>
      </c>
      <c r="B17" s="450"/>
      <c r="C17" s="404" t="s">
        <v>9</v>
      </c>
    </row>
    <row r="18" spans="1:5" ht="16.5" customHeight="1" x14ac:dyDescent="0.3">
      <c r="A18" s="450" t="s">
        <v>33</v>
      </c>
      <c r="B18" s="450"/>
      <c r="C18" s="405" t="s">
        <v>132</v>
      </c>
    </row>
    <row r="19" spans="1:5" ht="16.5" customHeight="1" x14ac:dyDescent="0.3">
      <c r="A19" s="450" t="s">
        <v>34</v>
      </c>
      <c r="B19" s="450"/>
      <c r="C19" s="405" t="e">
        <f>#REF!</f>
        <v>#REF!</v>
      </c>
    </row>
    <row r="20" spans="1:5" ht="16.5" customHeight="1" x14ac:dyDescent="0.3">
      <c r="A20" s="406"/>
      <c r="B20" s="406"/>
      <c r="C20" s="407"/>
    </row>
    <row r="21" spans="1:5" ht="16.5" customHeight="1" x14ac:dyDescent="0.3">
      <c r="A21" s="449" t="s">
        <v>1</v>
      </c>
      <c r="B21" s="449"/>
      <c r="C21" s="408" t="s">
        <v>35</v>
      </c>
      <c r="D21" s="409"/>
    </row>
    <row r="22" spans="1:5" ht="15.75" customHeight="1" thickBot="1" x14ac:dyDescent="0.35">
      <c r="A22" s="451"/>
      <c r="B22" s="451"/>
      <c r="C22" s="410"/>
      <c r="D22" s="451"/>
      <c r="E22" s="451"/>
    </row>
    <row r="23" spans="1:5" ht="33.75" customHeight="1" thickBot="1" x14ac:dyDescent="0.35">
      <c r="C23" s="411" t="s">
        <v>36</v>
      </c>
      <c r="D23" s="412" t="s">
        <v>37</v>
      </c>
      <c r="E23" s="413"/>
    </row>
    <row r="24" spans="1:5" ht="15.75" customHeight="1" x14ac:dyDescent="0.3">
      <c r="C24" s="414">
        <v>1049.31</v>
      </c>
      <c r="D24" s="415">
        <f t="shared" ref="D24:D43" si="0">(C24-$C$46)/$C$46</f>
        <v>2.830798166575328E-3</v>
      </c>
      <c r="E24" s="416"/>
    </row>
    <row r="25" spans="1:5" ht="15.75" customHeight="1" x14ac:dyDescent="0.3">
      <c r="C25" s="414">
        <v>1037.68</v>
      </c>
      <c r="D25" s="417">
        <f t="shared" si="0"/>
        <v>-8.2840508129227736E-3</v>
      </c>
      <c r="E25" s="416"/>
    </row>
    <row r="26" spans="1:5" ht="15.75" customHeight="1" x14ac:dyDescent="0.3">
      <c r="C26" s="414">
        <v>1049.49</v>
      </c>
      <c r="D26" s="417">
        <f t="shared" si="0"/>
        <v>3.0028250639364961E-3</v>
      </c>
      <c r="E26" s="416"/>
    </row>
    <row r="27" spans="1:5" ht="15.75" customHeight="1" x14ac:dyDescent="0.3">
      <c r="C27" s="414">
        <v>1043.27</v>
      </c>
      <c r="D27" s="417">
        <f t="shared" si="0"/>
        <v>-2.9416599448751288E-3</v>
      </c>
      <c r="E27" s="416"/>
    </row>
    <row r="28" spans="1:5" ht="15.75" customHeight="1" x14ac:dyDescent="0.3">
      <c r="C28" s="414">
        <v>1046.93</v>
      </c>
      <c r="D28" s="417">
        <f t="shared" si="0"/>
        <v>5.5622030146746575E-4</v>
      </c>
      <c r="E28" s="416"/>
    </row>
    <row r="29" spans="1:5" ht="15.75" customHeight="1" x14ac:dyDescent="0.3">
      <c r="C29" s="414">
        <v>1041.27</v>
      </c>
      <c r="D29" s="417">
        <f t="shared" si="0"/>
        <v>-4.8530699155540993E-3</v>
      </c>
      <c r="E29" s="416"/>
    </row>
    <row r="30" spans="1:5" ht="15.75" customHeight="1" x14ac:dyDescent="0.3">
      <c r="C30" s="414">
        <v>1048.05</v>
      </c>
      <c r="D30" s="417">
        <f t="shared" si="0"/>
        <v>1.6266098850475851E-3</v>
      </c>
      <c r="E30" s="416"/>
    </row>
    <row r="31" spans="1:5" ht="15.75" customHeight="1" x14ac:dyDescent="0.3">
      <c r="C31" s="414">
        <v>1046.94</v>
      </c>
      <c r="D31" s="417">
        <f t="shared" si="0"/>
        <v>5.6577735132085191E-4</v>
      </c>
      <c r="E31" s="416"/>
    </row>
    <row r="32" spans="1:5" ht="15.75" customHeight="1" x14ac:dyDescent="0.3">
      <c r="C32" s="414">
        <v>1044.98</v>
      </c>
      <c r="D32" s="417">
        <f t="shared" si="0"/>
        <v>-1.3074044199445742E-3</v>
      </c>
      <c r="E32" s="416"/>
    </row>
    <row r="33" spans="1:7" ht="15.75" customHeight="1" x14ac:dyDescent="0.3">
      <c r="C33" s="414">
        <v>1052.72</v>
      </c>
      <c r="D33" s="417">
        <f t="shared" si="0"/>
        <v>6.0897521665830515E-3</v>
      </c>
      <c r="E33" s="416"/>
    </row>
    <row r="34" spans="1:7" ht="15.75" customHeight="1" x14ac:dyDescent="0.3">
      <c r="C34" s="414">
        <v>1063.32</v>
      </c>
      <c r="D34" s="417">
        <f t="shared" si="0"/>
        <v>1.6220225011181508E-2</v>
      </c>
      <c r="E34" s="416"/>
    </row>
    <row r="35" spans="1:7" ht="15.75" customHeight="1" x14ac:dyDescent="0.3">
      <c r="C35" s="414">
        <v>1049.95</v>
      </c>
      <c r="D35" s="417">
        <f t="shared" si="0"/>
        <v>3.442449357192694E-3</v>
      </c>
      <c r="E35" s="416"/>
    </row>
    <row r="36" spans="1:7" ht="15.75" customHeight="1" x14ac:dyDescent="0.3">
      <c r="C36" s="414">
        <v>1049.76</v>
      </c>
      <c r="D36" s="417">
        <f t="shared" si="0"/>
        <v>3.2608654099781399E-3</v>
      </c>
      <c r="E36" s="416"/>
    </row>
    <row r="37" spans="1:7" ht="15.75" customHeight="1" x14ac:dyDescent="0.3">
      <c r="C37" s="414">
        <v>1045.5999999999999</v>
      </c>
      <c r="D37" s="417">
        <f t="shared" si="0"/>
        <v>-7.1486732903419756E-4</v>
      </c>
      <c r="E37" s="416"/>
    </row>
    <row r="38" spans="1:7" ht="15.75" customHeight="1" x14ac:dyDescent="0.3">
      <c r="C38" s="414">
        <v>1040.03</v>
      </c>
      <c r="D38" s="417">
        <f t="shared" si="0"/>
        <v>-6.0381440973750703E-3</v>
      </c>
      <c r="E38" s="416"/>
    </row>
    <row r="39" spans="1:7" ht="15.75" customHeight="1" x14ac:dyDescent="0.3">
      <c r="C39" s="414">
        <v>1047.8499999999999</v>
      </c>
      <c r="D39" s="417">
        <f t="shared" si="0"/>
        <v>1.4354688879796445E-3</v>
      </c>
      <c r="E39" s="416"/>
    </row>
    <row r="40" spans="1:7" ht="15.75" customHeight="1" x14ac:dyDescent="0.3">
      <c r="C40" s="414">
        <v>1045.03</v>
      </c>
      <c r="D40" s="417">
        <f t="shared" si="0"/>
        <v>-1.2596191706776433E-3</v>
      </c>
      <c r="E40" s="416"/>
    </row>
    <row r="41" spans="1:7" ht="15.75" customHeight="1" x14ac:dyDescent="0.3">
      <c r="C41" s="414">
        <v>1040.7</v>
      </c>
      <c r="D41" s="417">
        <f t="shared" si="0"/>
        <v>-5.3978217571975457E-3</v>
      </c>
      <c r="E41" s="416"/>
    </row>
    <row r="42" spans="1:7" ht="15.75" customHeight="1" x14ac:dyDescent="0.3">
      <c r="C42" s="414">
        <v>1040.52</v>
      </c>
      <c r="D42" s="417">
        <f t="shared" si="0"/>
        <v>-5.5698486545587133E-3</v>
      </c>
      <c r="E42" s="416"/>
    </row>
    <row r="43" spans="1:7" ht="16.5" customHeight="1" thickBot="1" x14ac:dyDescent="0.35">
      <c r="C43" s="418">
        <v>1043.56</v>
      </c>
      <c r="D43" s="419">
        <f t="shared" si="0"/>
        <v>-2.6645054991267128E-3</v>
      </c>
      <c r="E43" s="416"/>
    </row>
    <row r="44" spans="1:7" ht="16.5" customHeight="1" thickBot="1" x14ac:dyDescent="0.35">
      <c r="C44" s="420"/>
      <c r="D44" s="416"/>
      <c r="E44" s="421"/>
    </row>
    <row r="45" spans="1:7" ht="16.5" customHeight="1" thickBot="1" x14ac:dyDescent="0.35">
      <c r="B45" s="422" t="s">
        <v>38</v>
      </c>
      <c r="C45" s="423">
        <f>SUM(C24:C44)</f>
        <v>20926.960000000003</v>
      </c>
      <c r="D45" s="424"/>
      <c r="E45" s="420"/>
    </row>
    <row r="46" spans="1:7" ht="17.25" customHeight="1" thickBot="1" x14ac:dyDescent="0.35">
      <c r="B46" s="422" t="s">
        <v>39</v>
      </c>
      <c r="C46" s="425">
        <f>AVERAGE(C24:C44)</f>
        <v>1046.3480000000002</v>
      </c>
      <c r="E46" s="426"/>
    </row>
    <row r="47" spans="1:7" ht="17.25" customHeight="1" thickBot="1" x14ac:dyDescent="0.35">
      <c r="A47" s="404"/>
      <c r="B47" s="427"/>
      <c r="D47" s="428"/>
      <c r="E47" s="426"/>
    </row>
    <row r="48" spans="1:7" ht="33.75" customHeight="1" thickBot="1" x14ac:dyDescent="0.35">
      <c r="B48" s="429" t="s">
        <v>39</v>
      </c>
      <c r="C48" s="412" t="s">
        <v>40</v>
      </c>
      <c r="D48" s="430"/>
      <c r="G48" s="428"/>
    </row>
    <row r="49" spans="1:6" ht="17.25" customHeight="1" thickBot="1" x14ac:dyDescent="0.35">
      <c r="B49" s="444">
        <f>C46</f>
        <v>1046.3480000000002</v>
      </c>
      <c r="C49" s="431">
        <f>-IF(C46&lt;=80,10%,IF(C46&lt;250,7.5%,5%))</f>
        <v>-0.05</v>
      </c>
      <c r="D49" s="432">
        <f>IF(C46&lt;=80,C46*0.9,IF(C46&lt;250,C46*0.925,C46*0.95))</f>
        <v>994.03060000000016</v>
      </c>
    </row>
    <row r="50" spans="1:6" ht="17.25" customHeight="1" thickBot="1" x14ac:dyDescent="0.35">
      <c r="B50" s="445"/>
      <c r="C50" s="433">
        <f>IF(C46&lt;=80, 10%, IF(C46&lt;250, 7.5%, 5%))</f>
        <v>0.05</v>
      </c>
      <c r="D50" s="432">
        <f>IF(C46&lt;=80, C46*1.1, IF(C46&lt;250, C46*1.075, C46*1.05))</f>
        <v>1098.6654000000003</v>
      </c>
    </row>
    <row r="51" spans="1:6" ht="16.5" customHeight="1" thickBot="1" x14ac:dyDescent="0.35">
      <c r="A51" s="434"/>
      <c r="B51" s="435"/>
      <c r="C51" s="404"/>
      <c r="D51" s="436"/>
      <c r="E51" s="404"/>
      <c r="F51" s="409"/>
    </row>
    <row r="52" spans="1:6" ht="16.5" customHeight="1" x14ac:dyDescent="0.3">
      <c r="A52" s="404"/>
      <c r="B52" s="437" t="s">
        <v>22</v>
      </c>
      <c r="C52" s="437"/>
      <c r="D52" s="438" t="s">
        <v>23</v>
      </c>
      <c r="E52" s="439"/>
      <c r="F52" s="438" t="s">
        <v>24</v>
      </c>
    </row>
    <row r="53" spans="1:6" ht="34.5" customHeight="1" x14ac:dyDescent="0.3">
      <c r="A53" s="406" t="s">
        <v>25</v>
      </c>
      <c r="B53" s="440"/>
      <c r="C53" s="404"/>
      <c r="D53" s="440"/>
      <c r="E53" s="404"/>
      <c r="F53" s="440"/>
    </row>
    <row r="54" spans="1:6" ht="34.5" customHeight="1" x14ac:dyDescent="0.3">
      <c r="A54" s="406" t="s">
        <v>26</v>
      </c>
      <c r="B54" s="441"/>
      <c r="C54" s="442"/>
      <c r="D54" s="441"/>
      <c r="E54" s="404"/>
      <c r="F54" s="443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2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0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19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18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17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1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15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13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2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9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8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7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5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4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3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view="pageBreakPreview" zoomScale="60" workbookViewId="0">
      <selection activeCell="E51" sqref="E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" spans="1:10" ht="15" customHeight="1" x14ac:dyDescent="0.3">
      <c r="A1" s="1"/>
      <c r="B1" s="2"/>
      <c r="C1" s="3"/>
      <c r="D1" s="2"/>
      <c r="F1" s="3"/>
    </row>
    <row r="2" spans="1:10" ht="18.75" customHeight="1" x14ac:dyDescent="0.3">
      <c r="A2" s="452" t="s">
        <v>0</v>
      </c>
      <c r="B2" s="452"/>
      <c r="C2" s="452"/>
      <c r="D2" s="452"/>
      <c r="E2" s="452"/>
    </row>
    <row r="3" spans="1:10" ht="16.5" customHeight="1" x14ac:dyDescent="0.3">
      <c r="A3" s="5" t="s">
        <v>1</v>
      </c>
      <c r="B3" s="50" t="s">
        <v>123</v>
      </c>
    </row>
    <row r="4" spans="1:10" ht="16.5" customHeight="1" x14ac:dyDescent="0.3">
      <c r="A4" s="6" t="s">
        <v>2</v>
      </c>
      <c r="B4" s="7" t="s">
        <v>124</v>
      </c>
      <c r="D4" s="8"/>
      <c r="E4" s="9"/>
    </row>
    <row r="5" spans="1:10" ht="16.5" customHeight="1" x14ac:dyDescent="0.3">
      <c r="A5" s="10" t="s">
        <v>3</v>
      </c>
      <c r="B5" s="7" t="s">
        <v>121</v>
      </c>
      <c r="C5" s="9"/>
      <c r="D5" s="9"/>
      <c r="E5" s="9"/>
    </row>
    <row r="6" spans="1:10" ht="16.5" customHeight="1" x14ac:dyDescent="0.3">
      <c r="A6" s="10" t="s">
        <v>5</v>
      </c>
      <c r="B6" s="11">
        <v>99.8</v>
      </c>
      <c r="C6" s="9"/>
      <c r="D6" s="9"/>
      <c r="E6" s="9"/>
    </row>
    <row r="7" spans="1:10" ht="16.5" customHeight="1" x14ac:dyDescent="0.3">
      <c r="A7" s="6" t="s">
        <v>6</v>
      </c>
      <c r="B7" s="11">
        <v>18.22</v>
      </c>
      <c r="C7" s="9"/>
      <c r="D7" s="9"/>
      <c r="E7" s="9"/>
    </row>
    <row r="8" spans="1:10" ht="16.5" customHeight="1" x14ac:dyDescent="0.3">
      <c r="A8" s="6" t="s">
        <v>8</v>
      </c>
      <c r="B8" s="12">
        <f>B7/50*10/20</f>
        <v>0.1822</v>
      </c>
      <c r="C8" s="9"/>
      <c r="D8" s="9"/>
      <c r="E8" s="9"/>
    </row>
    <row r="9" spans="1:10" ht="15.75" customHeight="1" x14ac:dyDescent="0.25">
      <c r="A9" s="9"/>
      <c r="B9" s="9"/>
      <c r="C9" s="9"/>
      <c r="D9" s="9"/>
      <c r="E9" s="9"/>
    </row>
    <row r="10" spans="1:10" ht="16.5" customHeight="1" x14ac:dyDescent="0.3">
      <c r="A10" s="13" t="s">
        <v>10</v>
      </c>
      <c r="B10" s="14" t="s">
        <v>11</v>
      </c>
      <c r="C10" s="13" t="s">
        <v>12</v>
      </c>
      <c r="D10" s="13" t="s">
        <v>13</v>
      </c>
      <c r="E10" s="15" t="s">
        <v>14</v>
      </c>
      <c r="F10" s="398" t="s">
        <v>127</v>
      </c>
      <c r="J10" s="4"/>
    </row>
    <row r="11" spans="1:10" ht="16.5" customHeight="1" x14ac:dyDescent="0.3">
      <c r="A11" s="16">
        <v>1</v>
      </c>
      <c r="B11" s="17">
        <v>174299884</v>
      </c>
      <c r="C11" s="17">
        <v>4417.12</v>
      </c>
      <c r="D11" s="18">
        <v>0.81</v>
      </c>
      <c r="E11" s="19">
        <v>9.94</v>
      </c>
      <c r="F11" s="19">
        <v>11.15</v>
      </c>
      <c r="J11" s="4"/>
    </row>
    <row r="12" spans="1:10" ht="16.5" customHeight="1" x14ac:dyDescent="0.3">
      <c r="A12" s="16">
        <v>2</v>
      </c>
      <c r="B12" s="17">
        <v>175380774</v>
      </c>
      <c r="C12" s="17">
        <v>4538.7700000000004</v>
      </c>
      <c r="D12" s="18">
        <v>0.82</v>
      </c>
      <c r="E12" s="18">
        <v>9.94</v>
      </c>
      <c r="F12" s="18">
        <v>11.26</v>
      </c>
      <c r="J12" s="4"/>
    </row>
    <row r="13" spans="1:10" ht="16.5" customHeight="1" x14ac:dyDescent="0.3">
      <c r="A13" s="16">
        <v>3</v>
      </c>
      <c r="B13" s="17">
        <v>175168254</v>
      </c>
      <c r="C13" s="17">
        <v>4569.5600000000004</v>
      </c>
      <c r="D13" s="18">
        <v>0.82</v>
      </c>
      <c r="E13" s="18">
        <v>9.9499999999999993</v>
      </c>
      <c r="F13" s="18">
        <v>11.32</v>
      </c>
      <c r="J13" s="4"/>
    </row>
    <row r="14" spans="1:10" ht="16.5" customHeight="1" x14ac:dyDescent="0.3">
      <c r="A14" s="16">
        <v>4</v>
      </c>
      <c r="B14" s="17">
        <v>174473863</v>
      </c>
      <c r="C14" s="17">
        <v>4444.6499999999996</v>
      </c>
      <c r="D14" s="18">
        <v>0.81</v>
      </c>
      <c r="E14" s="18">
        <v>9.9499999999999993</v>
      </c>
      <c r="F14" s="18">
        <v>11.2</v>
      </c>
      <c r="J14" s="4"/>
    </row>
    <row r="15" spans="1:10" ht="16.5" customHeight="1" x14ac:dyDescent="0.3">
      <c r="A15" s="16">
        <v>5</v>
      </c>
      <c r="B15" s="17">
        <v>174958067</v>
      </c>
      <c r="C15" s="17">
        <v>4369.9399999999996</v>
      </c>
      <c r="D15" s="18">
        <v>0.81</v>
      </c>
      <c r="E15" s="18">
        <v>9.9499999999999993</v>
      </c>
      <c r="F15" s="18">
        <v>11.12</v>
      </c>
      <c r="J15" s="4"/>
    </row>
    <row r="16" spans="1:10" ht="16.5" customHeight="1" x14ac:dyDescent="0.3">
      <c r="A16" s="16">
        <v>6</v>
      </c>
      <c r="B16" s="20">
        <v>174337487</v>
      </c>
      <c r="C16" s="20">
        <v>4327.78</v>
      </c>
      <c r="D16" s="21">
        <v>0.81</v>
      </c>
      <c r="E16" s="21">
        <v>9.9499999999999993</v>
      </c>
      <c r="F16" s="21">
        <v>11.06</v>
      </c>
      <c r="J16" s="4"/>
    </row>
    <row r="17" spans="1:10" ht="16.5" customHeight="1" x14ac:dyDescent="0.3">
      <c r="A17" s="22" t="s">
        <v>15</v>
      </c>
      <c r="B17" s="23">
        <f>AVERAGE(B11:B16)</f>
        <v>174769721.5</v>
      </c>
      <c r="C17" s="24">
        <f>AVERAGE(C11:C16)</f>
        <v>4444.6366666666663</v>
      </c>
      <c r="D17" s="25">
        <f>AVERAGE(D11:D16)</f>
        <v>0.81333333333333346</v>
      </c>
      <c r="E17" s="25">
        <f>AVERAGE(E11:E16)</f>
        <v>9.9466666666666672</v>
      </c>
      <c r="F17" s="25">
        <f>AVERAGE(F11:F16)</f>
        <v>11.185</v>
      </c>
      <c r="J17" s="4"/>
    </row>
    <row r="18" spans="1:10" ht="16.5" customHeight="1" x14ac:dyDescent="0.3">
      <c r="A18" s="26" t="s">
        <v>16</v>
      </c>
      <c r="B18" s="27">
        <f>(STDEV(B11:B16)/B17)</f>
        <v>2.6379906664023571E-3</v>
      </c>
      <c r="C18" s="28"/>
      <c r="D18" s="28"/>
      <c r="E18" s="28"/>
      <c r="F18" s="29"/>
      <c r="G18" s="2"/>
      <c r="J18" s="4"/>
    </row>
    <row r="19" spans="1:10" s="2" customFormat="1" ht="16.5" customHeight="1" x14ac:dyDescent="0.3">
      <c r="A19" s="30" t="s">
        <v>17</v>
      </c>
      <c r="B19" s="31">
        <f>COUNT(B11:B16)</f>
        <v>6</v>
      </c>
      <c r="C19" s="32"/>
      <c r="D19" s="33"/>
      <c r="E19" s="51"/>
      <c r="F19" s="34"/>
    </row>
    <row r="20" spans="1:10" s="2" customFormat="1" ht="15.75" customHeight="1" x14ac:dyDescent="0.25">
      <c r="A20" s="9"/>
      <c r="B20" s="9"/>
      <c r="C20" s="9"/>
      <c r="D20" s="9"/>
      <c r="E20" s="35"/>
    </row>
    <row r="21" spans="1:10" s="2" customFormat="1" ht="16.5" customHeight="1" x14ac:dyDescent="0.3">
      <c r="A21" s="10" t="s">
        <v>18</v>
      </c>
      <c r="B21" s="36" t="s">
        <v>19</v>
      </c>
      <c r="C21" s="37"/>
      <c r="D21" s="37"/>
      <c r="E21" s="38"/>
    </row>
    <row r="22" spans="1:10" ht="16.5" customHeight="1" x14ac:dyDescent="0.3">
      <c r="A22" s="10"/>
      <c r="B22" s="36" t="s">
        <v>20</v>
      </c>
      <c r="C22" s="37"/>
      <c r="D22" s="37"/>
      <c r="E22" s="38"/>
      <c r="F22" s="2"/>
    </row>
    <row r="23" spans="1:10" ht="16.5" customHeight="1" x14ac:dyDescent="0.3">
      <c r="A23" s="10"/>
      <c r="B23" s="39" t="s">
        <v>21</v>
      </c>
      <c r="C23" s="37"/>
      <c r="D23" s="37"/>
      <c r="E23" s="37"/>
    </row>
    <row r="24" spans="1:10" s="42" customFormat="1" ht="16.5" customHeight="1" x14ac:dyDescent="0.3">
      <c r="A24" s="52"/>
      <c r="B24" s="397" t="s">
        <v>126</v>
      </c>
      <c r="C24" s="38"/>
      <c r="D24" s="38"/>
      <c r="E24" s="38"/>
      <c r="F24" s="342"/>
      <c r="G24" s="342"/>
      <c r="H24" s="342"/>
      <c r="I24" s="342"/>
    </row>
    <row r="25" spans="1:10" ht="15.75" customHeight="1" x14ac:dyDescent="0.25">
      <c r="A25" s="9"/>
      <c r="C25" s="9"/>
      <c r="D25" s="9"/>
      <c r="E25" s="9"/>
    </row>
    <row r="26" spans="1:10" ht="16.5" customHeight="1" x14ac:dyDescent="0.3">
      <c r="A26" s="5" t="s">
        <v>1</v>
      </c>
      <c r="B26" s="50" t="s">
        <v>123</v>
      </c>
    </row>
    <row r="27" spans="1:10" ht="16.5" customHeight="1" x14ac:dyDescent="0.3">
      <c r="A27" s="10" t="s">
        <v>3</v>
      </c>
      <c r="B27" s="7" t="s">
        <v>125</v>
      </c>
      <c r="C27" s="9"/>
      <c r="D27" s="9"/>
      <c r="E27" s="9"/>
    </row>
    <row r="28" spans="1:10" ht="16.5" customHeight="1" x14ac:dyDescent="0.3">
      <c r="A28" s="10" t="s">
        <v>5</v>
      </c>
      <c r="B28" s="11">
        <v>99.6</v>
      </c>
      <c r="C28" s="9"/>
      <c r="D28" s="9"/>
      <c r="E28" s="9"/>
    </row>
    <row r="29" spans="1:10" ht="16.5" customHeight="1" x14ac:dyDescent="0.3">
      <c r="A29" s="6" t="s">
        <v>6</v>
      </c>
      <c r="B29" s="11">
        <v>26.94</v>
      </c>
      <c r="C29" s="9"/>
      <c r="D29" s="9"/>
      <c r="E29" s="9"/>
    </row>
    <row r="30" spans="1:10" ht="16.5" customHeight="1" x14ac:dyDescent="0.3">
      <c r="A30" s="6" t="s">
        <v>8</v>
      </c>
      <c r="B30" s="12">
        <f>B29/100*3/20</f>
        <v>4.0410000000000001E-2</v>
      </c>
      <c r="C30" s="9"/>
      <c r="D30" s="9"/>
      <c r="E30" s="9"/>
    </row>
    <row r="31" spans="1:10" ht="15.75" customHeight="1" x14ac:dyDescent="0.25">
      <c r="A31" s="9"/>
      <c r="B31" s="9"/>
      <c r="C31" s="9"/>
      <c r="D31" s="9"/>
      <c r="E31" s="9"/>
    </row>
    <row r="32" spans="1:10" ht="16.5" customHeight="1" x14ac:dyDescent="0.3">
      <c r="A32" s="13" t="s">
        <v>10</v>
      </c>
      <c r="B32" s="14" t="s">
        <v>11</v>
      </c>
      <c r="C32" s="13" t="s">
        <v>12</v>
      </c>
      <c r="D32" s="13" t="s">
        <v>13</v>
      </c>
      <c r="E32" s="15" t="s">
        <v>14</v>
      </c>
    </row>
    <row r="33" spans="1:7" ht="16.5" customHeight="1" x14ac:dyDescent="0.3">
      <c r="A33" s="16">
        <v>1</v>
      </c>
      <c r="B33" s="17">
        <v>15312204</v>
      </c>
      <c r="C33" s="17">
        <v>6714.29</v>
      </c>
      <c r="D33" s="18">
        <v>1.1000000000000001</v>
      </c>
      <c r="E33" s="19">
        <v>5.19</v>
      </c>
    </row>
    <row r="34" spans="1:7" ht="16.5" customHeight="1" x14ac:dyDescent="0.3">
      <c r="A34" s="16">
        <v>2</v>
      </c>
      <c r="B34" s="17">
        <v>15392825</v>
      </c>
      <c r="C34" s="17">
        <v>6784.69</v>
      </c>
      <c r="D34" s="18">
        <v>1.0900000000000001</v>
      </c>
      <c r="E34" s="18">
        <v>5.2</v>
      </c>
    </row>
    <row r="35" spans="1:7" ht="16.5" customHeight="1" x14ac:dyDescent="0.3">
      <c r="A35" s="16">
        <v>3</v>
      </c>
      <c r="B35" s="17">
        <v>15382958</v>
      </c>
      <c r="C35" s="17">
        <v>6796.32</v>
      </c>
      <c r="D35" s="18">
        <v>1.1100000000000001</v>
      </c>
      <c r="E35" s="18">
        <v>5.19</v>
      </c>
    </row>
    <row r="36" spans="1:7" ht="16.5" customHeight="1" x14ac:dyDescent="0.3">
      <c r="A36" s="16">
        <v>4</v>
      </c>
      <c r="B36" s="17">
        <v>15322526</v>
      </c>
      <c r="C36" s="17">
        <v>6760.41</v>
      </c>
      <c r="D36" s="18">
        <v>1.1100000000000001</v>
      </c>
      <c r="E36" s="18">
        <v>5.19</v>
      </c>
    </row>
    <row r="37" spans="1:7" ht="16.5" customHeight="1" x14ac:dyDescent="0.3">
      <c r="A37" s="16">
        <v>5</v>
      </c>
      <c r="B37" s="17">
        <v>15374133</v>
      </c>
      <c r="C37" s="17">
        <v>6701.67</v>
      </c>
      <c r="D37" s="18">
        <v>1.1000000000000001</v>
      </c>
      <c r="E37" s="18">
        <v>5.19</v>
      </c>
    </row>
    <row r="38" spans="1:7" ht="16.5" customHeight="1" x14ac:dyDescent="0.3">
      <c r="A38" s="16">
        <v>6</v>
      </c>
      <c r="B38" s="20">
        <v>15323945</v>
      </c>
      <c r="C38" s="20">
        <v>6671.85</v>
      </c>
      <c r="D38" s="21">
        <v>1.07</v>
      </c>
      <c r="E38" s="21">
        <v>5.19</v>
      </c>
    </row>
    <row r="39" spans="1:7" ht="16.5" customHeight="1" x14ac:dyDescent="0.3">
      <c r="A39" s="22" t="s">
        <v>15</v>
      </c>
      <c r="B39" s="23">
        <f>AVERAGE(B33:B38)</f>
        <v>15351431.833333334</v>
      </c>
      <c r="C39" s="24">
        <f>AVERAGE(C33:C38)</f>
        <v>6738.204999999999</v>
      </c>
      <c r="D39" s="25">
        <f>AVERAGE(D33:D38)</f>
        <v>1.0966666666666669</v>
      </c>
      <c r="E39" s="25">
        <f>AVERAGE(E33:E38)</f>
        <v>5.1916666666666673</v>
      </c>
    </row>
    <row r="40" spans="1:7" ht="16.5" customHeight="1" x14ac:dyDescent="0.3">
      <c r="A40" s="26" t="s">
        <v>16</v>
      </c>
      <c r="B40" s="27">
        <f>(STDEV(B33:B38)/B39)</f>
        <v>2.3218788611364537E-3</v>
      </c>
      <c r="C40" s="28"/>
      <c r="D40" s="28"/>
      <c r="E40" s="29"/>
      <c r="F40" s="2"/>
    </row>
    <row r="41" spans="1:7" s="2" customFormat="1" ht="16.5" customHeight="1" x14ac:dyDescent="0.3">
      <c r="A41" s="30" t="s">
        <v>17</v>
      </c>
      <c r="B41" s="31">
        <f>COUNT(B33:B38)</f>
        <v>6</v>
      </c>
      <c r="C41" s="32"/>
      <c r="D41" s="33"/>
      <c r="E41" s="34"/>
    </row>
    <row r="42" spans="1:7" s="2" customFormat="1" ht="15.75" customHeight="1" x14ac:dyDescent="0.25">
      <c r="A42" s="9"/>
      <c r="B42" s="9"/>
      <c r="C42" s="9"/>
      <c r="D42" s="9"/>
      <c r="E42" s="35"/>
    </row>
    <row r="43" spans="1:7" s="2" customFormat="1" ht="16.5" customHeight="1" x14ac:dyDescent="0.3">
      <c r="A43" s="10" t="s">
        <v>18</v>
      </c>
      <c r="B43" s="36" t="s">
        <v>19</v>
      </c>
      <c r="C43" s="37"/>
      <c r="D43" s="37"/>
      <c r="E43" s="38"/>
    </row>
    <row r="44" spans="1:7" ht="16.5" customHeight="1" x14ac:dyDescent="0.3">
      <c r="A44" s="10"/>
      <c r="B44" s="36" t="s">
        <v>20</v>
      </c>
      <c r="C44" s="37"/>
      <c r="D44" s="37"/>
      <c r="E44" s="38"/>
      <c r="F44" s="2"/>
    </row>
    <row r="45" spans="1:7" ht="16.5" customHeight="1" x14ac:dyDescent="0.3">
      <c r="A45" s="10"/>
      <c r="B45" s="39" t="s">
        <v>21</v>
      </c>
      <c r="C45" s="37"/>
      <c r="D45" s="38"/>
      <c r="E45" s="37"/>
    </row>
    <row r="46" spans="1:7" ht="14.25" customHeight="1" x14ac:dyDescent="0.25">
      <c r="A46" s="40"/>
      <c r="D46" s="41"/>
      <c r="F46" s="42"/>
      <c r="G46" s="42"/>
    </row>
    <row r="47" spans="1:7" ht="15" customHeight="1" x14ac:dyDescent="0.3">
      <c r="B47" s="453" t="s">
        <v>22</v>
      </c>
      <c r="C47" s="453"/>
      <c r="E47" s="43" t="s">
        <v>23</v>
      </c>
      <c r="F47" s="44"/>
      <c r="G47" s="43" t="s">
        <v>24</v>
      </c>
    </row>
    <row r="48" spans="1:7" ht="15" customHeight="1" x14ac:dyDescent="0.3">
      <c r="A48" s="45" t="s">
        <v>25</v>
      </c>
      <c r="B48" s="47" t="s">
        <v>129</v>
      </c>
      <c r="C48" s="46"/>
      <c r="E48" s="47" t="s">
        <v>130</v>
      </c>
      <c r="F48" s="2"/>
      <c r="G48" s="47"/>
    </row>
    <row r="49" spans="1:7" ht="15" customHeight="1" x14ac:dyDescent="0.3">
      <c r="A49" s="45" t="s">
        <v>26</v>
      </c>
      <c r="B49" s="48"/>
      <c r="C49" s="48"/>
      <c r="E49" s="48"/>
      <c r="F49" s="2"/>
      <c r="G49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7:C47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55" zoomScale="60" zoomScaleNormal="60" zoomScaleSheetLayoutView="40" zoomScalePageLayoutView="55" workbookViewId="0">
      <selection activeCell="F71" sqref="F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2" t="s">
        <v>41</v>
      </c>
      <c r="B1" s="482"/>
      <c r="C1" s="482"/>
      <c r="D1" s="482"/>
      <c r="E1" s="482"/>
      <c r="F1" s="482"/>
      <c r="G1" s="482"/>
      <c r="H1" s="482"/>
      <c r="I1" s="482"/>
    </row>
    <row r="2" spans="1:9" ht="18.75" customHeight="1" x14ac:dyDescent="0.25">
      <c r="A2" s="482"/>
      <c r="B2" s="482"/>
      <c r="C2" s="482"/>
      <c r="D2" s="482"/>
      <c r="E2" s="482"/>
      <c r="F2" s="482"/>
      <c r="G2" s="482"/>
      <c r="H2" s="482"/>
      <c r="I2" s="482"/>
    </row>
    <row r="3" spans="1:9" ht="18.75" customHeight="1" x14ac:dyDescent="0.25">
      <c r="A3" s="482"/>
      <c r="B3" s="482"/>
      <c r="C3" s="482"/>
      <c r="D3" s="482"/>
      <c r="E3" s="482"/>
      <c r="F3" s="482"/>
      <c r="G3" s="482"/>
      <c r="H3" s="482"/>
      <c r="I3" s="482"/>
    </row>
    <row r="4" spans="1:9" ht="18.75" customHeight="1" x14ac:dyDescent="0.25">
      <c r="A4" s="482"/>
      <c r="B4" s="482"/>
      <c r="C4" s="482"/>
      <c r="D4" s="482"/>
      <c r="E4" s="482"/>
      <c r="F4" s="482"/>
      <c r="G4" s="482"/>
      <c r="H4" s="482"/>
      <c r="I4" s="482"/>
    </row>
    <row r="5" spans="1:9" ht="18.75" customHeight="1" x14ac:dyDescent="0.25">
      <c r="A5" s="482"/>
      <c r="B5" s="482"/>
      <c r="C5" s="482"/>
      <c r="D5" s="482"/>
      <c r="E5" s="482"/>
      <c r="F5" s="482"/>
      <c r="G5" s="482"/>
      <c r="H5" s="482"/>
      <c r="I5" s="482"/>
    </row>
    <row r="6" spans="1:9" ht="18.75" customHeight="1" x14ac:dyDescent="0.25">
      <c r="A6" s="482"/>
      <c r="B6" s="482"/>
      <c r="C6" s="482"/>
      <c r="D6" s="482"/>
      <c r="E6" s="482"/>
      <c r="F6" s="482"/>
      <c r="G6" s="482"/>
      <c r="H6" s="482"/>
      <c r="I6" s="482"/>
    </row>
    <row r="7" spans="1:9" ht="18.75" customHeight="1" x14ac:dyDescent="0.25">
      <c r="A7" s="482"/>
      <c r="B7" s="482"/>
      <c r="C7" s="482"/>
      <c r="D7" s="482"/>
      <c r="E7" s="482"/>
      <c r="F7" s="482"/>
      <c r="G7" s="482"/>
      <c r="H7" s="482"/>
      <c r="I7" s="482"/>
    </row>
    <row r="8" spans="1:9" x14ac:dyDescent="0.25">
      <c r="A8" s="483" t="s">
        <v>42</v>
      </c>
      <c r="B8" s="483"/>
      <c r="C8" s="483"/>
      <c r="D8" s="483"/>
      <c r="E8" s="483"/>
      <c r="F8" s="483"/>
      <c r="G8" s="483"/>
      <c r="H8" s="483"/>
      <c r="I8" s="483"/>
    </row>
    <row r="9" spans="1:9" x14ac:dyDescent="0.25">
      <c r="A9" s="483"/>
      <c r="B9" s="483"/>
      <c r="C9" s="483"/>
      <c r="D9" s="483"/>
      <c r="E9" s="483"/>
      <c r="F9" s="483"/>
      <c r="G9" s="483"/>
      <c r="H9" s="483"/>
      <c r="I9" s="483"/>
    </row>
    <row r="10" spans="1:9" x14ac:dyDescent="0.25">
      <c r="A10" s="483"/>
      <c r="B10" s="483"/>
      <c r="C10" s="483"/>
      <c r="D10" s="483"/>
      <c r="E10" s="483"/>
      <c r="F10" s="483"/>
      <c r="G10" s="483"/>
      <c r="H10" s="483"/>
      <c r="I10" s="483"/>
    </row>
    <row r="11" spans="1:9" x14ac:dyDescent="0.25">
      <c r="A11" s="483"/>
      <c r="B11" s="483"/>
      <c r="C11" s="483"/>
      <c r="D11" s="483"/>
      <c r="E11" s="483"/>
      <c r="F11" s="483"/>
      <c r="G11" s="483"/>
      <c r="H11" s="483"/>
      <c r="I11" s="483"/>
    </row>
    <row r="12" spans="1:9" x14ac:dyDescent="0.25">
      <c r="A12" s="483"/>
      <c r="B12" s="483"/>
      <c r="C12" s="483"/>
      <c r="D12" s="483"/>
      <c r="E12" s="483"/>
      <c r="F12" s="483"/>
      <c r="G12" s="483"/>
      <c r="H12" s="483"/>
      <c r="I12" s="483"/>
    </row>
    <row r="13" spans="1:9" x14ac:dyDescent="0.25">
      <c r="A13" s="483"/>
      <c r="B13" s="483"/>
      <c r="C13" s="483"/>
      <c r="D13" s="483"/>
      <c r="E13" s="483"/>
      <c r="F13" s="483"/>
      <c r="G13" s="483"/>
      <c r="H13" s="483"/>
      <c r="I13" s="483"/>
    </row>
    <row r="14" spans="1:9" x14ac:dyDescent="0.25">
      <c r="A14" s="483"/>
      <c r="B14" s="483"/>
      <c r="C14" s="483"/>
      <c r="D14" s="483"/>
      <c r="E14" s="483"/>
      <c r="F14" s="483"/>
      <c r="G14" s="483"/>
      <c r="H14" s="483"/>
      <c r="I14" s="483"/>
    </row>
    <row r="15" spans="1:9" ht="19.5" customHeight="1" x14ac:dyDescent="0.3">
      <c r="A15" s="53"/>
    </row>
    <row r="16" spans="1:9" ht="19.5" customHeight="1" x14ac:dyDescent="0.3">
      <c r="A16" s="455" t="s">
        <v>27</v>
      </c>
      <c r="B16" s="456"/>
      <c r="C16" s="456"/>
      <c r="D16" s="456"/>
      <c r="E16" s="456"/>
      <c r="F16" s="456"/>
      <c r="G16" s="456"/>
      <c r="H16" s="457"/>
    </row>
    <row r="17" spans="1:14" ht="20.25" customHeight="1" x14ac:dyDescent="0.25">
      <c r="A17" s="458" t="s">
        <v>43</v>
      </c>
      <c r="B17" s="458"/>
      <c r="C17" s="458"/>
      <c r="D17" s="458"/>
      <c r="E17" s="458"/>
      <c r="F17" s="458"/>
      <c r="G17" s="458"/>
      <c r="H17" s="458"/>
    </row>
    <row r="18" spans="1:14" ht="26.25" customHeight="1" x14ac:dyDescent="0.4">
      <c r="A18" s="55" t="s">
        <v>29</v>
      </c>
      <c r="B18" s="454" t="s">
        <v>4</v>
      </c>
      <c r="C18" s="454"/>
      <c r="D18" s="220"/>
      <c r="E18" s="56"/>
      <c r="F18" s="57"/>
      <c r="G18" s="57"/>
      <c r="H18" s="57"/>
    </row>
    <row r="19" spans="1:14" ht="26.25" customHeight="1" x14ac:dyDescent="0.4">
      <c r="A19" s="55" t="s">
        <v>30</v>
      </c>
      <c r="B19" s="399" t="s">
        <v>131</v>
      </c>
      <c r="C19" s="233">
        <v>29</v>
      </c>
      <c r="D19" s="57"/>
      <c r="E19" s="57"/>
      <c r="F19" s="57"/>
      <c r="G19" s="57"/>
      <c r="H19" s="57"/>
    </row>
    <row r="20" spans="1:14" ht="26.25" customHeight="1" x14ac:dyDescent="0.4">
      <c r="A20" s="55" t="s">
        <v>31</v>
      </c>
      <c r="B20" s="459" t="s">
        <v>7</v>
      </c>
      <c r="C20" s="459"/>
      <c r="D20" s="57"/>
      <c r="E20" s="57"/>
      <c r="F20" s="57"/>
      <c r="G20" s="57"/>
      <c r="H20" s="57"/>
    </row>
    <row r="21" spans="1:14" ht="26.25" customHeight="1" x14ac:dyDescent="0.4">
      <c r="A21" s="55" t="s">
        <v>32</v>
      </c>
      <c r="B21" s="459" t="s">
        <v>9</v>
      </c>
      <c r="C21" s="459"/>
      <c r="D21" s="459"/>
      <c r="E21" s="459"/>
      <c r="F21" s="459"/>
      <c r="G21" s="459"/>
      <c r="H21" s="459"/>
      <c r="I21" s="58"/>
    </row>
    <row r="22" spans="1:14" ht="26.25" customHeight="1" x14ac:dyDescent="0.4">
      <c r="A22" s="55" t="s">
        <v>33</v>
      </c>
      <c r="B22" s="59">
        <v>42466</v>
      </c>
      <c r="C22" s="57"/>
      <c r="D22" s="57"/>
      <c r="E22" s="57"/>
      <c r="F22" s="57"/>
      <c r="G22" s="57"/>
      <c r="H22" s="57"/>
    </row>
    <row r="23" spans="1:14" ht="26.25" customHeight="1" x14ac:dyDescent="0.4">
      <c r="A23" s="55" t="s">
        <v>34</v>
      </c>
      <c r="B23" s="59">
        <v>42475</v>
      </c>
      <c r="C23" s="57"/>
      <c r="D23" s="57"/>
      <c r="E23" s="57"/>
      <c r="F23" s="57"/>
      <c r="G23" s="57"/>
      <c r="H23" s="57"/>
    </row>
    <row r="24" spans="1:14" ht="18.75" x14ac:dyDescent="0.3">
      <c r="A24" s="55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3</v>
      </c>
      <c r="B26" s="454" t="s">
        <v>121</v>
      </c>
      <c r="C26" s="454"/>
    </row>
    <row r="27" spans="1:14" ht="26.25" customHeight="1" x14ac:dyDescent="0.4">
      <c r="A27" s="63" t="s">
        <v>44</v>
      </c>
      <c r="B27" s="460" t="s">
        <v>122</v>
      </c>
      <c r="C27" s="460"/>
    </row>
    <row r="28" spans="1:14" ht="27" customHeight="1" x14ac:dyDescent="0.4">
      <c r="A28" s="63" t="s">
        <v>5</v>
      </c>
      <c r="B28" s="64">
        <v>99.8</v>
      </c>
    </row>
    <row r="29" spans="1:14" s="13" customFormat="1" ht="27" customHeight="1" x14ac:dyDescent="0.4">
      <c r="A29" s="63" t="s">
        <v>45</v>
      </c>
      <c r="B29" s="65">
        <v>0</v>
      </c>
      <c r="C29" s="461" t="s">
        <v>46</v>
      </c>
      <c r="D29" s="462"/>
      <c r="E29" s="462"/>
      <c r="F29" s="462"/>
      <c r="G29" s="463"/>
      <c r="I29" s="66"/>
      <c r="J29" s="66"/>
      <c r="K29" s="66"/>
      <c r="L29" s="66"/>
    </row>
    <row r="30" spans="1:14" s="13" customFormat="1" ht="19.5" customHeight="1" x14ac:dyDescent="0.3">
      <c r="A30" s="63" t="s">
        <v>47</v>
      </c>
      <c r="B30" s="67">
        <f>B28-B29</f>
        <v>99.8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3" customFormat="1" ht="27" customHeight="1" x14ac:dyDescent="0.4">
      <c r="A31" s="63" t="s">
        <v>48</v>
      </c>
      <c r="B31" s="70">
        <v>1</v>
      </c>
      <c r="C31" s="464" t="s">
        <v>49</v>
      </c>
      <c r="D31" s="465"/>
      <c r="E31" s="465"/>
      <c r="F31" s="465"/>
      <c r="G31" s="465"/>
      <c r="H31" s="466"/>
      <c r="I31" s="66"/>
      <c r="J31" s="66"/>
      <c r="K31" s="66"/>
      <c r="L31" s="66"/>
    </row>
    <row r="32" spans="1:14" s="13" customFormat="1" ht="27" customHeight="1" x14ac:dyDescent="0.4">
      <c r="A32" s="63" t="s">
        <v>50</v>
      </c>
      <c r="B32" s="70">
        <v>1</v>
      </c>
      <c r="C32" s="464" t="s">
        <v>51</v>
      </c>
      <c r="D32" s="465"/>
      <c r="E32" s="465"/>
      <c r="F32" s="465"/>
      <c r="G32" s="465"/>
      <c r="H32" s="466"/>
      <c r="I32" s="66"/>
      <c r="J32" s="66"/>
      <c r="K32" s="66"/>
      <c r="L32" s="71"/>
      <c r="M32" s="71"/>
      <c r="N32" s="72"/>
    </row>
    <row r="33" spans="1:14" s="13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3" customFormat="1" ht="18.75" x14ac:dyDescent="0.3">
      <c r="A34" s="63" t="s">
        <v>52</v>
      </c>
      <c r="B34" s="75">
        <f>B31/B32</f>
        <v>1</v>
      </c>
      <c r="C34" s="54" t="s">
        <v>53</v>
      </c>
      <c r="D34" s="54"/>
      <c r="E34" s="54"/>
      <c r="F34" s="54"/>
      <c r="G34" s="54"/>
      <c r="I34" s="66"/>
      <c r="J34" s="66"/>
      <c r="K34" s="66"/>
      <c r="L34" s="71"/>
      <c r="M34" s="71"/>
      <c r="N34" s="72"/>
    </row>
    <row r="35" spans="1:14" s="13" customFormat="1" ht="19.5" customHeight="1" x14ac:dyDescent="0.3">
      <c r="A35" s="63"/>
      <c r="B35" s="67"/>
      <c r="G35" s="54"/>
      <c r="I35" s="66"/>
      <c r="J35" s="66"/>
      <c r="K35" s="66"/>
      <c r="L35" s="71"/>
      <c r="M35" s="71"/>
      <c r="N35" s="72"/>
    </row>
    <row r="36" spans="1:14" s="13" customFormat="1" ht="27" customHeight="1" x14ac:dyDescent="0.4">
      <c r="A36" s="76" t="s">
        <v>54</v>
      </c>
      <c r="B36" s="77">
        <v>50</v>
      </c>
      <c r="C36" s="54"/>
      <c r="D36" s="467" t="s">
        <v>55</v>
      </c>
      <c r="E36" s="468"/>
      <c r="F36" s="467" t="s">
        <v>56</v>
      </c>
      <c r="G36" s="469"/>
      <c r="J36" s="66"/>
      <c r="K36" s="66"/>
      <c r="L36" s="71"/>
      <c r="M36" s="71"/>
      <c r="N36" s="72"/>
    </row>
    <row r="37" spans="1:14" s="13" customFormat="1" ht="27" customHeight="1" x14ac:dyDescent="0.4">
      <c r="A37" s="78" t="s">
        <v>57</v>
      </c>
      <c r="B37" s="79">
        <v>10</v>
      </c>
      <c r="C37" s="80" t="s">
        <v>58</v>
      </c>
      <c r="D37" s="81" t="s">
        <v>59</v>
      </c>
      <c r="E37" s="82" t="s">
        <v>60</v>
      </c>
      <c r="F37" s="81" t="s">
        <v>59</v>
      </c>
      <c r="G37" s="83" t="s">
        <v>60</v>
      </c>
      <c r="I37" s="84" t="s">
        <v>61</v>
      </c>
      <c r="J37" s="66"/>
      <c r="K37" s="66"/>
      <c r="L37" s="71"/>
      <c r="M37" s="71"/>
      <c r="N37" s="72"/>
    </row>
    <row r="38" spans="1:14" s="13" customFormat="1" ht="26.25" customHeight="1" x14ac:dyDescent="0.4">
      <c r="A38" s="78" t="s">
        <v>62</v>
      </c>
      <c r="B38" s="79">
        <v>20</v>
      </c>
      <c r="C38" s="85">
        <v>1</v>
      </c>
      <c r="D38" s="86">
        <v>175079251</v>
      </c>
      <c r="E38" s="87">
        <f>IF(ISBLANK(D38),"-",$D$48/$D$45*D38)</f>
        <v>154054982.41268489</v>
      </c>
      <c r="F38" s="86">
        <v>191895736</v>
      </c>
      <c r="G38" s="88">
        <f>IF(ISBLANK(F38),"-",$D$48/$F$45*F38)</f>
        <v>151700431.23722792</v>
      </c>
      <c r="I38" s="89"/>
      <c r="J38" s="66"/>
      <c r="K38" s="66"/>
      <c r="L38" s="71"/>
      <c r="M38" s="71"/>
      <c r="N38" s="72"/>
    </row>
    <row r="39" spans="1:14" s="13" customFormat="1" ht="26.25" customHeight="1" x14ac:dyDescent="0.4">
      <c r="A39" s="78" t="s">
        <v>63</v>
      </c>
      <c r="B39" s="79">
        <v>1</v>
      </c>
      <c r="C39" s="90">
        <v>2</v>
      </c>
      <c r="D39" s="91">
        <v>174244602</v>
      </c>
      <c r="E39" s="92">
        <f>IF(ISBLANK(D39),"-",$D$48/$D$45*D39)</f>
        <v>153320561.65019396</v>
      </c>
      <c r="F39" s="91">
        <v>192421990</v>
      </c>
      <c r="G39" s="93">
        <f>IF(ISBLANK(F39),"-",$D$48/$F$45*F39)</f>
        <v>152116453.8149277</v>
      </c>
      <c r="I39" s="471">
        <f>ABS((F43/D43*D42)-F42)/D42</f>
        <v>1.1788388411426843E-2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64</v>
      </c>
      <c r="B40" s="79">
        <v>1</v>
      </c>
      <c r="C40" s="90">
        <v>3</v>
      </c>
      <c r="D40" s="91">
        <v>174433307</v>
      </c>
      <c r="E40" s="92">
        <f>IF(ISBLANK(D40),"-",$D$48/$D$45*D40)</f>
        <v>153486606.14313152</v>
      </c>
      <c r="F40" s="91">
        <v>192482511</v>
      </c>
      <c r="G40" s="93">
        <f>IF(ISBLANK(F40),"-",$D$48/$F$45*F40)</f>
        <v>152164297.8264221</v>
      </c>
      <c r="I40" s="471"/>
      <c r="L40" s="71"/>
      <c r="M40" s="71"/>
      <c r="N40" s="94"/>
    </row>
    <row r="41" spans="1:14" ht="27" customHeight="1" x14ac:dyDescent="0.4">
      <c r="A41" s="78" t="s">
        <v>65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66</v>
      </c>
      <c r="B42" s="79">
        <v>1</v>
      </c>
      <c r="C42" s="100" t="s">
        <v>67</v>
      </c>
      <c r="D42" s="101">
        <f>AVERAGE(D38:D41)</f>
        <v>174585720</v>
      </c>
      <c r="E42" s="102">
        <f>AVERAGE(E38:E41)</f>
        <v>153620716.73533678</v>
      </c>
      <c r="F42" s="101">
        <f>AVERAGE(F38:F41)</f>
        <v>192266745.66666666</v>
      </c>
      <c r="G42" s="103">
        <f>AVERAGE(G38:G41)</f>
        <v>151993727.62619257</v>
      </c>
      <c r="H42" s="104"/>
    </row>
    <row r="43" spans="1:14" ht="26.25" customHeight="1" x14ac:dyDescent="0.4">
      <c r="A43" s="78" t="s">
        <v>68</v>
      </c>
      <c r="B43" s="79">
        <v>1</v>
      </c>
      <c r="C43" s="105" t="s">
        <v>69</v>
      </c>
      <c r="D43" s="106">
        <v>18.22</v>
      </c>
      <c r="E43" s="94"/>
      <c r="F43" s="106">
        <v>20.28</v>
      </c>
      <c r="H43" s="104"/>
    </row>
    <row r="44" spans="1:14" ht="26.25" customHeight="1" x14ac:dyDescent="0.4">
      <c r="A44" s="78" t="s">
        <v>70</v>
      </c>
      <c r="B44" s="79">
        <v>1</v>
      </c>
      <c r="C44" s="107" t="s">
        <v>71</v>
      </c>
      <c r="D44" s="108">
        <f>D43*$B$34</f>
        <v>18.22</v>
      </c>
      <c r="E44" s="109"/>
      <c r="F44" s="108">
        <f>F43*$B$34</f>
        <v>20.28</v>
      </c>
      <c r="H44" s="104"/>
    </row>
    <row r="45" spans="1:14" ht="19.5" customHeight="1" x14ac:dyDescent="0.3">
      <c r="A45" s="78" t="s">
        <v>72</v>
      </c>
      <c r="B45" s="110">
        <f>(B44/B43)*(B42/B41)*(B40/B39)*(B38/B37)*B36</f>
        <v>100</v>
      </c>
      <c r="C45" s="107" t="s">
        <v>73</v>
      </c>
      <c r="D45" s="111">
        <f>D44*$B$30/100</f>
        <v>18.183559999999996</v>
      </c>
      <c r="E45" s="112"/>
      <c r="F45" s="111">
        <f>F44*$B$30/100</f>
        <v>20.239439999999998</v>
      </c>
      <c r="H45" s="104"/>
    </row>
    <row r="46" spans="1:14" ht="19.5" customHeight="1" x14ac:dyDescent="0.3">
      <c r="A46" s="472" t="s">
        <v>74</v>
      </c>
      <c r="B46" s="473"/>
      <c r="C46" s="107" t="s">
        <v>75</v>
      </c>
      <c r="D46" s="113">
        <f>D45/$B$45</f>
        <v>0.18183559999999996</v>
      </c>
      <c r="E46" s="114"/>
      <c r="F46" s="115">
        <f>F45/$B$45</f>
        <v>0.20239439999999997</v>
      </c>
      <c r="H46" s="104"/>
    </row>
    <row r="47" spans="1:14" ht="27" customHeight="1" x14ac:dyDescent="0.4">
      <c r="A47" s="474"/>
      <c r="B47" s="475"/>
      <c r="C47" s="116" t="s">
        <v>76</v>
      </c>
      <c r="D47" s="117">
        <v>0.16</v>
      </c>
      <c r="E47" s="118"/>
      <c r="F47" s="114"/>
      <c r="H47" s="104"/>
    </row>
    <row r="48" spans="1:14" ht="18.75" x14ac:dyDescent="0.3">
      <c r="C48" s="119" t="s">
        <v>77</v>
      </c>
      <c r="D48" s="111">
        <f>D47*$B$45</f>
        <v>16</v>
      </c>
      <c r="F48" s="120"/>
      <c r="H48" s="104"/>
    </row>
    <row r="49" spans="1:12" ht="19.5" customHeight="1" x14ac:dyDescent="0.3">
      <c r="C49" s="121" t="s">
        <v>78</v>
      </c>
      <c r="D49" s="122">
        <f>D48/B34</f>
        <v>16</v>
      </c>
      <c r="F49" s="120"/>
      <c r="H49" s="104"/>
    </row>
    <row r="50" spans="1:12" ht="18.75" x14ac:dyDescent="0.3">
      <c r="C50" s="76" t="s">
        <v>79</v>
      </c>
      <c r="D50" s="123">
        <f>AVERAGE(E38:E41,G38:G41)</f>
        <v>152807222.18076468</v>
      </c>
      <c r="F50" s="124"/>
      <c r="H50" s="104"/>
    </row>
    <row r="51" spans="1:12" ht="18.75" x14ac:dyDescent="0.3">
      <c r="C51" s="78" t="s">
        <v>80</v>
      </c>
      <c r="D51" s="125">
        <f>STDEV(E38:E41,G38:G41)/D50</f>
        <v>6.1372423335838656E-3</v>
      </c>
      <c r="F51" s="124"/>
      <c r="H51" s="104"/>
    </row>
    <row r="52" spans="1:12" ht="19.5" customHeight="1" x14ac:dyDescent="0.3">
      <c r="C52" s="126" t="s">
        <v>17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81</v>
      </c>
    </row>
    <row r="55" spans="1:12" ht="18.75" x14ac:dyDescent="0.3">
      <c r="A55" s="54" t="s">
        <v>82</v>
      </c>
      <c r="B55" s="130" t="str">
        <f>B21</f>
        <v>Each tablet contains: Sulphamethoxazole B.P. 800 mg and Trimethoprim B.P. 160 mg.</v>
      </c>
    </row>
    <row r="56" spans="1:12" ht="26.25" customHeight="1" x14ac:dyDescent="0.4">
      <c r="A56" s="131" t="s">
        <v>83</v>
      </c>
      <c r="B56" s="132">
        <v>800</v>
      </c>
      <c r="C56" s="54" t="str">
        <f>B20</f>
        <v>each tablets contains sulphamethoxazole 800mg Trimethoprim 160mg.</v>
      </c>
      <c r="H56" s="133"/>
    </row>
    <row r="57" spans="1:12" ht="18.75" x14ac:dyDescent="0.3">
      <c r="A57" s="130" t="s">
        <v>84</v>
      </c>
      <c r="B57" s="221">
        <f>Uniformity!C46</f>
        <v>1046.3480000000002</v>
      </c>
      <c r="H57" s="133"/>
    </row>
    <row r="58" spans="1:12" ht="19.5" customHeight="1" x14ac:dyDescent="0.3">
      <c r="H58" s="133"/>
    </row>
    <row r="59" spans="1:12" s="13" customFormat="1" ht="27" customHeight="1" x14ac:dyDescent="0.4">
      <c r="A59" s="76" t="s">
        <v>85</v>
      </c>
      <c r="B59" s="77">
        <v>200</v>
      </c>
      <c r="C59" s="54"/>
      <c r="D59" s="134" t="s">
        <v>86</v>
      </c>
      <c r="E59" s="135" t="s">
        <v>58</v>
      </c>
      <c r="F59" s="135" t="s">
        <v>59</v>
      </c>
      <c r="G59" s="135" t="s">
        <v>87</v>
      </c>
      <c r="H59" s="80" t="s">
        <v>88</v>
      </c>
      <c r="L59" s="66"/>
    </row>
    <row r="60" spans="1:12" s="13" customFormat="1" ht="26.25" customHeight="1" x14ac:dyDescent="0.4">
      <c r="A60" s="78" t="s">
        <v>89</v>
      </c>
      <c r="B60" s="79">
        <v>2</v>
      </c>
      <c r="C60" s="476" t="s">
        <v>90</v>
      </c>
      <c r="D60" s="479">
        <v>1045.1500000000001</v>
      </c>
      <c r="E60" s="136">
        <v>1</v>
      </c>
      <c r="F60" s="137">
        <v>156435474</v>
      </c>
      <c r="G60" s="222">
        <f>IF(ISBLANK(F60),"-",(F60/$D$50*$D$47*$B$68)*($B$57/$D$60))</f>
        <v>819.93395573780685</v>
      </c>
      <c r="H60" s="138">
        <f t="shared" ref="H60:H71" si="0">IF(ISBLANK(F60),"-",G60/$B$56)</f>
        <v>1.0249174446722586</v>
      </c>
      <c r="L60" s="66"/>
    </row>
    <row r="61" spans="1:12" s="13" customFormat="1" ht="26.25" customHeight="1" x14ac:dyDescent="0.4">
      <c r="A61" s="78" t="s">
        <v>91</v>
      </c>
      <c r="B61" s="79">
        <v>50</v>
      </c>
      <c r="C61" s="477"/>
      <c r="D61" s="480"/>
      <c r="E61" s="139">
        <v>2</v>
      </c>
      <c r="F61" s="91">
        <v>156943822</v>
      </c>
      <c r="G61" s="223">
        <f>IF(ISBLANK(F61),"-",(F61/$D$50*$D$47*$B$68)*($B$57/$D$60))</f>
        <v>822.59838840051214</v>
      </c>
      <c r="H61" s="140">
        <f t="shared" si="0"/>
        <v>1.0282479855006401</v>
      </c>
      <c r="L61" s="66"/>
    </row>
    <row r="62" spans="1:12" s="13" customFormat="1" ht="26.25" customHeight="1" x14ac:dyDescent="0.4">
      <c r="A62" s="78" t="s">
        <v>92</v>
      </c>
      <c r="B62" s="79">
        <v>1</v>
      </c>
      <c r="C62" s="477"/>
      <c r="D62" s="480"/>
      <c r="E62" s="139">
        <v>3</v>
      </c>
      <c r="F62" s="141">
        <v>156925615</v>
      </c>
      <c r="G62" s="223">
        <f>IF(ISBLANK(F62),"-",(F62/$D$50*$D$47*$B$68)*($B$57/$D$60))</f>
        <v>822.50295903816618</v>
      </c>
      <c r="H62" s="140">
        <f t="shared" si="0"/>
        <v>1.0281286987977076</v>
      </c>
      <c r="L62" s="66"/>
    </row>
    <row r="63" spans="1:12" ht="27" customHeight="1" x14ac:dyDescent="0.4">
      <c r="A63" s="78" t="s">
        <v>93</v>
      </c>
      <c r="B63" s="79">
        <v>1</v>
      </c>
      <c r="C63" s="478"/>
      <c r="D63" s="481"/>
      <c r="E63" s="142">
        <v>4</v>
      </c>
      <c r="F63" s="143"/>
      <c r="G63" s="223" t="str">
        <f>IF(ISBLANK(F63),"-",(F63/$D$50*$D$47*$B$68)*($B$57/$D$60))</f>
        <v>-</v>
      </c>
      <c r="H63" s="140" t="str">
        <f t="shared" si="0"/>
        <v>-</v>
      </c>
    </row>
    <row r="64" spans="1:12" ht="26.25" customHeight="1" x14ac:dyDescent="0.4">
      <c r="A64" s="78" t="s">
        <v>94</v>
      </c>
      <c r="B64" s="79">
        <v>1</v>
      </c>
      <c r="C64" s="476" t="s">
        <v>95</v>
      </c>
      <c r="D64" s="479">
        <v>1049.76</v>
      </c>
      <c r="E64" s="136">
        <v>1</v>
      </c>
      <c r="F64" s="137">
        <v>155694579</v>
      </c>
      <c r="G64" s="224">
        <f>IF(ISBLANK(F64),"-",(F64/$D$50*$D$47*$B$68)*($B$57/$D$64))</f>
        <v>812.46699141809836</v>
      </c>
      <c r="H64" s="144">
        <f t="shared" si="0"/>
        <v>1.015583739272623</v>
      </c>
    </row>
    <row r="65" spans="1:8" ht="26.25" customHeight="1" x14ac:dyDescent="0.4">
      <c r="A65" s="78" t="s">
        <v>96</v>
      </c>
      <c r="B65" s="79">
        <v>1</v>
      </c>
      <c r="C65" s="477"/>
      <c r="D65" s="480"/>
      <c r="E65" s="139">
        <v>2</v>
      </c>
      <c r="F65" s="91">
        <v>156361859</v>
      </c>
      <c r="G65" s="225">
        <f>IF(ISBLANK(F65),"-",(F65/$D$50*$D$47*$B$68)*($B$57/$D$64))</f>
        <v>815.94908422772335</v>
      </c>
      <c r="H65" s="145">
        <f t="shared" si="0"/>
        <v>1.0199363552846541</v>
      </c>
    </row>
    <row r="66" spans="1:8" ht="26.25" customHeight="1" x14ac:dyDescent="0.4">
      <c r="A66" s="78" t="s">
        <v>97</v>
      </c>
      <c r="B66" s="79">
        <v>1</v>
      </c>
      <c r="C66" s="477"/>
      <c r="D66" s="480"/>
      <c r="E66" s="139">
        <v>3</v>
      </c>
      <c r="F66" s="91">
        <v>156640489</v>
      </c>
      <c r="G66" s="225">
        <f>IF(ISBLANK(F66),"-",(F66/$D$50*$D$47*$B$68)*($B$57/$D$64))</f>
        <v>817.40306984027836</v>
      </c>
      <c r="H66" s="145">
        <f t="shared" si="0"/>
        <v>1.0217538373003479</v>
      </c>
    </row>
    <row r="67" spans="1:8" ht="27" customHeight="1" x14ac:dyDescent="0.4">
      <c r="A67" s="78" t="s">
        <v>98</v>
      </c>
      <c r="B67" s="79">
        <v>1</v>
      </c>
      <c r="C67" s="478"/>
      <c r="D67" s="481"/>
      <c r="E67" s="142">
        <v>4</v>
      </c>
      <c r="F67" s="143"/>
      <c r="G67" s="226" t="str">
        <f>IF(ISBLANK(F67),"-",(F67/$D$50*$D$47*$B$68)*($B$57/$D$64))</f>
        <v>-</v>
      </c>
      <c r="H67" s="146" t="str">
        <f t="shared" si="0"/>
        <v>-</v>
      </c>
    </row>
    <row r="68" spans="1:8" ht="26.25" customHeight="1" x14ac:dyDescent="0.4">
      <c r="A68" s="78" t="s">
        <v>99</v>
      </c>
      <c r="B68" s="147">
        <f>(B67/B66)*(B65/B64)*(B63/B62)*(B61/B60)*B59</f>
        <v>5000</v>
      </c>
      <c r="C68" s="476" t="s">
        <v>100</v>
      </c>
      <c r="D68" s="479">
        <v>1040.77</v>
      </c>
      <c r="E68" s="136">
        <v>1</v>
      </c>
      <c r="F68" s="137">
        <v>152248610</v>
      </c>
      <c r="G68" s="224">
        <f>IF(ISBLANK(F68),"-",(F68/$D$50*$D$47*$B$68)*($B$57/$D$68))</f>
        <v>801.34738787304923</v>
      </c>
      <c r="H68" s="140">
        <f t="shared" si="0"/>
        <v>1.0016842348413115</v>
      </c>
    </row>
    <row r="69" spans="1:8" ht="27" customHeight="1" x14ac:dyDescent="0.4">
      <c r="A69" s="126" t="s">
        <v>101</v>
      </c>
      <c r="B69" s="148">
        <f>(D47*B68)/B56*B57</f>
        <v>1046.3480000000002</v>
      </c>
      <c r="C69" s="477"/>
      <c r="D69" s="480"/>
      <c r="E69" s="139">
        <v>2</v>
      </c>
      <c r="F69" s="91">
        <v>152428246</v>
      </c>
      <c r="G69" s="225">
        <f>IF(ISBLANK(F69),"-",(F69/$D$50*$D$47*$B$68)*($B$57/$D$68))</f>
        <v>802.29288641893402</v>
      </c>
      <c r="H69" s="140">
        <f t="shared" si="0"/>
        <v>1.0028661080236676</v>
      </c>
    </row>
    <row r="70" spans="1:8" ht="26.25" customHeight="1" x14ac:dyDescent="0.4">
      <c r="A70" s="489" t="s">
        <v>74</v>
      </c>
      <c r="B70" s="490"/>
      <c r="C70" s="477"/>
      <c r="D70" s="480"/>
      <c r="E70" s="139">
        <v>3</v>
      </c>
      <c r="F70" s="91">
        <v>152744253</v>
      </c>
      <c r="G70" s="225">
        <f>IF(ISBLANK(F70),"-",(F70/$D$50*$D$47*$B$68)*($B$57/$D$68))</f>
        <v>803.95616192601153</v>
      </c>
      <c r="H70" s="140">
        <f t="shared" si="0"/>
        <v>1.0049452024075145</v>
      </c>
    </row>
    <row r="71" spans="1:8" ht="27" customHeight="1" x14ac:dyDescent="0.4">
      <c r="A71" s="491"/>
      <c r="B71" s="492"/>
      <c r="C71" s="488"/>
      <c r="D71" s="481"/>
      <c r="E71" s="142">
        <v>4</v>
      </c>
      <c r="F71" s="143"/>
      <c r="G71" s="226" t="str">
        <f>IF(ISBLANK(F71),"-",(F71/$D$50*$D$47*$B$68)*($B$57/$D$68))</f>
        <v>-</v>
      </c>
      <c r="H71" s="149" t="str">
        <f t="shared" si="0"/>
        <v>-</v>
      </c>
    </row>
    <row r="72" spans="1:8" ht="26.25" customHeight="1" x14ac:dyDescent="0.4">
      <c r="A72" s="150"/>
      <c r="B72" s="150"/>
      <c r="C72" s="150"/>
      <c r="D72" s="150"/>
      <c r="E72" s="150"/>
      <c r="F72" s="152" t="s">
        <v>67</v>
      </c>
      <c r="G72" s="231">
        <f>AVERAGE(G60:G71)</f>
        <v>813.16120943117551</v>
      </c>
      <c r="H72" s="153">
        <f>AVERAGE(H60:H71)</f>
        <v>1.0164515117889694</v>
      </c>
    </row>
    <row r="73" spans="1:8" ht="26.25" customHeight="1" x14ac:dyDescent="0.4">
      <c r="C73" s="150"/>
      <c r="D73" s="150"/>
      <c r="E73" s="150"/>
      <c r="F73" s="154" t="s">
        <v>80</v>
      </c>
      <c r="G73" s="227">
        <f>STDEV(G60:G71)/G72</f>
        <v>1.0568731350756385E-2</v>
      </c>
      <c r="H73" s="227">
        <f>STDEV(H60:H71)/H72</f>
        <v>1.056873135075634E-2</v>
      </c>
    </row>
    <row r="74" spans="1:8" ht="27" customHeight="1" x14ac:dyDescent="0.4">
      <c r="A74" s="150"/>
      <c r="B74" s="150"/>
      <c r="C74" s="151"/>
      <c r="D74" s="151"/>
      <c r="E74" s="155"/>
      <c r="F74" s="156" t="s">
        <v>17</v>
      </c>
      <c r="G74" s="157">
        <f>COUNT(G60:G71)</f>
        <v>9</v>
      </c>
      <c r="H74" s="157">
        <f>COUNT(H60:H71)</f>
        <v>9</v>
      </c>
    </row>
    <row r="76" spans="1:8" ht="26.25" customHeight="1" x14ac:dyDescent="0.4">
      <c r="A76" s="62" t="s">
        <v>102</v>
      </c>
      <c r="B76" s="158" t="s">
        <v>103</v>
      </c>
      <c r="C76" s="484" t="str">
        <f>B20</f>
        <v>each tablets contains sulphamethoxazole 800mg Trimethoprim 160mg.</v>
      </c>
      <c r="D76" s="484"/>
      <c r="E76" s="159" t="s">
        <v>104</v>
      </c>
      <c r="F76" s="159"/>
      <c r="G76" s="160">
        <f>H72</f>
        <v>1.0164515117889694</v>
      </c>
      <c r="H76" s="161"/>
    </row>
    <row r="77" spans="1:8" ht="18.75" x14ac:dyDescent="0.3">
      <c r="A77" s="61" t="s">
        <v>105</v>
      </c>
      <c r="B77" s="61" t="s">
        <v>106</v>
      </c>
    </row>
    <row r="78" spans="1:8" ht="18.75" x14ac:dyDescent="0.3">
      <c r="A78" s="61"/>
      <c r="B78" s="61"/>
    </row>
    <row r="79" spans="1:8" ht="26.25" customHeight="1" x14ac:dyDescent="0.4">
      <c r="A79" s="62" t="s">
        <v>3</v>
      </c>
      <c r="B79" s="470" t="str">
        <f>B26</f>
        <v>Sulfamethoxazole</v>
      </c>
      <c r="C79" s="470"/>
    </row>
    <row r="80" spans="1:8" ht="26.25" customHeight="1" x14ac:dyDescent="0.4">
      <c r="A80" s="63" t="s">
        <v>44</v>
      </c>
      <c r="B80" s="470" t="str">
        <f>B27</f>
        <v>S12-1</v>
      </c>
      <c r="C80" s="470"/>
    </row>
    <row r="81" spans="1:12" ht="27" customHeight="1" x14ac:dyDescent="0.4">
      <c r="A81" s="63" t="s">
        <v>5</v>
      </c>
      <c r="B81" s="162">
        <f>B28</f>
        <v>99.8</v>
      </c>
    </row>
    <row r="82" spans="1:12" s="13" customFormat="1" ht="27" customHeight="1" x14ac:dyDescent="0.4">
      <c r="A82" s="63" t="s">
        <v>45</v>
      </c>
      <c r="B82" s="65">
        <v>0</v>
      </c>
      <c r="C82" s="461" t="s">
        <v>46</v>
      </c>
      <c r="D82" s="462"/>
      <c r="E82" s="462"/>
      <c r="F82" s="462"/>
      <c r="G82" s="463"/>
      <c r="I82" s="66"/>
      <c r="J82" s="66"/>
      <c r="K82" s="66"/>
      <c r="L82" s="66"/>
    </row>
    <row r="83" spans="1:12" s="13" customFormat="1" ht="19.5" customHeight="1" x14ac:dyDescent="0.3">
      <c r="A83" s="63" t="s">
        <v>47</v>
      </c>
      <c r="B83" s="67">
        <f>B81-B82</f>
        <v>99.8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3" customFormat="1" ht="27" customHeight="1" x14ac:dyDescent="0.4">
      <c r="A84" s="63" t="s">
        <v>48</v>
      </c>
      <c r="B84" s="70">
        <v>1</v>
      </c>
      <c r="C84" s="464" t="s">
        <v>107</v>
      </c>
      <c r="D84" s="465"/>
      <c r="E84" s="465"/>
      <c r="F84" s="465"/>
      <c r="G84" s="465"/>
      <c r="H84" s="466"/>
      <c r="I84" s="66"/>
      <c r="J84" s="66"/>
      <c r="K84" s="66"/>
      <c r="L84" s="66"/>
    </row>
    <row r="85" spans="1:12" s="13" customFormat="1" ht="27" customHeight="1" x14ac:dyDescent="0.4">
      <c r="A85" s="63" t="s">
        <v>50</v>
      </c>
      <c r="B85" s="70">
        <v>1</v>
      </c>
      <c r="C85" s="464" t="s">
        <v>108</v>
      </c>
      <c r="D85" s="465"/>
      <c r="E85" s="465"/>
      <c r="F85" s="465"/>
      <c r="G85" s="465"/>
      <c r="H85" s="466"/>
      <c r="I85" s="66"/>
      <c r="J85" s="66"/>
      <c r="K85" s="66"/>
      <c r="L85" s="66"/>
    </row>
    <row r="86" spans="1:12" s="13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3" customFormat="1" ht="18.75" x14ac:dyDescent="0.3">
      <c r="A87" s="63" t="s">
        <v>52</v>
      </c>
      <c r="B87" s="75">
        <f>B84/B85</f>
        <v>1</v>
      </c>
      <c r="C87" s="54" t="s">
        <v>53</v>
      </c>
      <c r="D87" s="54"/>
      <c r="E87" s="54"/>
      <c r="F87" s="54"/>
      <c r="G87" s="54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54</v>
      </c>
      <c r="B89" s="77">
        <v>50</v>
      </c>
      <c r="D89" s="163" t="s">
        <v>55</v>
      </c>
      <c r="E89" s="164"/>
      <c r="F89" s="467" t="s">
        <v>56</v>
      </c>
      <c r="G89" s="469"/>
    </row>
    <row r="90" spans="1:12" ht="27" customHeight="1" x14ac:dyDescent="0.4">
      <c r="A90" s="78" t="s">
        <v>57</v>
      </c>
      <c r="B90" s="79">
        <v>10</v>
      </c>
      <c r="C90" s="165" t="s">
        <v>58</v>
      </c>
      <c r="D90" s="81" t="s">
        <v>59</v>
      </c>
      <c r="E90" s="82" t="s">
        <v>60</v>
      </c>
      <c r="F90" s="81" t="s">
        <v>59</v>
      </c>
      <c r="G90" s="166" t="s">
        <v>60</v>
      </c>
      <c r="I90" s="84" t="s">
        <v>61</v>
      </c>
    </row>
    <row r="91" spans="1:12" ht="26.25" customHeight="1" x14ac:dyDescent="0.4">
      <c r="A91" s="78" t="s">
        <v>62</v>
      </c>
      <c r="B91" s="79">
        <v>20</v>
      </c>
      <c r="C91" s="167">
        <v>1</v>
      </c>
      <c r="D91" s="260">
        <v>175079251</v>
      </c>
      <c r="E91" s="87">
        <f>IF(ISBLANK(D91),"-",$D$101/$D$98*D91)</f>
        <v>85586101.340380505</v>
      </c>
      <c r="F91" s="260">
        <v>191895736</v>
      </c>
      <c r="G91" s="88">
        <f>IF(ISBLANK(F91),"-",$D$101/$F$98*F91)</f>
        <v>84278017.354015514</v>
      </c>
      <c r="I91" s="89"/>
    </row>
    <row r="92" spans="1:12" ht="26.25" customHeight="1" x14ac:dyDescent="0.4">
      <c r="A92" s="78" t="s">
        <v>63</v>
      </c>
      <c r="B92" s="79">
        <v>1</v>
      </c>
      <c r="C92" s="151">
        <v>2</v>
      </c>
      <c r="D92" s="264">
        <v>174244602</v>
      </c>
      <c r="E92" s="92">
        <f>IF(ISBLANK(D92),"-",$D$101/$D$98*D92)</f>
        <v>85178089.805663303</v>
      </c>
      <c r="F92" s="264">
        <v>192421990</v>
      </c>
      <c r="G92" s="93">
        <f>IF(ISBLANK(F92),"-",$D$101/$F$98*F92)</f>
        <v>84509141.008293167</v>
      </c>
      <c r="I92" s="471">
        <f>ABS((F96/D96*D95)-F95)/D95</f>
        <v>1.1788388411426843E-2</v>
      </c>
    </row>
    <row r="93" spans="1:12" ht="26.25" customHeight="1" x14ac:dyDescent="0.4">
      <c r="A93" s="78" t="s">
        <v>64</v>
      </c>
      <c r="B93" s="79">
        <v>1</v>
      </c>
      <c r="C93" s="151">
        <v>3</v>
      </c>
      <c r="D93" s="264">
        <v>174433307</v>
      </c>
      <c r="E93" s="92">
        <f>IF(ISBLANK(D93),"-",$D$101/$D$98*D93)</f>
        <v>85270336.746184185</v>
      </c>
      <c r="F93" s="264">
        <v>192482511</v>
      </c>
      <c r="G93" s="93">
        <f>IF(ISBLANK(F93),"-",$D$101/$F$98*F93)</f>
        <v>84535721.01467894</v>
      </c>
      <c r="I93" s="471"/>
    </row>
    <row r="94" spans="1:12" ht="27" customHeight="1" x14ac:dyDescent="0.4">
      <c r="A94" s="78" t="s">
        <v>65</v>
      </c>
      <c r="B94" s="79">
        <v>1</v>
      </c>
      <c r="C94" s="168">
        <v>4</v>
      </c>
      <c r="D94" s="268"/>
      <c r="E94" s="97" t="str">
        <f>IF(ISBLANK(D94),"-",$D$101/$D$98*D94)</f>
        <v>-</v>
      </c>
      <c r="F94" s="268"/>
      <c r="G94" s="98" t="str">
        <f>IF(ISBLANK(F94),"-",$D$101/$F$98*F94)</f>
        <v>-</v>
      </c>
      <c r="I94" s="99"/>
    </row>
    <row r="95" spans="1:12" ht="27" customHeight="1" x14ac:dyDescent="0.4">
      <c r="A95" s="78" t="s">
        <v>66</v>
      </c>
      <c r="B95" s="79">
        <v>1</v>
      </c>
      <c r="C95" s="169" t="s">
        <v>67</v>
      </c>
      <c r="D95" s="170">
        <f>AVERAGE(D91:D94)</f>
        <v>174585720</v>
      </c>
      <c r="E95" s="102">
        <f>AVERAGE(E91:E94)</f>
        <v>85344842.630742669</v>
      </c>
      <c r="F95" s="171">
        <f>AVERAGE(F91:F94)</f>
        <v>192266745.66666666</v>
      </c>
      <c r="G95" s="172">
        <f>AVERAGE(G91:G94)</f>
        <v>84440959.792329207</v>
      </c>
    </row>
    <row r="96" spans="1:12" ht="26.25" customHeight="1" x14ac:dyDescent="0.4">
      <c r="A96" s="78" t="s">
        <v>68</v>
      </c>
      <c r="B96" s="64">
        <v>1</v>
      </c>
      <c r="C96" s="173" t="s">
        <v>109</v>
      </c>
      <c r="D96" s="174">
        <f>D43</f>
        <v>18.22</v>
      </c>
      <c r="E96" s="94"/>
      <c r="F96" s="106">
        <f>F43</f>
        <v>20.28</v>
      </c>
    </row>
    <row r="97" spans="1:10" ht="26.25" customHeight="1" x14ac:dyDescent="0.4">
      <c r="A97" s="78" t="s">
        <v>70</v>
      </c>
      <c r="B97" s="64">
        <v>1</v>
      </c>
      <c r="C97" s="175" t="s">
        <v>110</v>
      </c>
      <c r="D97" s="176">
        <f>D96*$B$87</f>
        <v>18.22</v>
      </c>
      <c r="E97" s="109"/>
      <c r="F97" s="108">
        <f>F96*$B$87</f>
        <v>20.28</v>
      </c>
    </row>
    <row r="98" spans="1:10" ht="19.5" customHeight="1" x14ac:dyDescent="0.3">
      <c r="A98" s="78" t="s">
        <v>72</v>
      </c>
      <c r="B98" s="177">
        <f>(B97/B96)*(B95/B94)*(B93/B92)*(B91/B90)*B89</f>
        <v>100</v>
      </c>
      <c r="C98" s="175" t="s">
        <v>111</v>
      </c>
      <c r="D98" s="178">
        <f>D97*$B$83/100</f>
        <v>18.183559999999996</v>
      </c>
      <c r="E98" s="112"/>
      <c r="F98" s="111">
        <f>F97*$B$83/100</f>
        <v>20.239439999999998</v>
      </c>
    </row>
    <row r="99" spans="1:10" ht="19.5" customHeight="1" x14ac:dyDescent="0.3">
      <c r="A99" s="472" t="s">
        <v>74</v>
      </c>
      <c r="B99" s="486"/>
      <c r="C99" s="175" t="s">
        <v>112</v>
      </c>
      <c r="D99" s="179">
        <f>D98/$B$98</f>
        <v>0.18183559999999996</v>
      </c>
      <c r="E99" s="112"/>
      <c r="F99" s="115">
        <f>F98/$B$98</f>
        <v>0.20239439999999997</v>
      </c>
      <c r="G99" s="180"/>
      <c r="H99" s="104"/>
    </row>
    <row r="100" spans="1:10" ht="19.5" customHeight="1" x14ac:dyDescent="0.3">
      <c r="A100" s="474"/>
      <c r="B100" s="487"/>
      <c r="C100" s="175" t="s">
        <v>76</v>
      </c>
      <c r="D100" s="181">
        <f>$B$56/$B$116</f>
        <v>8.8888888888888892E-2</v>
      </c>
      <c r="F100" s="120"/>
      <c r="G100" s="182"/>
      <c r="H100" s="104"/>
    </row>
    <row r="101" spans="1:10" ht="18.75" x14ac:dyDescent="0.3">
      <c r="C101" s="175" t="s">
        <v>77</v>
      </c>
      <c r="D101" s="176">
        <f>D100*$B$98</f>
        <v>8.8888888888888893</v>
      </c>
      <c r="F101" s="120"/>
      <c r="G101" s="180"/>
      <c r="H101" s="104"/>
    </row>
    <row r="102" spans="1:10" ht="19.5" customHeight="1" x14ac:dyDescent="0.3">
      <c r="C102" s="183" t="s">
        <v>78</v>
      </c>
      <c r="D102" s="184">
        <f>D101/B34</f>
        <v>8.8888888888888893</v>
      </c>
      <c r="F102" s="124"/>
      <c r="G102" s="180"/>
      <c r="H102" s="104"/>
      <c r="J102" s="185"/>
    </row>
    <row r="103" spans="1:10" ht="18.75" x14ac:dyDescent="0.3">
      <c r="C103" s="186" t="s">
        <v>113</v>
      </c>
      <c r="D103" s="187">
        <f>AVERAGE(E91:E94,G91:G94)</f>
        <v>84892901.211535946</v>
      </c>
      <c r="F103" s="124"/>
      <c r="G103" s="188"/>
      <c r="H103" s="104"/>
      <c r="J103" s="189"/>
    </row>
    <row r="104" spans="1:10" ht="18.75" x14ac:dyDescent="0.3">
      <c r="C104" s="154" t="s">
        <v>80</v>
      </c>
      <c r="D104" s="190">
        <f>STDEV(E91:E94,G91:G94)/D103</f>
        <v>6.1372423335838847E-3</v>
      </c>
      <c r="F104" s="124"/>
      <c r="G104" s="180"/>
      <c r="H104" s="104"/>
      <c r="J104" s="189"/>
    </row>
    <row r="105" spans="1:10" ht="19.5" customHeight="1" x14ac:dyDescent="0.3">
      <c r="C105" s="156" t="s">
        <v>17</v>
      </c>
      <c r="D105" s="191">
        <f>COUNT(E91:E94,G91:G94)</f>
        <v>6</v>
      </c>
      <c r="F105" s="124"/>
      <c r="G105" s="180"/>
      <c r="H105" s="104"/>
      <c r="J105" s="189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6.25" customHeight="1" x14ac:dyDescent="0.4">
      <c r="A107" s="76" t="s">
        <v>114</v>
      </c>
      <c r="B107" s="77">
        <v>900</v>
      </c>
      <c r="C107" s="192" t="s">
        <v>115</v>
      </c>
      <c r="D107" s="193" t="s">
        <v>59</v>
      </c>
      <c r="E107" s="194" t="s">
        <v>116</v>
      </c>
      <c r="F107" s="195" t="s">
        <v>117</v>
      </c>
    </row>
    <row r="108" spans="1:10" ht="26.25" customHeight="1" x14ac:dyDescent="0.4">
      <c r="A108" s="78" t="s">
        <v>118</v>
      </c>
      <c r="B108" s="79">
        <v>5</v>
      </c>
      <c r="C108" s="196">
        <v>1</v>
      </c>
      <c r="D108" s="197">
        <v>88080779</v>
      </c>
      <c r="E108" s="228">
        <f t="shared" ref="E108:E113" si="1">IF(ISBLANK(D108),"-",D108/$D$103*$D$100*$B$116)</f>
        <v>830.04140740126672</v>
      </c>
      <c r="F108" s="198">
        <f t="shared" ref="F108:F113" si="2">IF(ISBLANK(D108), "-", E108/$B$56)</f>
        <v>1.0375517592515835</v>
      </c>
    </row>
    <row r="109" spans="1:10" ht="26.25" customHeight="1" x14ac:dyDescent="0.4">
      <c r="A109" s="78" t="s">
        <v>91</v>
      </c>
      <c r="B109" s="79">
        <v>50</v>
      </c>
      <c r="C109" s="196">
        <v>2</v>
      </c>
      <c r="D109" s="197">
        <v>86113386</v>
      </c>
      <c r="E109" s="229">
        <f t="shared" si="1"/>
        <v>811.50140726535278</v>
      </c>
      <c r="F109" s="199">
        <f t="shared" si="2"/>
        <v>1.014376759081691</v>
      </c>
    </row>
    <row r="110" spans="1:10" ht="26.25" customHeight="1" x14ac:dyDescent="0.4">
      <c r="A110" s="78" t="s">
        <v>92</v>
      </c>
      <c r="B110" s="79">
        <v>1</v>
      </c>
      <c r="C110" s="196">
        <v>3</v>
      </c>
      <c r="D110" s="197">
        <v>90128903</v>
      </c>
      <c r="E110" s="229">
        <f t="shared" si="1"/>
        <v>849.34218728529027</v>
      </c>
      <c r="F110" s="199">
        <f t="shared" si="2"/>
        <v>1.0616777341066128</v>
      </c>
    </row>
    <row r="111" spans="1:10" ht="26.25" customHeight="1" x14ac:dyDescent="0.4">
      <c r="A111" s="78" t="s">
        <v>93</v>
      </c>
      <c r="B111" s="79">
        <v>1</v>
      </c>
      <c r="C111" s="196">
        <v>4</v>
      </c>
      <c r="D111" s="197">
        <v>87957365</v>
      </c>
      <c r="E111" s="229">
        <f t="shared" si="1"/>
        <v>828.87839849721274</v>
      </c>
      <c r="F111" s="199">
        <f t="shared" si="2"/>
        <v>1.0360979981215159</v>
      </c>
    </row>
    <row r="112" spans="1:10" ht="26.25" customHeight="1" x14ac:dyDescent="0.4">
      <c r="A112" s="78" t="s">
        <v>94</v>
      </c>
      <c r="B112" s="79">
        <v>1</v>
      </c>
      <c r="C112" s="196">
        <v>5</v>
      </c>
      <c r="D112" s="197">
        <v>84495444</v>
      </c>
      <c r="E112" s="229">
        <f t="shared" si="1"/>
        <v>796.25450697654389</v>
      </c>
      <c r="F112" s="199">
        <f t="shared" si="2"/>
        <v>0.9953181337206799</v>
      </c>
    </row>
    <row r="113" spans="1:10" ht="26.25" customHeight="1" x14ac:dyDescent="0.4">
      <c r="A113" s="78" t="s">
        <v>96</v>
      </c>
      <c r="B113" s="79">
        <v>1</v>
      </c>
      <c r="C113" s="200">
        <v>6</v>
      </c>
      <c r="D113" s="201">
        <v>84182751</v>
      </c>
      <c r="E113" s="230">
        <f t="shared" si="1"/>
        <v>793.30780122812496</v>
      </c>
      <c r="F113" s="202">
        <f t="shared" si="2"/>
        <v>0.99163475153515623</v>
      </c>
    </row>
    <row r="114" spans="1:10" ht="26.25" customHeight="1" x14ac:dyDescent="0.4">
      <c r="A114" s="78" t="s">
        <v>97</v>
      </c>
      <c r="B114" s="79">
        <v>1</v>
      </c>
      <c r="C114" s="196"/>
      <c r="D114" s="151"/>
      <c r="E114" s="53"/>
      <c r="F114" s="203"/>
    </row>
    <row r="115" spans="1:10" ht="26.25" customHeight="1" x14ac:dyDescent="0.4">
      <c r="A115" s="78" t="s">
        <v>98</v>
      </c>
      <c r="B115" s="79">
        <v>1</v>
      </c>
      <c r="C115" s="196"/>
      <c r="D115" s="204" t="s">
        <v>67</v>
      </c>
      <c r="E115" s="232">
        <f>AVERAGE(E108:E113)</f>
        <v>818.22095144229854</v>
      </c>
      <c r="F115" s="205">
        <f>AVERAGE(F108:F113)</f>
        <v>1.0227761893028731</v>
      </c>
    </row>
    <row r="116" spans="1:10" ht="27" customHeight="1" x14ac:dyDescent="0.4">
      <c r="A116" s="78" t="s">
        <v>99</v>
      </c>
      <c r="B116" s="110">
        <f>(B115/B114)*(B113/B112)*(B111/B110)*(B109/B108)*B107</f>
        <v>9000</v>
      </c>
      <c r="C116" s="206"/>
      <c r="D116" s="169" t="s">
        <v>80</v>
      </c>
      <c r="E116" s="207">
        <f>STDEV(E108:E113)/E115</f>
        <v>2.6609386068371467E-2</v>
      </c>
      <c r="F116" s="207">
        <f>STDEV(F108:F113)/F115</f>
        <v>2.6609386068371457E-2</v>
      </c>
      <c r="I116" s="53"/>
    </row>
    <row r="117" spans="1:10" ht="27" customHeight="1" x14ac:dyDescent="0.4">
      <c r="A117" s="472" t="s">
        <v>74</v>
      </c>
      <c r="B117" s="473"/>
      <c r="C117" s="208"/>
      <c r="D117" s="209" t="s">
        <v>17</v>
      </c>
      <c r="E117" s="210">
        <f>COUNT(E108:E113)</f>
        <v>6</v>
      </c>
      <c r="F117" s="210">
        <f>COUNT(F108:F113)</f>
        <v>6</v>
      </c>
      <c r="I117" s="53"/>
      <c r="J117" s="189"/>
    </row>
    <row r="118" spans="1:10" ht="19.5" customHeight="1" x14ac:dyDescent="0.3">
      <c r="A118" s="474"/>
      <c r="B118" s="475"/>
      <c r="C118" s="53"/>
      <c r="D118" s="53"/>
      <c r="E118" s="53"/>
      <c r="F118" s="151"/>
      <c r="G118" s="53"/>
      <c r="H118" s="53"/>
      <c r="I118" s="53"/>
    </row>
    <row r="119" spans="1:10" ht="18.75" x14ac:dyDescent="0.3">
      <c r="A119" s="219"/>
      <c r="B119" s="74"/>
      <c r="C119" s="53"/>
      <c r="D119" s="53"/>
      <c r="E119" s="53"/>
      <c r="F119" s="151"/>
      <c r="G119" s="53"/>
      <c r="H119" s="53"/>
      <c r="I119" s="53"/>
    </row>
    <row r="120" spans="1:10" ht="26.25" customHeight="1" x14ac:dyDescent="0.4">
      <c r="A120" s="62" t="s">
        <v>102</v>
      </c>
      <c r="B120" s="158" t="s">
        <v>119</v>
      </c>
      <c r="C120" s="484" t="str">
        <f>B20</f>
        <v>each tablets contains sulphamethoxazole 800mg Trimethoprim 160mg.</v>
      </c>
      <c r="D120" s="484"/>
      <c r="E120" s="159" t="s">
        <v>120</v>
      </c>
      <c r="F120" s="159"/>
      <c r="G120" s="160">
        <f>F115</f>
        <v>1.0227761893028731</v>
      </c>
      <c r="H120" s="53"/>
      <c r="I120" s="53"/>
    </row>
    <row r="121" spans="1:10" ht="19.5" customHeight="1" x14ac:dyDescent="0.3">
      <c r="A121" s="211"/>
      <c r="B121" s="211"/>
      <c r="C121" s="212"/>
      <c r="D121" s="212"/>
      <c r="E121" s="212"/>
      <c r="F121" s="212"/>
      <c r="G121" s="212"/>
      <c r="H121" s="212"/>
    </row>
    <row r="122" spans="1:10" ht="18.75" x14ac:dyDescent="0.3">
      <c r="B122" s="485" t="s">
        <v>22</v>
      </c>
      <c r="C122" s="485"/>
      <c r="E122" s="165" t="s">
        <v>23</v>
      </c>
      <c r="F122" s="213"/>
      <c r="G122" s="485" t="s">
        <v>24</v>
      </c>
      <c r="H122" s="485"/>
    </row>
    <row r="123" spans="1:10" ht="69.95" customHeight="1" x14ac:dyDescent="0.3">
      <c r="A123" s="214" t="s">
        <v>25</v>
      </c>
      <c r="B123" s="215"/>
      <c r="C123" s="215"/>
      <c r="E123" s="215"/>
      <c r="F123" s="53"/>
      <c r="G123" s="216"/>
      <c r="H123" s="216"/>
    </row>
    <row r="124" spans="1:10" ht="69.95" customHeight="1" x14ac:dyDescent="0.3">
      <c r="A124" s="214" t="s">
        <v>26</v>
      </c>
      <c r="B124" s="217"/>
      <c r="C124" s="217"/>
      <c r="E124" s="217"/>
      <c r="F124" s="53"/>
      <c r="G124" s="218"/>
      <c r="H124" s="218"/>
    </row>
    <row r="125" spans="1:10" ht="18.75" x14ac:dyDescent="0.3">
      <c r="A125" s="150"/>
      <c r="B125" s="150"/>
      <c r="C125" s="151"/>
      <c r="D125" s="151"/>
      <c r="E125" s="151"/>
      <c r="F125" s="155"/>
      <c r="G125" s="151"/>
      <c r="H125" s="151"/>
      <c r="I125" s="53"/>
    </row>
    <row r="126" spans="1:10" ht="18.75" x14ac:dyDescent="0.3">
      <c r="A126" s="150"/>
      <c r="B126" s="150"/>
      <c r="C126" s="151"/>
      <c r="D126" s="151"/>
      <c r="E126" s="151"/>
      <c r="F126" s="155"/>
      <c r="G126" s="151"/>
      <c r="H126" s="151"/>
      <c r="I126" s="53"/>
    </row>
    <row r="127" spans="1:10" ht="18.75" x14ac:dyDescent="0.3">
      <c r="A127" s="150"/>
      <c r="B127" s="150"/>
      <c r="C127" s="151"/>
      <c r="D127" s="151"/>
      <c r="E127" s="151"/>
      <c r="F127" s="155"/>
      <c r="G127" s="151"/>
      <c r="H127" s="151"/>
      <c r="I127" s="53"/>
    </row>
    <row r="128" spans="1:10" ht="18.75" x14ac:dyDescent="0.3">
      <c r="A128" s="150"/>
      <c r="B128" s="150"/>
      <c r="C128" s="151"/>
      <c r="D128" s="151"/>
      <c r="E128" s="151"/>
      <c r="F128" s="155"/>
      <c r="G128" s="151"/>
      <c r="H128" s="151"/>
      <c r="I128" s="53"/>
    </row>
    <row r="129" spans="1:9" ht="18.75" x14ac:dyDescent="0.3">
      <c r="A129" s="150"/>
      <c r="B129" s="150"/>
      <c r="C129" s="151"/>
      <c r="D129" s="151"/>
      <c r="E129" s="151"/>
      <c r="F129" s="155"/>
      <c r="G129" s="151"/>
      <c r="H129" s="151"/>
      <c r="I129" s="53"/>
    </row>
    <row r="130" spans="1:9" ht="18.75" x14ac:dyDescent="0.3">
      <c r="A130" s="150"/>
      <c r="B130" s="150"/>
      <c r="C130" s="151"/>
      <c r="D130" s="151"/>
      <c r="E130" s="151"/>
      <c r="F130" s="155"/>
      <c r="G130" s="151"/>
      <c r="H130" s="151"/>
      <c r="I130" s="53"/>
    </row>
    <row r="131" spans="1:9" ht="18.75" x14ac:dyDescent="0.3">
      <c r="A131" s="150"/>
      <c r="B131" s="150"/>
      <c r="C131" s="151"/>
      <c r="D131" s="151"/>
      <c r="E131" s="151"/>
      <c r="F131" s="155"/>
      <c r="G131" s="151"/>
      <c r="H131" s="151"/>
      <c r="I131" s="53"/>
    </row>
    <row r="132" spans="1:9" ht="18.75" x14ac:dyDescent="0.3">
      <c r="A132" s="150"/>
      <c r="B132" s="150"/>
      <c r="C132" s="151"/>
      <c r="D132" s="151"/>
      <c r="E132" s="151"/>
      <c r="F132" s="155"/>
      <c r="G132" s="151"/>
      <c r="H132" s="151"/>
      <c r="I132" s="53"/>
    </row>
    <row r="133" spans="1:9" ht="18.75" x14ac:dyDescent="0.3">
      <c r="A133" s="150"/>
      <c r="B133" s="150"/>
      <c r="C133" s="151"/>
      <c r="D133" s="151"/>
      <c r="E133" s="151"/>
      <c r="F133" s="155"/>
      <c r="G133" s="151"/>
      <c r="H133" s="151"/>
      <c r="I133" s="53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58" zoomScale="60" zoomScaleNormal="60" zoomScaleSheetLayoutView="40" zoomScalePageLayoutView="55" workbookViewId="0">
      <selection activeCell="H117" sqref="H117"/>
    </sheetView>
  </sheetViews>
  <sheetFormatPr defaultColWidth="9.140625" defaultRowHeight="13.5" x14ac:dyDescent="0.25"/>
  <cols>
    <col min="1" max="1" width="55.42578125" style="342" customWidth="1"/>
    <col min="2" max="2" width="33.7109375" style="342" customWidth="1"/>
    <col min="3" max="3" width="42.28515625" style="342" customWidth="1"/>
    <col min="4" max="4" width="30.5703125" style="342" customWidth="1"/>
    <col min="5" max="5" width="39.85546875" style="342" customWidth="1"/>
    <col min="6" max="6" width="30.7109375" style="342" customWidth="1"/>
    <col min="7" max="7" width="39.85546875" style="342" customWidth="1"/>
    <col min="8" max="8" width="30" style="342" customWidth="1"/>
    <col min="9" max="9" width="30.28515625" style="342" hidden="1" customWidth="1"/>
    <col min="10" max="10" width="30.42578125" style="342" customWidth="1"/>
    <col min="11" max="11" width="21.28515625" style="342" customWidth="1"/>
    <col min="12" max="12" width="9.140625" style="342"/>
    <col min="13" max="16384" width="9.140625" style="42"/>
  </cols>
  <sheetData>
    <row r="1" spans="1:9" ht="18.75" customHeight="1" x14ac:dyDescent="0.25">
      <c r="A1" s="482" t="s">
        <v>41</v>
      </c>
      <c r="B1" s="482"/>
      <c r="C1" s="482"/>
      <c r="D1" s="482"/>
      <c r="E1" s="482"/>
      <c r="F1" s="482"/>
      <c r="G1" s="482"/>
      <c r="H1" s="482"/>
      <c r="I1" s="482"/>
    </row>
    <row r="2" spans="1:9" ht="18.75" customHeight="1" x14ac:dyDescent="0.25">
      <c r="A2" s="482"/>
      <c r="B2" s="482"/>
      <c r="C2" s="482"/>
      <c r="D2" s="482"/>
      <c r="E2" s="482"/>
      <c r="F2" s="482"/>
      <c r="G2" s="482"/>
      <c r="H2" s="482"/>
      <c r="I2" s="482"/>
    </row>
    <row r="3" spans="1:9" ht="18.75" customHeight="1" x14ac:dyDescent="0.25">
      <c r="A3" s="482"/>
      <c r="B3" s="482"/>
      <c r="C3" s="482"/>
      <c r="D3" s="482"/>
      <c r="E3" s="482"/>
      <c r="F3" s="482"/>
      <c r="G3" s="482"/>
      <c r="H3" s="482"/>
      <c r="I3" s="482"/>
    </row>
    <row r="4" spans="1:9" ht="18.75" customHeight="1" x14ac:dyDescent="0.25">
      <c r="A4" s="482"/>
      <c r="B4" s="482"/>
      <c r="C4" s="482"/>
      <c r="D4" s="482"/>
      <c r="E4" s="482"/>
      <c r="F4" s="482"/>
      <c r="G4" s="482"/>
      <c r="H4" s="482"/>
      <c r="I4" s="482"/>
    </row>
    <row r="5" spans="1:9" ht="18.75" customHeight="1" x14ac:dyDescent="0.25">
      <c r="A5" s="482"/>
      <c r="B5" s="482"/>
      <c r="C5" s="482"/>
      <c r="D5" s="482"/>
      <c r="E5" s="482"/>
      <c r="F5" s="482"/>
      <c r="G5" s="482"/>
      <c r="H5" s="482"/>
      <c r="I5" s="482"/>
    </row>
    <row r="6" spans="1:9" ht="18.75" customHeight="1" x14ac:dyDescent="0.25">
      <c r="A6" s="482"/>
      <c r="B6" s="482"/>
      <c r="C6" s="482"/>
      <c r="D6" s="482"/>
      <c r="E6" s="482"/>
      <c r="F6" s="482"/>
      <c r="G6" s="482"/>
      <c r="H6" s="482"/>
      <c r="I6" s="482"/>
    </row>
    <row r="7" spans="1:9" ht="18.75" customHeight="1" x14ac:dyDescent="0.25">
      <c r="A7" s="482"/>
      <c r="B7" s="482"/>
      <c r="C7" s="482"/>
      <c r="D7" s="482"/>
      <c r="E7" s="482"/>
      <c r="F7" s="482"/>
      <c r="G7" s="482"/>
      <c r="H7" s="482"/>
      <c r="I7" s="482"/>
    </row>
    <row r="8" spans="1:9" x14ac:dyDescent="0.25">
      <c r="A8" s="483" t="s">
        <v>42</v>
      </c>
      <c r="B8" s="483"/>
      <c r="C8" s="483"/>
      <c r="D8" s="483"/>
      <c r="E8" s="483"/>
      <c r="F8" s="483"/>
      <c r="G8" s="483"/>
      <c r="H8" s="483"/>
      <c r="I8" s="483"/>
    </row>
    <row r="9" spans="1:9" x14ac:dyDescent="0.25">
      <c r="A9" s="483"/>
      <c r="B9" s="483"/>
      <c r="C9" s="483"/>
      <c r="D9" s="483"/>
      <c r="E9" s="483"/>
      <c r="F9" s="483"/>
      <c r="G9" s="483"/>
      <c r="H9" s="483"/>
      <c r="I9" s="483"/>
    </row>
    <row r="10" spans="1:9" x14ac:dyDescent="0.25">
      <c r="A10" s="483"/>
      <c r="B10" s="483"/>
      <c r="C10" s="483"/>
      <c r="D10" s="483"/>
      <c r="E10" s="483"/>
      <c r="F10" s="483"/>
      <c r="G10" s="483"/>
      <c r="H10" s="483"/>
      <c r="I10" s="483"/>
    </row>
    <row r="11" spans="1:9" x14ac:dyDescent="0.25">
      <c r="A11" s="483"/>
      <c r="B11" s="483"/>
      <c r="C11" s="483"/>
      <c r="D11" s="483"/>
      <c r="E11" s="483"/>
      <c r="F11" s="483"/>
      <c r="G11" s="483"/>
      <c r="H11" s="483"/>
      <c r="I11" s="483"/>
    </row>
    <row r="12" spans="1:9" x14ac:dyDescent="0.25">
      <c r="A12" s="483"/>
      <c r="B12" s="483"/>
      <c r="C12" s="483"/>
      <c r="D12" s="483"/>
      <c r="E12" s="483"/>
      <c r="F12" s="483"/>
      <c r="G12" s="483"/>
      <c r="H12" s="483"/>
      <c r="I12" s="483"/>
    </row>
    <row r="13" spans="1:9" x14ac:dyDescent="0.25">
      <c r="A13" s="483"/>
      <c r="B13" s="483"/>
      <c r="C13" s="483"/>
      <c r="D13" s="483"/>
      <c r="E13" s="483"/>
      <c r="F13" s="483"/>
      <c r="G13" s="483"/>
      <c r="H13" s="483"/>
      <c r="I13" s="483"/>
    </row>
    <row r="14" spans="1:9" x14ac:dyDescent="0.25">
      <c r="A14" s="483"/>
      <c r="B14" s="483"/>
      <c r="C14" s="483"/>
      <c r="D14" s="483"/>
      <c r="E14" s="483"/>
      <c r="F14" s="483"/>
      <c r="G14" s="483"/>
      <c r="H14" s="483"/>
      <c r="I14" s="483"/>
    </row>
    <row r="15" spans="1:9" ht="19.5" customHeight="1" thickBot="1" x14ac:dyDescent="0.35">
      <c r="A15" s="324"/>
    </row>
    <row r="16" spans="1:9" ht="19.5" customHeight="1" thickBot="1" x14ac:dyDescent="0.35">
      <c r="A16" s="455" t="s">
        <v>27</v>
      </c>
      <c r="B16" s="456"/>
      <c r="C16" s="456"/>
      <c r="D16" s="456"/>
      <c r="E16" s="456"/>
      <c r="F16" s="456"/>
      <c r="G16" s="456"/>
      <c r="H16" s="457"/>
    </row>
    <row r="17" spans="1:14" ht="20.25" customHeight="1" x14ac:dyDescent="0.25">
      <c r="A17" s="458" t="s">
        <v>43</v>
      </c>
      <c r="B17" s="458"/>
      <c r="C17" s="458"/>
      <c r="D17" s="458"/>
      <c r="E17" s="458"/>
      <c r="F17" s="458"/>
      <c r="G17" s="458"/>
      <c r="H17" s="458"/>
    </row>
    <row r="18" spans="1:14" ht="26.25" customHeight="1" x14ac:dyDescent="0.4">
      <c r="A18" s="234" t="s">
        <v>29</v>
      </c>
      <c r="B18" s="454" t="s">
        <v>4</v>
      </c>
      <c r="C18" s="454"/>
      <c r="D18" s="378"/>
      <c r="E18" s="235"/>
      <c r="F18" s="391"/>
      <c r="G18" s="391"/>
      <c r="H18" s="391"/>
    </row>
    <row r="19" spans="1:14" ht="26.25" customHeight="1" x14ac:dyDescent="0.4">
      <c r="A19" s="234" t="s">
        <v>30</v>
      </c>
      <c r="B19" s="399" t="s">
        <v>131</v>
      </c>
      <c r="C19" s="391">
        <v>29</v>
      </c>
      <c r="D19" s="391"/>
      <c r="E19" s="391"/>
      <c r="F19" s="391"/>
      <c r="G19" s="391"/>
      <c r="H19" s="391"/>
    </row>
    <row r="20" spans="1:14" ht="26.25" customHeight="1" x14ac:dyDescent="0.4">
      <c r="A20" s="234" t="s">
        <v>31</v>
      </c>
      <c r="B20" s="459" t="s">
        <v>7</v>
      </c>
      <c r="C20" s="459"/>
      <c r="D20" s="391"/>
      <c r="E20" s="391"/>
      <c r="F20" s="391"/>
      <c r="G20" s="391"/>
      <c r="H20" s="391"/>
    </row>
    <row r="21" spans="1:14" ht="26.25" customHeight="1" x14ac:dyDescent="0.4">
      <c r="A21" s="234" t="s">
        <v>32</v>
      </c>
      <c r="B21" s="459" t="s">
        <v>9</v>
      </c>
      <c r="C21" s="459"/>
      <c r="D21" s="459"/>
      <c r="E21" s="459"/>
      <c r="F21" s="459"/>
      <c r="G21" s="459"/>
      <c r="H21" s="459"/>
      <c r="I21" s="236"/>
    </row>
    <row r="22" spans="1:14" ht="26.25" customHeight="1" x14ac:dyDescent="0.4">
      <c r="A22" s="234" t="s">
        <v>33</v>
      </c>
      <c r="B22" s="237">
        <v>42466</v>
      </c>
      <c r="C22" s="391"/>
      <c r="D22" s="391"/>
      <c r="E22" s="391"/>
      <c r="F22" s="391"/>
      <c r="G22" s="391"/>
      <c r="H22" s="391"/>
    </row>
    <row r="23" spans="1:14" ht="26.25" customHeight="1" x14ac:dyDescent="0.4">
      <c r="A23" s="234" t="s">
        <v>34</v>
      </c>
      <c r="B23" s="237">
        <v>42475</v>
      </c>
      <c r="C23" s="391"/>
      <c r="D23" s="391"/>
      <c r="E23" s="391"/>
      <c r="F23" s="391"/>
      <c r="G23" s="391"/>
      <c r="H23" s="391"/>
    </row>
    <row r="24" spans="1:14" ht="18.75" x14ac:dyDescent="0.3">
      <c r="A24" s="234"/>
      <c r="B24" s="238"/>
    </row>
    <row r="25" spans="1:14" ht="18.75" x14ac:dyDescent="0.3">
      <c r="A25" s="239" t="s">
        <v>1</v>
      </c>
      <c r="B25" s="238"/>
    </row>
    <row r="26" spans="1:14" ht="26.25" customHeight="1" x14ac:dyDescent="0.4">
      <c r="A26" s="373" t="s">
        <v>3</v>
      </c>
      <c r="B26" s="493" t="s">
        <v>125</v>
      </c>
      <c r="C26" s="454"/>
    </row>
    <row r="27" spans="1:14" ht="26.25" customHeight="1" x14ac:dyDescent="0.4">
      <c r="A27" s="331" t="s">
        <v>44</v>
      </c>
      <c r="B27" s="494" t="s">
        <v>128</v>
      </c>
      <c r="C27" s="460"/>
    </row>
    <row r="28" spans="1:14" ht="27" customHeight="1" thickBot="1" x14ac:dyDescent="0.45">
      <c r="A28" s="331" t="s">
        <v>5</v>
      </c>
      <c r="B28" s="326">
        <v>99.6</v>
      </c>
    </row>
    <row r="29" spans="1:14" s="15" customFormat="1" ht="27" customHeight="1" thickBot="1" x14ac:dyDescent="0.45">
      <c r="A29" s="331" t="s">
        <v>45</v>
      </c>
      <c r="B29" s="240">
        <v>0</v>
      </c>
      <c r="C29" s="461" t="s">
        <v>46</v>
      </c>
      <c r="D29" s="462"/>
      <c r="E29" s="462"/>
      <c r="F29" s="462"/>
      <c r="G29" s="463"/>
      <c r="I29" s="241"/>
      <c r="J29" s="241"/>
      <c r="K29" s="241"/>
      <c r="L29" s="241"/>
    </row>
    <row r="30" spans="1:14" s="15" customFormat="1" ht="19.5" customHeight="1" thickBot="1" x14ac:dyDescent="0.35">
      <c r="A30" s="331" t="s">
        <v>47</v>
      </c>
      <c r="B30" s="394">
        <f>B28-B29</f>
        <v>99.6</v>
      </c>
      <c r="C30" s="242"/>
      <c r="D30" s="242"/>
      <c r="E30" s="242"/>
      <c r="F30" s="242"/>
      <c r="G30" s="243"/>
      <c r="I30" s="241"/>
      <c r="J30" s="241"/>
      <c r="K30" s="241"/>
      <c r="L30" s="241"/>
    </row>
    <row r="31" spans="1:14" s="15" customFormat="1" ht="27" customHeight="1" thickBot="1" x14ac:dyDescent="0.45">
      <c r="A31" s="331" t="s">
        <v>48</v>
      </c>
      <c r="B31" s="244">
        <v>1</v>
      </c>
      <c r="C31" s="464" t="s">
        <v>49</v>
      </c>
      <c r="D31" s="465"/>
      <c r="E31" s="465"/>
      <c r="F31" s="465"/>
      <c r="G31" s="465"/>
      <c r="H31" s="466"/>
      <c r="I31" s="241"/>
      <c r="J31" s="241"/>
      <c r="K31" s="241"/>
      <c r="L31" s="241"/>
    </row>
    <row r="32" spans="1:14" s="15" customFormat="1" ht="27" customHeight="1" thickBot="1" x14ac:dyDescent="0.45">
      <c r="A32" s="331" t="s">
        <v>50</v>
      </c>
      <c r="B32" s="244">
        <v>1</v>
      </c>
      <c r="C32" s="464" t="s">
        <v>51</v>
      </c>
      <c r="D32" s="465"/>
      <c r="E32" s="465"/>
      <c r="F32" s="465"/>
      <c r="G32" s="465"/>
      <c r="H32" s="466"/>
      <c r="I32" s="241"/>
      <c r="J32" s="241"/>
      <c r="K32" s="241"/>
      <c r="L32" s="245"/>
      <c r="M32" s="245"/>
      <c r="N32" s="246"/>
    </row>
    <row r="33" spans="1:14" s="15" customFormat="1" ht="17.25" customHeight="1" x14ac:dyDescent="0.3">
      <c r="A33" s="331"/>
      <c r="B33" s="247"/>
      <c r="C33" s="248"/>
      <c r="D33" s="248"/>
      <c r="E33" s="248"/>
      <c r="F33" s="248"/>
      <c r="G33" s="248"/>
      <c r="H33" s="248"/>
      <c r="I33" s="241"/>
      <c r="J33" s="241"/>
      <c r="K33" s="241"/>
      <c r="L33" s="245"/>
      <c r="M33" s="245"/>
      <c r="N33" s="246"/>
    </row>
    <row r="34" spans="1:14" s="15" customFormat="1" ht="18.75" x14ac:dyDescent="0.3">
      <c r="A34" s="331" t="s">
        <v>52</v>
      </c>
      <c r="B34" s="249">
        <f>B31/B32</f>
        <v>1</v>
      </c>
      <c r="C34" s="324" t="s">
        <v>53</v>
      </c>
      <c r="D34" s="324"/>
      <c r="E34" s="324"/>
      <c r="F34" s="324"/>
      <c r="G34" s="324"/>
      <c r="I34" s="241"/>
      <c r="J34" s="241"/>
      <c r="K34" s="241"/>
      <c r="L34" s="245"/>
      <c r="M34" s="245"/>
      <c r="N34" s="246"/>
    </row>
    <row r="35" spans="1:14" s="15" customFormat="1" ht="19.5" customHeight="1" thickBot="1" x14ac:dyDescent="0.35">
      <c r="A35" s="331"/>
      <c r="B35" s="394"/>
      <c r="G35" s="324"/>
      <c r="I35" s="241"/>
      <c r="J35" s="241"/>
      <c r="K35" s="241"/>
      <c r="L35" s="245"/>
      <c r="M35" s="245"/>
      <c r="N35" s="246"/>
    </row>
    <row r="36" spans="1:14" s="15" customFormat="1" ht="27" customHeight="1" thickBot="1" x14ac:dyDescent="0.45">
      <c r="A36" s="250" t="s">
        <v>54</v>
      </c>
      <c r="B36" s="251">
        <v>100</v>
      </c>
      <c r="C36" s="324"/>
      <c r="D36" s="467" t="s">
        <v>55</v>
      </c>
      <c r="E36" s="468"/>
      <c r="F36" s="467" t="s">
        <v>56</v>
      </c>
      <c r="G36" s="469"/>
      <c r="J36" s="241"/>
      <c r="K36" s="241"/>
      <c r="L36" s="245"/>
      <c r="M36" s="245"/>
      <c r="N36" s="246"/>
    </row>
    <row r="37" spans="1:14" s="15" customFormat="1" ht="27" customHeight="1" thickBot="1" x14ac:dyDescent="0.45">
      <c r="A37" s="252" t="s">
        <v>57</v>
      </c>
      <c r="B37" s="253">
        <v>3</v>
      </c>
      <c r="C37" s="254" t="s">
        <v>58</v>
      </c>
      <c r="D37" s="255" t="s">
        <v>59</v>
      </c>
      <c r="E37" s="256" t="s">
        <v>60</v>
      </c>
      <c r="F37" s="255" t="s">
        <v>59</v>
      </c>
      <c r="G37" s="257" t="s">
        <v>60</v>
      </c>
      <c r="I37" s="258" t="s">
        <v>61</v>
      </c>
      <c r="J37" s="241"/>
      <c r="K37" s="241"/>
      <c r="L37" s="245"/>
      <c r="M37" s="245"/>
      <c r="N37" s="246"/>
    </row>
    <row r="38" spans="1:14" s="15" customFormat="1" ht="26.25" customHeight="1" x14ac:dyDescent="0.4">
      <c r="A38" s="252" t="s">
        <v>62</v>
      </c>
      <c r="B38" s="253">
        <v>20</v>
      </c>
      <c r="C38" s="259">
        <v>1</v>
      </c>
      <c r="D38" s="260">
        <v>15439948</v>
      </c>
      <c r="E38" s="261">
        <f>IF(ISBLANK(D38),"-",$D$48/$D$45*D38)</f>
        <v>12275738.340642948</v>
      </c>
      <c r="F38" s="260">
        <v>13343998</v>
      </c>
      <c r="G38" s="262">
        <f>IF(ISBLANK(F38),"-",$D$48/$F$45*F38)</f>
        <v>11781336.282199424</v>
      </c>
      <c r="I38" s="263"/>
      <c r="J38" s="241"/>
      <c r="K38" s="241"/>
      <c r="L38" s="245"/>
      <c r="M38" s="245"/>
      <c r="N38" s="246"/>
    </row>
    <row r="39" spans="1:14" s="15" customFormat="1" ht="26.25" customHeight="1" x14ac:dyDescent="0.4">
      <c r="A39" s="252" t="s">
        <v>63</v>
      </c>
      <c r="B39" s="253">
        <v>1</v>
      </c>
      <c r="C39" s="281">
        <v>2</v>
      </c>
      <c r="D39" s="264">
        <v>15330795</v>
      </c>
      <c r="E39" s="265">
        <f>IF(ISBLANK(D39),"-",$D$48/$D$45*D39)</f>
        <v>12188954.779772393</v>
      </c>
      <c r="F39" s="264">
        <v>13380090</v>
      </c>
      <c r="G39" s="266">
        <f>IF(ISBLANK(F39),"-",$D$48/$F$45*F39)</f>
        <v>11813201.693832215</v>
      </c>
      <c r="I39" s="471">
        <f>ABS((F43/D43*D42)-F42)/D42</f>
        <v>3.0772189744081864E-2</v>
      </c>
      <c r="J39" s="241"/>
      <c r="K39" s="241"/>
      <c r="L39" s="245"/>
      <c r="M39" s="245"/>
      <c r="N39" s="246"/>
    </row>
    <row r="40" spans="1:14" ht="26.25" customHeight="1" x14ac:dyDescent="0.4">
      <c r="A40" s="252" t="s">
        <v>64</v>
      </c>
      <c r="B40" s="253">
        <v>1</v>
      </c>
      <c r="C40" s="281">
        <v>3</v>
      </c>
      <c r="D40" s="264">
        <v>15345510</v>
      </c>
      <c r="E40" s="265">
        <f>IF(ISBLANK(D40),"-",$D$48/$D$45*D40)</f>
        <v>12200654.138454337</v>
      </c>
      <c r="F40" s="264">
        <v>13385407</v>
      </c>
      <c r="G40" s="266">
        <f>IF(ISBLANK(F40),"-",$D$48/$F$45*F40)</f>
        <v>11817896.041434221</v>
      </c>
      <c r="I40" s="471"/>
      <c r="L40" s="245"/>
      <c r="M40" s="245"/>
      <c r="N40" s="324"/>
    </row>
    <row r="41" spans="1:14" ht="27" customHeight="1" thickBot="1" x14ac:dyDescent="0.45">
      <c r="A41" s="252" t="s">
        <v>65</v>
      </c>
      <c r="B41" s="253">
        <v>1</v>
      </c>
      <c r="C41" s="267">
        <v>4</v>
      </c>
      <c r="D41" s="268"/>
      <c r="E41" s="269" t="str">
        <f>IF(ISBLANK(D41),"-",$D$48/$D$45*D41)</f>
        <v>-</v>
      </c>
      <c r="F41" s="268"/>
      <c r="G41" s="270" t="str">
        <f>IF(ISBLANK(F41),"-",$D$48/$F$45*F41)</f>
        <v>-</v>
      </c>
      <c r="I41" s="271"/>
      <c r="L41" s="245"/>
      <c r="M41" s="245"/>
      <c r="N41" s="324"/>
    </row>
    <row r="42" spans="1:14" ht="27" customHeight="1" thickBot="1" x14ac:dyDescent="0.45">
      <c r="A42" s="252" t="s">
        <v>66</v>
      </c>
      <c r="B42" s="253">
        <v>1</v>
      </c>
      <c r="C42" s="272" t="s">
        <v>67</v>
      </c>
      <c r="D42" s="273">
        <f>AVERAGE(D38:D41)</f>
        <v>15372084.333333334</v>
      </c>
      <c r="E42" s="274">
        <f>AVERAGE(E38:E41)</f>
        <v>12221782.419623226</v>
      </c>
      <c r="F42" s="273">
        <f>AVERAGE(F38:F41)</f>
        <v>13369831.666666666</v>
      </c>
      <c r="G42" s="275">
        <f>AVERAGE(G38:G41)</f>
        <v>11804144.672488621</v>
      </c>
      <c r="H42" s="276"/>
    </row>
    <row r="43" spans="1:14" ht="26.25" customHeight="1" x14ac:dyDescent="0.4">
      <c r="A43" s="252" t="s">
        <v>68</v>
      </c>
      <c r="B43" s="253">
        <v>1</v>
      </c>
      <c r="C43" s="277" t="s">
        <v>69</v>
      </c>
      <c r="D43" s="278">
        <v>26.94</v>
      </c>
      <c r="E43" s="324"/>
      <c r="F43" s="278">
        <v>24.26</v>
      </c>
      <c r="H43" s="276"/>
    </row>
    <row r="44" spans="1:14" ht="26.25" customHeight="1" x14ac:dyDescent="0.4">
      <c r="A44" s="252" t="s">
        <v>70</v>
      </c>
      <c r="B44" s="253">
        <v>1</v>
      </c>
      <c r="C44" s="279" t="s">
        <v>71</v>
      </c>
      <c r="D44" s="280">
        <f>D43*$B$34</f>
        <v>26.94</v>
      </c>
      <c r="E44" s="339"/>
      <c r="F44" s="280">
        <f>F43*$B$34</f>
        <v>24.26</v>
      </c>
      <c r="H44" s="276"/>
    </row>
    <row r="45" spans="1:14" ht="19.5" customHeight="1" thickBot="1" x14ac:dyDescent="0.35">
      <c r="A45" s="252" t="s">
        <v>72</v>
      </c>
      <c r="B45" s="281">
        <f>(B44/B43)*(B42/B41)*(B40/B39)*(B38/B37)*B36</f>
        <v>666.66666666666674</v>
      </c>
      <c r="C45" s="279" t="s">
        <v>73</v>
      </c>
      <c r="D45" s="282">
        <f>D44*$B$30/100</f>
        <v>26.832240000000002</v>
      </c>
      <c r="E45" s="321"/>
      <c r="F45" s="282">
        <f>F44*$B$30/100</f>
        <v>24.162959999999998</v>
      </c>
      <c r="H45" s="276"/>
    </row>
    <row r="46" spans="1:14" ht="19.5" customHeight="1" thickBot="1" x14ac:dyDescent="0.35">
      <c r="A46" s="472" t="s">
        <v>74</v>
      </c>
      <c r="B46" s="473"/>
      <c r="C46" s="279" t="s">
        <v>75</v>
      </c>
      <c r="D46" s="283">
        <f>D45/$B$45</f>
        <v>4.0248359999999997E-2</v>
      </c>
      <c r="E46" s="284"/>
      <c r="F46" s="285">
        <f>F45/$B$45</f>
        <v>3.6244439999999996E-2</v>
      </c>
      <c r="H46" s="276"/>
    </row>
    <row r="47" spans="1:14" ht="27" customHeight="1" thickBot="1" x14ac:dyDescent="0.45">
      <c r="A47" s="474"/>
      <c r="B47" s="475"/>
      <c r="C47" s="286" t="s">
        <v>76</v>
      </c>
      <c r="D47" s="287">
        <v>3.2000000000000001E-2</v>
      </c>
      <c r="E47" s="288"/>
      <c r="F47" s="284"/>
      <c r="H47" s="276"/>
    </row>
    <row r="48" spans="1:14" ht="18.75" x14ac:dyDescent="0.3">
      <c r="C48" s="289" t="s">
        <v>77</v>
      </c>
      <c r="D48" s="282">
        <f>D47*$B$45</f>
        <v>21.333333333333336</v>
      </c>
      <c r="F48" s="290"/>
      <c r="H48" s="276"/>
    </row>
    <row r="49" spans="1:12" ht="19.5" customHeight="1" thickBot="1" x14ac:dyDescent="0.35">
      <c r="C49" s="291" t="s">
        <v>78</v>
      </c>
      <c r="D49" s="292">
        <f>D48/B34</f>
        <v>21.333333333333336</v>
      </c>
      <c r="F49" s="290"/>
      <c r="H49" s="276"/>
    </row>
    <row r="50" spans="1:12" ht="18.75" x14ac:dyDescent="0.3">
      <c r="C50" s="250" t="s">
        <v>79</v>
      </c>
      <c r="D50" s="293">
        <f>AVERAGE(E38:E41,G38:G41)</f>
        <v>12012963.546055922</v>
      </c>
      <c r="F50" s="294"/>
      <c r="H50" s="276"/>
    </row>
    <row r="51" spans="1:12" ht="18.75" x14ac:dyDescent="0.3">
      <c r="C51" s="252" t="s">
        <v>80</v>
      </c>
      <c r="D51" s="295">
        <f>STDEV(E38:E41,G38:G41)/D50</f>
        <v>1.9231157607900139E-2</v>
      </c>
      <c r="F51" s="294"/>
      <c r="H51" s="276"/>
    </row>
    <row r="52" spans="1:12" ht="19.5" customHeight="1" thickBot="1" x14ac:dyDescent="0.35">
      <c r="C52" s="296" t="s">
        <v>17</v>
      </c>
      <c r="D52" s="297">
        <f>COUNT(E38:E41,G38:G41)</f>
        <v>6</v>
      </c>
      <c r="F52" s="294"/>
    </row>
    <row r="54" spans="1:12" ht="18.75" x14ac:dyDescent="0.3">
      <c r="A54" s="298" t="s">
        <v>1</v>
      </c>
      <c r="B54" s="299" t="s">
        <v>81</v>
      </c>
    </row>
    <row r="55" spans="1:12" ht="18.75" x14ac:dyDescent="0.3">
      <c r="A55" s="324" t="s">
        <v>82</v>
      </c>
      <c r="B55" s="300" t="str">
        <f>B21</f>
        <v>Each tablet contains: Sulphamethoxazole B.P. 800 mg and Trimethoprim B.P. 160 mg.</v>
      </c>
    </row>
    <row r="56" spans="1:12" ht="26.25" customHeight="1" x14ac:dyDescent="0.4">
      <c r="A56" s="300" t="s">
        <v>83</v>
      </c>
      <c r="B56" s="301">
        <v>160</v>
      </c>
      <c r="C56" s="324" t="str">
        <f>B20</f>
        <v>each tablets contains sulphamethoxazole 800mg Trimethoprim 160mg.</v>
      </c>
      <c r="H56" s="339"/>
    </row>
    <row r="57" spans="1:12" ht="18.75" x14ac:dyDescent="0.3">
      <c r="A57" s="300" t="s">
        <v>84</v>
      </c>
      <c r="B57" s="379">
        <f>Uniformity!C46</f>
        <v>1046.3480000000002</v>
      </c>
      <c r="H57" s="339"/>
    </row>
    <row r="58" spans="1:12" ht="19.5" customHeight="1" thickBot="1" x14ac:dyDescent="0.35">
      <c r="H58" s="339"/>
    </row>
    <row r="59" spans="1:12" s="15" customFormat="1" ht="27" customHeight="1" thickBot="1" x14ac:dyDescent="0.45">
      <c r="A59" s="250" t="s">
        <v>85</v>
      </c>
      <c r="B59" s="251">
        <v>200</v>
      </c>
      <c r="C59" s="324"/>
      <c r="D59" s="302" t="s">
        <v>86</v>
      </c>
      <c r="E59" s="303" t="s">
        <v>58</v>
      </c>
      <c r="F59" s="303" t="s">
        <v>59</v>
      </c>
      <c r="G59" s="303" t="s">
        <v>87</v>
      </c>
      <c r="H59" s="254" t="s">
        <v>88</v>
      </c>
      <c r="L59" s="241"/>
    </row>
    <row r="60" spans="1:12" s="15" customFormat="1" ht="26.25" customHeight="1" x14ac:dyDescent="0.4">
      <c r="A60" s="252" t="s">
        <v>89</v>
      </c>
      <c r="B60" s="253">
        <v>2</v>
      </c>
      <c r="C60" s="476" t="s">
        <v>90</v>
      </c>
      <c r="D60" s="479">
        <f>Sulfamethoxazole!D60</f>
        <v>1045.1500000000001</v>
      </c>
      <c r="E60" s="304">
        <v>1</v>
      </c>
      <c r="F60" s="305">
        <v>11850320</v>
      </c>
      <c r="G60" s="380">
        <f>IF(ISBLANK(F60),"-",(F60/$D$50*$D$47*$B$68)*($B$57/$D$60))</f>
        <v>158.01467603126483</v>
      </c>
      <c r="H60" s="306">
        <f t="shared" ref="H60:H71" si="0">IF(ISBLANK(F60),"-",G60/$B$56)</f>
        <v>0.98759172519540517</v>
      </c>
      <c r="L60" s="241"/>
    </row>
    <row r="61" spans="1:12" s="15" customFormat="1" ht="26.25" customHeight="1" x14ac:dyDescent="0.4">
      <c r="A61" s="252" t="s">
        <v>91</v>
      </c>
      <c r="B61" s="253">
        <v>50</v>
      </c>
      <c r="C61" s="477"/>
      <c r="D61" s="480"/>
      <c r="E61" s="307">
        <v>2</v>
      </c>
      <c r="F61" s="264">
        <v>11897718</v>
      </c>
      <c r="G61" s="381">
        <f>IF(ISBLANK(F61),"-",(F61/$D$50*$D$47*$B$68)*($B$57/$D$60))</f>
        <v>158.64669099917538</v>
      </c>
      <c r="H61" s="308">
        <f t="shared" si="0"/>
        <v>0.99154181874484615</v>
      </c>
      <c r="L61" s="241"/>
    </row>
    <row r="62" spans="1:12" s="15" customFormat="1" ht="26.25" customHeight="1" x14ac:dyDescent="0.4">
      <c r="A62" s="252" t="s">
        <v>92</v>
      </c>
      <c r="B62" s="253">
        <v>1</v>
      </c>
      <c r="C62" s="477"/>
      <c r="D62" s="480"/>
      <c r="E62" s="307">
        <v>3</v>
      </c>
      <c r="F62" s="309">
        <v>11905996</v>
      </c>
      <c r="G62" s="381">
        <f>IF(ISBLANK(F62),"-",(F62/$D$50*$D$47*$B$68)*($B$57/$D$60))</f>
        <v>158.75707160393429</v>
      </c>
      <c r="H62" s="308">
        <f t="shared" si="0"/>
        <v>0.99223169752458928</v>
      </c>
      <c r="L62" s="241"/>
    </row>
    <row r="63" spans="1:12" ht="27" customHeight="1" thickBot="1" x14ac:dyDescent="0.45">
      <c r="A63" s="252" t="s">
        <v>93</v>
      </c>
      <c r="B63" s="253">
        <v>1</v>
      </c>
      <c r="C63" s="478"/>
      <c r="D63" s="481"/>
      <c r="E63" s="310">
        <v>4</v>
      </c>
      <c r="F63" s="311"/>
      <c r="G63" s="381" t="str">
        <f>IF(ISBLANK(F63),"-",(F63/$D$50*$D$47*$B$68)*($B$57/$D$60))</f>
        <v>-</v>
      </c>
      <c r="H63" s="308" t="str">
        <f t="shared" si="0"/>
        <v>-</v>
      </c>
    </row>
    <row r="64" spans="1:12" ht="26.25" customHeight="1" x14ac:dyDescent="0.4">
      <c r="A64" s="252" t="s">
        <v>94</v>
      </c>
      <c r="B64" s="253">
        <v>1</v>
      </c>
      <c r="C64" s="476" t="s">
        <v>95</v>
      </c>
      <c r="D64" s="479">
        <f>Sulfamethoxazole!D64</f>
        <v>1049.76</v>
      </c>
      <c r="E64" s="304">
        <v>1</v>
      </c>
      <c r="F64" s="305">
        <v>11850744</v>
      </c>
      <c r="G64" s="382">
        <f>IF(ISBLANK(F64),"-",(F64/$D$50*$D$47*$B$68)*($B$57/$D$64))</f>
        <v>157.32638662615142</v>
      </c>
      <c r="H64" s="312">
        <f t="shared" si="0"/>
        <v>0.98328991641344632</v>
      </c>
    </row>
    <row r="65" spans="1:8" ht="26.25" customHeight="1" x14ac:dyDescent="0.4">
      <c r="A65" s="252" t="s">
        <v>96</v>
      </c>
      <c r="B65" s="253">
        <v>1</v>
      </c>
      <c r="C65" s="477"/>
      <c r="D65" s="480"/>
      <c r="E65" s="307">
        <v>2</v>
      </c>
      <c r="F65" s="264">
        <v>11912783</v>
      </c>
      <c r="G65" s="383">
        <f>IF(ISBLANK(F65),"-",(F65/$D$50*$D$47*$B$68)*($B$57/$D$64))</f>
        <v>158.14999497512085</v>
      </c>
      <c r="H65" s="313">
        <f t="shared" si="0"/>
        <v>0.98843746859450532</v>
      </c>
    </row>
    <row r="66" spans="1:8" ht="26.25" customHeight="1" x14ac:dyDescent="0.4">
      <c r="A66" s="252" t="s">
        <v>97</v>
      </c>
      <c r="B66" s="253">
        <v>1</v>
      </c>
      <c r="C66" s="477"/>
      <c r="D66" s="480"/>
      <c r="E66" s="307">
        <v>3</v>
      </c>
      <c r="F66" s="264">
        <v>11946672</v>
      </c>
      <c r="G66" s="383">
        <f>IF(ISBLANK(F66),"-",(F66/$D$50*$D$47*$B$68)*($B$57/$D$64))</f>
        <v>158.59989364109271</v>
      </c>
      <c r="H66" s="313">
        <f t="shared" si="0"/>
        <v>0.99124933525682946</v>
      </c>
    </row>
    <row r="67" spans="1:8" ht="27" customHeight="1" thickBot="1" x14ac:dyDescent="0.45">
      <c r="A67" s="252" t="s">
        <v>98</v>
      </c>
      <c r="B67" s="253">
        <v>1</v>
      </c>
      <c r="C67" s="478"/>
      <c r="D67" s="481"/>
      <c r="E67" s="310">
        <v>4</v>
      </c>
      <c r="F67" s="311"/>
      <c r="G67" s="384" t="str">
        <f>IF(ISBLANK(F67),"-",(F67/$D$50*$D$47*$B$68)*($B$57/$D$64))</f>
        <v>-</v>
      </c>
      <c r="H67" s="314" t="str">
        <f t="shared" si="0"/>
        <v>-</v>
      </c>
    </row>
    <row r="68" spans="1:8" ht="26.25" customHeight="1" x14ac:dyDescent="0.4">
      <c r="A68" s="252" t="s">
        <v>99</v>
      </c>
      <c r="B68" s="315">
        <f>(B67/B66)*(B65/B64)*(B63/B62)*(B61/B60)*B59</f>
        <v>5000</v>
      </c>
      <c r="C68" s="476" t="s">
        <v>100</v>
      </c>
      <c r="D68" s="479">
        <f>Sulfamethoxazole!D68</f>
        <v>1040.77</v>
      </c>
      <c r="E68" s="304">
        <v>1</v>
      </c>
      <c r="F68" s="305">
        <v>11593469</v>
      </c>
      <c r="G68" s="382">
        <f>IF(ISBLANK(F68),"-",(F68/$D$50*$D$47*$B$68)*($B$57/$D$68))</f>
        <v>155.2403494975099</v>
      </c>
      <c r="H68" s="308">
        <f t="shared" si="0"/>
        <v>0.97025218435943683</v>
      </c>
    </row>
    <row r="69" spans="1:8" ht="27" customHeight="1" thickBot="1" x14ac:dyDescent="0.45">
      <c r="A69" s="296" t="s">
        <v>101</v>
      </c>
      <c r="B69" s="316">
        <f>(D47*B68)/B56*B57</f>
        <v>1046.3480000000002</v>
      </c>
      <c r="C69" s="477"/>
      <c r="D69" s="480"/>
      <c r="E69" s="307">
        <v>2</v>
      </c>
      <c r="F69" s="264">
        <v>11615696</v>
      </c>
      <c r="G69" s="383">
        <f>IF(ISBLANK(F69),"-",(F69/$D$50*$D$47*$B$68)*($B$57/$D$68))</f>
        <v>155.53797631207945</v>
      </c>
      <c r="H69" s="308">
        <f t="shared" si="0"/>
        <v>0.97211235195049661</v>
      </c>
    </row>
    <row r="70" spans="1:8" ht="26.25" customHeight="1" x14ac:dyDescent="0.4">
      <c r="A70" s="489" t="s">
        <v>74</v>
      </c>
      <c r="B70" s="490"/>
      <c r="C70" s="477"/>
      <c r="D70" s="480"/>
      <c r="E70" s="307">
        <v>3</v>
      </c>
      <c r="F70" s="264">
        <v>11642930</v>
      </c>
      <c r="G70" s="383">
        <f>IF(ISBLANK(F70),"-",(F70/$D$50*$D$47*$B$68)*($B$57/$D$68))</f>
        <v>155.902648497619</v>
      </c>
      <c r="H70" s="308">
        <f t="shared" si="0"/>
        <v>0.97439155311011871</v>
      </c>
    </row>
    <row r="71" spans="1:8" ht="27" customHeight="1" thickBot="1" x14ac:dyDescent="0.45">
      <c r="A71" s="491"/>
      <c r="B71" s="492"/>
      <c r="C71" s="488"/>
      <c r="D71" s="481"/>
      <c r="E71" s="310">
        <v>4</v>
      </c>
      <c r="F71" s="311"/>
      <c r="G71" s="384" t="str">
        <f>IF(ISBLANK(F71),"-",(F71/$D$50*$D$47*$B$68)*($B$57/$D$68))</f>
        <v>-</v>
      </c>
      <c r="H71" s="317" t="str">
        <f t="shared" si="0"/>
        <v>-</v>
      </c>
    </row>
    <row r="72" spans="1:8" ht="26.25" customHeight="1" x14ac:dyDescent="0.4">
      <c r="A72" s="339"/>
      <c r="B72" s="339"/>
      <c r="C72" s="339"/>
      <c r="D72" s="339"/>
      <c r="E72" s="339"/>
      <c r="F72" s="318" t="s">
        <v>67</v>
      </c>
      <c r="G72" s="389">
        <f>AVERAGE(G60:G71)</f>
        <v>157.35285424266087</v>
      </c>
      <c r="H72" s="319">
        <f>AVERAGE(H60:H71)</f>
        <v>0.9834553390166304</v>
      </c>
    </row>
    <row r="73" spans="1:8" ht="26.25" customHeight="1" x14ac:dyDescent="0.4">
      <c r="C73" s="339"/>
      <c r="D73" s="339"/>
      <c r="E73" s="339"/>
      <c r="F73" s="320" t="s">
        <v>80</v>
      </c>
      <c r="G73" s="385">
        <f>STDEV(G60:G71)/G72</f>
        <v>9.0252673627361866E-3</v>
      </c>
      <c r="H73" s="385">
        <f>STDEV(H60:H71)/H72</f>
        <v>9.0252673627361935E-3</v>
      </c>
    </row>
    <row r="74" spans="1:8" ht="27" customHeight="1" thickBot="1" x14ac:dyDescent="0.45">
      <c r="A74" s="339"/>
      <c r="B74" s="339"/>
      <c r="C74" s="339"/>
      <c r="D74" s="339"/>
      <c r="E74" s="321"/>
      <c r="F74" s="322" t="s">
        <v>17</v>
      </c>
      <c r="G74" s="323">
        <f>COUNT(G60:G71)</f>
        <v>9</v>
      </c>
      <c r="H74" s="323">
        <f>COUNT(H60:H71)</f>
        <v>9</v>
      </c>
    </row>
    <row r="76" spans="1:8" ht="26.25" customHeight="1" x14ac:dyDescent="0.4">
      <c r="A76" s="373" t="s">
        <v>102</v>
      </c>
      <c r="B76" s="331" t="s">
        <v>103</v>
      </c>
      <c r="C76" s="484" t="str">
        <f>B20</f>
        <v>each tablets contains sulphamethoxazole 800mg Trimethoprim 160mg.</v>
      </c>
      <c r="D76" s="484"/>
      <c r="E76" s="324" t="s">
        <v>104</v>
      </c>
      <c r="F76" s="324"/>
      <c r="G76" s="325">
        <f>H72</f>
        <v>0.9834553390166304</v>
      </c>
      <c r="H76" s="394"/>
    </row>
    <row r="77" spans="1:8" ht="18.75" x14ac:dyDescent="0.3">
      <c r="A77" s="239" t="s">
        <v>105</v>
      </c>
      <c r="B77" s="239" t="s">
        <v>106</v>
      </c>
    </row>
    <row r="78" spans="1:8" ht="18.75" x14ac:dyDescent="0.3">
      <c r="A78" s="239"/>
      <c r="B78" s="239"/>
    </row>
    <row r="79" spans="1:8" ht="26.25" customHeight="1" x14ac:dyDescent="0.4">
      <c r="A79" s="373" t="s">
        <v>3</v>
      </c>
      <c r="B79" s="470" t="str">
        <f>B26</f>
        <v>Trimethoprim</v>
      </c>
      <c r="C79" s="470"/>
    </row>
    <row r="80" spans="1:8" ht="26.25" customHeight="1" x14ac:dyDescent="0.4">
      <c r="A80" s="331" t="s">
        <v>44</v>
      </c>
      <c r="B80" s="470" t="str">
        <f>B27</f>
        <v>T7-001</v>
      </c>
      <c r="C80" s="470"/>
    </row>
    <row r="81" spans="1:12" ht="27" customHeight="1" thickBot="1" x14ac:dyDescent="0.45">
      <c r="A81" s="331" t="s">
        <v>5</v>
      </c>
      <c r="B81" s="326">
        <f>B28</f>
        <v>99.6</v>
      </c>
    </row>
    <row r="82" spans="1:12" s="15" customFormat="1" ht="27" customHeight="1" thickBot="1" x14ac:dyDescent="0.45">
      <c r="A82" s="331" t="s">
        <v>45</v>
      </c>
      <c r="B82" s="240">
        <v>0</v>
      </c>
      <c r="C82" s="461" t="s">
        <v>46</v>
      </c>
      <c r="D82" s="462"/>
      <c r="E82" s="462"/>
      <c r="F82" s="462"/>
      <c r="G82" s="463"/>
      <c r="I82" s="241"/>
      <c r="J82" s="241"/>
      <c r="K82" s="241"/>
      <c r="L82" s="241"/>
    </row>
    <row r="83" spans="1:12" s="15" customFormat="1" ht="19.5" customHeight="1" thickBot="1" x14ac:dyDescent="0.35">
      <c r="A83" s="331" t="s">
        <v>47</v>
      </c>
      <c r="B83" s="394">
        <f>B81-B82</f>
        <v>99.6</v>
      </c>
      <c r="C83" s="242"/>
      <c r="D83" s="242"/>
      <c r="E83" s="242"/>
      <c r="F83" s="242"/>
      <c r="G83" s="243"/>
      <c r="I83" s="241"/>
      <c r="J83" s="241"/>
      <c r="K83" s="241"/>
      <c r="L83" s="241"/>
    </row>
    <row r="84" spans="1:12" s="15" customFormat="1" ht="27" customHeight="1" thickBot="1" x14ac:dyDescent="0.45">
      <c r="A84" s="331" t="s">
        <v>48</v>
      </c>
      <c r="B84" s="244">
        <v>1</v>
      </c>
      <c r="C84" s="464" t="s">
        <v>107</v>
      </c>
      <c r="D84" s="465"/>
      <c r="E84" s="465"/>
      <c r="F84" s="465"/>
      <c r="G84" s="465"/>
      <c r="H84" s="466"/>
      <c r="I84" s="241"/>
      <c r="J84" s="241"/>
      <c r="K84" s="241"/>
      <c r="L84" s="241"/>
    </row>
    <row r="85" spans="1:12" s="15" customFormat="1" ht="27" customHeight="1" thickBot="1" x14ac:dyDescent="0.45">
      <c r="A85" s="331" t="s">
        <v>50</v>
      </c>
      <c r="B85" s="244">
        <v>1</v>
      </c>
      <c r="C85" s="464" t="s">
        <v>108</v>
      </c>
      <c r="D85" s="465"/>
      <c r="E85" s="465"/>
      <c r="F85" s="465"/>
      <c r="G85" s="465"/>
      <c r="H85" s="466"/>
      <c r="I85" s="241"/>
      <c r="J85" s="241"/>
      <c r="K85" s="241"/>
      <c r="L85" s="241"/>
    </row>
    <row r="86" spans="1:12" s="15" customFormat="1" ht="18.75" x14ac:dyDescent="0.3">
      <c r="A86" s="331"/>
      <c r="B86" s="247"/>
      <c r="C86" s="248"/>
      <c r="D86" s="248"/>
      <c r="E86" s="248"/>
      <c r="F86" s="248"/>
      <c r="G86" s="248"/>
      <c r="H86" s="248"/>
      <c r="I86" s="241"/>
      <c r="J86" s="241"/>
      <c r="K86" s="241"/>
      <c r="L86" s="241"/>
    </row>
    <row r="87" spans="1:12" s="15" customFormat="1" ht="18.75" x14ac:dyDescent="0.3">
      <c r="A87" s="331" t="s">
        <v>52</v>
      </c>
      <c r="B87" s="249">
        <f>B84/B85</f>
        <v>1</v>
      </c>
      <c r="C87" s="324" t="s">
        <v>53</v>
      </c>
      <c r="D87" s="324"/>
      <c r="E87" s="324"/>
      <c r="F87" s="324"/>
      <c r="G87" s="324"/>
      <c r="I87" s="241"/>
      <c r="J87" s="241"/>
      <c r="K87" s="241"/>
      <c r="L87" s="241"/>
    </row>
    <row r="88" spans="1:12" ht="19.5" customHeight="1" thickBot="1" x14ac:dyDescent="0.35">
      <c r="A88" s="239"/>
      <c r="B88" s="239"/>
    </row>
    <row r="89" spans="1:12" ht="27" customHeight="1" thickBot="1" x14ac:dyDescent="0.45">
      <c r="A89" s="250" t="s">
        <v>54</v>
      </c>
      <c r="B89" s="251">
        <v>100</v>
      </c>
      <c r="D89" s="392" t="s">
        <v>55</v>
      </c>
      <c r="E89" s="393"/>
      <c r="F89" s="467" t="s">
        <v>56</v>
      </c>
      <c r="G89" s="469"/>
    </row>
    <row r="90" spans="1:12" ht="27" customHeight="1" thickBot="1" x14ac:dyDescent="0.45">
      <c r="A90" s="252" t="s">
        <v>57</v>
      </c>
      <c r="B90" s="253">
        <v>3</v>
      </c>
      <c r="C90" s="395" t="s">
        <v>58</v>
      </c>
      <c r="D90" s="255" t="s">
        <v>59</v>
      </c>
      <c r="E90" s="256" t="s">
        <v>60</v>
      </c>
      <c r="F90" s="255" t="s">
        <v>59</v>
      </c>
      <c r="G90" s="327" t="s">
        <v>60</v>
      </c>
      <c r="I90" s="258" t="s">
        <v>61</v>
      </c>
    </row>
    <row r="91" spans="1:12" ht="26.25" customHeight="1" x14ac:dyDescent="0.4">
      <c r="A91" s="252" t="s">
        <v>62</v>
      </c>
      <c r="B91" s="253">
        <v>20</v>
      </c>
      <c r="C91" s="328">
        <v>1</v>
      </c>
      <c r="D91" s="260">
        <v>15439948</v>
      </c>
      <c r="E91" s="261">
        <f>IF(ISBLANK(D91),"-",$D$101/$D$98*D91)</f>
        <v>6819854.6336905267</v>
      </c>
      <c r="F91" s="260">
        <v>13343998</v>
      </c>
      <c r="G91" s="262">
        <f>IF(ISBLANK(F91),"-",$D$101/$F$98*F91)</f>
        <v>6545186.8234441243</v>
      </c>
      <c r="I91" s="263"/>
    </row>
    <row r="92" spans="1:12" ht="26.25" customHeight="1" x14ac:dyDescent="0.4">
      <c r="A92" s="252" t="s">
        <v>63</v>
      </c>
      <c r="B92" s="253">
        <v>1</v>
      </c>
      <c r="C92" s="339">
        <v>2</v>
      </c>
      <c r="D92" s="264">
        <v>15330795</v>
      </c>
      <c r="E92" s="265">
        <f>IF(ISBLANK(D92),"-",$D$101/$D$98*D92)</f>
        <v>6771641.5443179961</v>
      </c>
      <c r="F92" s="264">
        <v>13380090</v>
      </c>
      <c r="G92" s="266">
        <f>IF(ISBLANK(F92),"-",$D$101/$F$98*F92)</f>
        <v>6562889.8299067859</v>
      </c>
      <c r="I92" s="471">
        <f>ABS((F96/D96*D95)-F95)/D95</f>
        <v>3.0772189744081864E-2</v>
      </c>
    </row>
    <row r="93" spans="1:12" ht="26.25" customHeight="1" x14ac:dyDescent="0.4">
      <c r="A93" s="252" t="s">
        <v>64</v>
      </c>
      <c r="B93" s="253">
        <v>1</v>
      </c>
      <c r="C93" s="339">
        <v>3</v>
      </c>
      <c r="D93" s="264">
        <v>15345510</v>
      </c>
      <c r="E93" s="265">
        <f>IF(ISBLANK(D93),"-",$D$101/$D$98*D93)</f>
        <v>6778141.188030188</v>
      </c>
      <c r="F93" s="264">
        <v>13385407</v>
      </c>
      <c r="G93" s="266">
        <f>IF(ISBLANK(F93),"-",$D$101/$F$98*F93)</f>
        <v>6565497.8007967882</v>
      </c>
      <c r="I93" s="471"/>
    </row>
    <row r="94" spans="1:12" ht="27" customHeight="1" thickBot="1" x14ac:dyDescent="0.45">
      <c r="A94" s="252" t="s">
        <v>65</v>
      </c>
      <c r="B94" s="253">
        <v>1</v>
      </c>
      <c r="C94" s="329">
        <v>4</v>
      </c>
      <c r="D94" s="268"/>
      <c r="E94" s="269" t="str">
        <f>IF(ISBLANK(D94),"-",$D$101/$D$98*D94)</f>
        <v>-</v>
      </c>
      <c r="F94" s="330"/>
      <c r="G94" s="270" t="str">
        <f>IF(ISBLANK(F94),"-",$D$101/$F$98*F94)</f>
        <v>-</v>
      </c>
      <c r="I94" s="271"/>
    </row>
    <row r="95" spans="1:12" ht="27" customHeight="1" thickBot="1" x14ac:dyDescent="0.45">
      <c r="A95" s="252" t="s">
        <v>66</v>
      </c>
      <c r="B95" s="253">
        <v>1</v>
      </c>
      <c r="C95" s="331" t="s">
        <v>67</v>
      </c>
      <c r="D95" s="332">
        <f>AVERAGE(D91:D94)</f>
        <v>15372084.333333334</v>
      </c>
      <c r="E95" s="274">
        <f>AVERAGE(E91:E94)</f>
        <v>6789879.122012903</v>
      </c>
      <c r="F95" s="333">
        <f>AVERAGE(F91:F94)</f>
        <v>13369831.666666666</v>
      </c>
      <c r="G95" s="334">
        <f>AVERAGE(G91:G94)</f>
        <v>6557858.1513825655</v>
      </c>
    </row>
    <row r="96" spans="1:12" ht="26.25" customHeight="1" x14ac:dyDescent="0.4">
      <c r="A96" s="252" t="s">
        <v>68</v>
      </c>
      <c r="B96" s="326">
        <v>1</v>
      </c>
      <c r="C96" s="335" t="s">
        <v>109</v>
      </c>
      <c r="D96" s="336">
        <f>D43</f>
        <v>26.94</v>
      </c>
      <c r="E96" s="324"/>
      <c r="F96" s="278">
        <f>F43</f>
        <v>24.26</v>
      </c>
    </row>
    <row r="97" spans="1:10" ht="26.25" customHeight="1" x14ac:dyDescent="0.4">
      <c r="A97" s="252" t="s">
        <v>70</v>
      </c>
      <c r="B97" s="326">
        <v>1</v>
      </c>
      <c r="C97" s="337" t="s">
        <v>110</v>
      </c>
      <c r="D97" s="338">
        <f>D96*$B$87</f>
        <v>26.94</v>
      </c>
      <c r="E97" s="339"/>
      <c r="F97" s="280">
        <f>F96*$B$87</f>
        <v>24.26</v>
      </c>
    </row>
    <row r="98" spans="1:10" ht="19.5" customHeight="1" thickBot="1" x14ac:dyDescent="0.35">
      <c r="A98" s="252" t="s">
        <v>72</v>
      </c>
      <c r="B98" s="339">
        <f>(B97/B96)*(B95/B94)*(B93/B92)*(B91/B90)*B89</f>
        <v>666.66666666666674</v>
      </c>
      <c r="C98" s="337" t="s">
        <v>111</v>
      </c>
      <c r="D98" s="340">
        <f>D97*$B$83/100</f>
        <v>26.832240000000002</v>
      </c>
      <c r="E98" s="321"/>
      <c r="F98" s="282">
        <f>F97*$B$83/100</f>
        <v>24.162959999999998</v>
      </c>
    </row>
    <row r="99" spans="1:10" ht="19.5" customHeight="1" thickBot="1" x14ac:dyDescent="0.35">
      <c r="A99" s="472" t="s">
        <v>74</v>
      </c>
      <c r="B99" s="486"/>
      <c r="C99" s="337" t="s">
        <v>112</v>
      </c>
      <c r="D99" s="341">
        <f>D98/$B$98</f>
        <v>4.0248359999999997E-2</v>
      </c>
      <c r="E99" s="321"/>
      <c r="F99" s="285">
        <f>F98/$B$98</f>
        <v>3.6244439999999996E-2</v>
      </c>
      <c r="H99" s="276"/>
    </row>
    <row r="100" spans="1:10" ht="19.5" customHeight="1" thickBot="1" x14ac:dyDescent="0.35">
      <c r="A100" s="474"/>
      <c r="B100" s="487"/>
      <c r="C100" s="337" t="s">
        <v>76</v>
      </c>
      <c r="D100" s="343">
        <f>$B$56/$B$116</f>
        <v>1.7777777777777778E-2</v>
      </c>
      <c r="F100" s="290"/>
      <c r="G100" s="349"/>
      <c r="H100" s="276"/>
    </row>
    <row r="101" spans="1:10" ht="18.75" x14ac:dyDescent="0.3">
      <c r="C101" s="337" t="s">
        <v>77</v>
      </c>
      <c r="D101" s="338">
        <f>D100*$B$98</f>
        <v>11.851851851851853</v>
      </c>
      <c r="F101" s="290"/>
      <c r="H101" s="276"/>
    </row>
    <row r="102" spans="1:10" ht="19.5" customHeight="1" thickBot="1" x14ac:dyDescent="0.35">
      <c r="C102" s="344" t="s">
        <v>78</v>
      </c>
      <c r="D102" s="345">
        <f>D101/B34</f>
        <v>11.851851851851853</v>
      </c>
      <c r="F102" s="294"/>
      <c r="H102" s="276"/>
      <c r="J102" s="346"/>
    </row>
    <row r="103" spans="1:10" ht="18.75" x14ac:dyDescent="0.3">
      <c r="C103" s="347" t="s">
        <v>113</v>
      </c>
      <c r="D103" s="348">
        <f>AVERAGE(E91:E94,G91:G94)</f>
        <v>6673868.6366977347</v>
      </c>
      <c r="F103" s="294"/>
      <c r="G103" s="349"/>
      <c r="H103" s="276"/>
      <c r="J103" s="350"/>
    </row>
    <row r="104" spans="1:10" ht="18.75" x14ac:dyDescent="0.3">
      <c r="C104" s="320" t="s">
        <v>80</v>
      </c>
      <c r="D104" s="351">
        <f>STDEV(E91:E94,G91:G94)/D103</f>
        <v>1.9231157607900201E-2</v>
      </c>
      <c r="F104" s="294"/>
      <c r="H104" s="276"/>
      <c r="J104" s="350"/>
    </row>
    <row r="105" spans="1:10" ht="19.5" customHeight="1" thickBot="1" x14ac:dyDescent="0.35">
      <c r="C105" s="322" t="s">
        <v>17</v>
      </c>
      <c r="D105" s="352">
        <f>COUNT(E91:E94,G91:G94)</f>
        <v>6</v>
      </c>
      <c r="F105" s="294"/>
      <c r="H105" s="276"/>
      <c r="J105" s="350"/>
    </row>
    <row r="106" spans="1:10" ht="19.5" customHeight="1" thickBot="1" x14ac:dyDescent="0.35">
      <c r="A106" s="298"/>
      <c r="B106" s="298"/>
      <c r="C106" s="298"/>
      <c r="D106" s="298"/>
      <c r="E106" s="298"/>
    </row>
    <row r="107" spans="1:10" ht="26.25" customHeight="1" x14ac:dyDescent="0.4">
      <c r="A107" s="250" t="s">
        <v>114</v>
      </c>
      <c r="B107" s="251">
        <v>900</v>
      </c>
      <c r="C107" s="392" t="s">
        <v>115</v>
      </c>
      <c r="D107" s="353" t="s">
        <v>59</v>
      </c>
      <c r="E107" s="354" t="s">
        <v>116</v>
      </c>
      <c r="F107" s="355" t="s">
        <v>117</v>
      </c>
    </row>
    <row r="108" spans="1:10" ht="26.25" customHeight="1" x14ac:dyDescent="0.4">
      <c r="A108" s="252" t="s">
        <v>118</v>
      </c>
      <c r="B108" s="253">
        <v>5</v>
      </c>
      <c r="C108" s="356">
        <v>1</v>
      </c>
      <c r="D108" s="357">
        <v>6698387</v>
      </c>
      <c r="E108" s="386">
        <f t="shared" ref="E108:E113" si="1">IF(ISBLANK(D108),"-",D108/$D$103*$D$100*$B$116)</f>
        <v>160.58780571538242</v>
      </c>
      <c r="F108" s="358">
        <f t="shared" ref="F108:F113" si="2">IF(ISBLANK(D108), "-", E108/$B$56)</f>
        <v>1.0036737857211402</v>
      </c>
    </row>
    <row r="109" spans="1:10" ht="26.25" customHeight="1" x14ac:dyDescent="0.4">
      <c r="A109" s="252" t="s">
        <v>91</v>
      </c>
      <c r="B109" s="253">
        <v>50</v>
      </c>
      <c r="C109" s="356">
        <v>2</v>
      </c>
      <c r="D109" s="357">
        <v>6580157</v>
      </c>
      <c r="E109" s="387">
        <f t="shared" si="1"/>
        <v>157.75334776756159</v>
      </c>
      <c r="F109" s="359">
        <f t="shared" si="2"/>
        <v>0.98595842354725993</v>
      </c>
    </row>
    <row r="110" spans="1:10" ht="26.25" customHeight="1" x14ac:dyDescent="0.4">
      <c r="A110" s="252" t="s">
        <v>92</v>
      </c>
      <c r="B110" s="253">
        <v>1</v>
      </c>
      <c r="C110" s="356">
        <v>3</v>
      </c>
      <c r="D110" s="357">
        <v>6769471</v>
      </c>
      <c r="E110" s="387">
        <f t="shared" si="1"/>
        <v>162.29198070280435</v>
      </c>
      <c r="F110" s="359">
        <f t="shared" si="2"/>
        <v>1.0143248793925272</v>
      </c>
    </row>
    <row r="111" spans="1:10" ht="26.25" customHeight="1" x14ac:dyDescent="0.4">
      <c r="A111" s="252" t="s">
        <v>93</v>
      </c>
      <c r="B111" s="253">
        <v>1</v>
      </c>
      <c r="C111" s="356">
        <v>4</v>
      </c>
      <c r="D111" s="357">
        <v>6677458</v>
      </c>
      <c r="E111" s="387">
        <f t="shared" si="1"/>
        <v>160.08605175792709</v>
      </c>
      <c r="F111" s="359">
        <f t="shared" si="2"/>
        <v>1.0005378234870443</v>
      </c>
    </row>
    <row r="112" spans="1:10" ht="26.25" customHeight="1" x14ac:dyDescent="0.4">
      <c r="A112" s="252" t="s">
        <v>94</v>
      </c>
      <c r="B112" s="253">
        <v>1</v>
      </c>
      <c r="C112" s="356">
        <v>5</v>
      </c>
      <c r="D112" s="357">
        <v>6459204</v>
      </c>
      <c r="E112" s="387">
        <f t="shared" si="1"/>
        <v>154.85360834302659</v>
      </c>
      <c r="F112" s="359">
        <f t="shared" si="2"/>
        <v>0.96783505214391619</v>
      </c>
    </row>
    <row r="113" spans="1:10" ht="26.25" customHeight="1" x14ac:dyDescent="0.4">
      <c r="A113" s="252" t="s">
        <v>96</v>
      </c>
      <c r="B113" s="253">
        <v>1</v>
      </c>
      <c r="C113" s="360">
        <v>6</v>
      </c>
      <c r="D113" s="361">
        <v>6336866</v>
      </c>
      <c r="E113" s="388">
        <f t="shared" si="1"/>
        <v>151.92066478876367</v>
      </c>
      <c r="F113" s="362">
        <f t="shared" si="2"/>
        <v>0.94950415492977291</v>
      </c>
    </row>
    <row r="114" spans="1:10" ht="26.25" customHeight="1" x14ac:dyDescent="0.4">
      <c r="A114" s="252" t="s">
        <v>97</v>
      </c>
      <c r="B114" s="253">
        <v>1</v>
      </c>
      <c r="C114" s="356"/>
      <c r="D114" s="339"/>
      <c r="E114" s="324"/>
      <c r="F114" s="363"/>
    </row>
    <row r="115" spans="1:10" ht="26.25" customHeight="1" x14ac:dyDescent="0.4">
      <c r="A115" s="252" t="s">
        <v>98</v>
      </c>
      <c r="B115" s="253">
        <v>1</v>
      </c>
      <c r="C115" s="356"/>
      <c r="D115" s="364" t="s">
        <v>67</v>
      </c>
      <c r="E115" s="390">
        <f>AVERAGE(E108:E113)</f>
        <v>157.91557651257764</v>
      </c>
      <c r="F115" s="365">
        <f>AVERAGE(F108:F113)</f>
        <v>0.9869723532036101</v>
      </c>
    </row>
    <row r="116" spans="1:10" ht="27" customHeight="1" thickBot="1" x14ac:dyDescent="0.45">
      <c r="A116" s="252" t="s">
        <v>99</v>
      </c>
      <c r="B116" s="281">
        <f>(B115/B114)*(B113/B112)*(B111/B110)*(B109/B108)*B107</f>
        <v>9000</v>
      </c>
      <c r="C116" s="366"/>
      <c r="D116" s="331" t="s">
        <v>80</v>
      </c>
      <c r="E116" s="367">
        <f>STDEV(E108:E113)/E115</f>
        <v>2.474469404910104E-2</v>
      </c>
      <c r="F116" s="367">
        <f>STDEV(F108:F113)/F115</f>
        <v>2.4744694049101085E-2</v>
      </c>
      <c r="I116" s="324"/>
    </row>
    <row r="117" spans="1:10" ht="27" customHeight="1" thickBot="1" x14ac:dyDescent="0.45">
      <c r="A117" s="472" t="s">
        <v>74</v>
      </c>
      <c r="B117" s="473"/>
      <c r="C117" s="368"/>
      <c r="D117" s="369" t="s">
        <v>17</v>
      </c>
      <c r="E117" s="370">
        <f>COUNT(E108:E113)</f>
        <v>6</v>
      </c>
      <c r="F117" s="370">
        <f>COUNT(F108:F113)</f>
        <v>6</v>
      </c>
      <c r="I117" s="324"/>
      <c r="J117" s="350"/>
    </row>
    <row r="118" spans="1:10" ht="19.5" customHeight="1" thickBot="1" x14ac:dyDescent="0.35">
      <c r="A118" s="474"/>
      <c r="B118" s="475"/>
      <c r="C118" s="324"/>
      <c r="D118" s="324"/>
      <c r="E118" s="324"/>
      <c r="F118" s="339"/>
      <c r="G118" s="324"/>
      <c r="H118" s="324"/>
      <c r="I118" s="324"/>
    </row>
    <row r="119" spans="1:10" ht="18.75" x14ac:dyDescent="0.3">
      <c r="A119" s="377"/>
      <c r="B119" s="248"/>
      <c r="C119" s="324"/>
      <c r="D119" s="324"/>
      <c r="E119" s="324"/>
      <c r="F119" s="339"/>
      <c r="G119" s="324"/>
      <c r="H119" s="324"/>
      <c r="I119" s="324"/>
    </row>
    <row r="120" spans="1:10" ht="26.25" customHeight="1" x14ac:dyDescent="0.4">
      <c r="A120" s="373" t="s">
        <v>102</v>
      </c>
      <c r="B120" s="331" t="s">
        <v>119</v>
      </c>
      <c r="C120" s="484" t="str">
        <f>B20</f>
        <v>each tablets contains sulphamethoxazole 800mg Trimethoprim 160mg.</v>
      </c>
      <c r="D120" s="484"/>
      <c r="E120" s="324" t="s">
        <v>120</v>
      </c>
      <c r="F120" s="324"/>
      <c r="G120" s="325">
        <f>F115</f>
        <v>0.9869723532036101</v>
      </c>
      <c r="H120" s="324"/>
      <c r="I120" s="324"/>
    </row>
    <row r="121" spans="1:10" ht="19.5" customHeight="1" thickBot="1" x14ac:dyDescent="0.35">
      <c r="A121" s="396"/>
      <c r="B121" s="396"/>
      <c r="C121" s="371"/>
      <c r="D121" s="371"/>
      <c r="E121" s="371"/>
      <c r="F121" s="371"/>
      <c r="G121" s="371"/>
      <c r="H121" s="371"/>
    </row>
    <row r="122" spans="1:10" ht="18.75" x14ac:dyDescent="0.3">
      <c r="B122" s="485" t="s">
        <v>22</v>
      </c>
      <c r="C122" s="485"/>
      <c r="E122" s="395" t="s">
        <v>23</v>
      </c>
      <c r="F122" s="372"/>
      <c r="G122" s="485" t="s">
        <v>24</v>
      </c>
      <c r="H122" s="485"/>
    </row>
    <row r="123" spans="1:10" ht="69.95" customHeight="1" x14ac:dyDescent="0.3">
      <c r="A123" s="373" t="s">
        <v>25</v>
      </c>
      <c r="B123" s="374"/>
      <c r="C123" s="374"/>
      <c r="E123" s="374"/>
      <c r="F123" s="324"/>
      <c r="G123" s="374"/>
      <c r="H123" s="374"/>
    </row>
    <row r="124" spans="1:10" ht="69.95" customHeight="1" x14ac:dyDescent="0.3">
      <c r="A124" s="373" t="s">
        <v>26</v>
      </c>
      <c r="B124" s="375"/>
      <c r="C124" s="375"/>
      <c r="E124" s="375"/>
      <c r="F124" s="324"/>
      <c r="G124" s="376"/>
      <c r="H124" s="376"/>
    </row>
    <row r="125" spans="1:10" ht="18.75" x14ac:dyDescent="0.3">
      <c r="A125" s="339"/>
      <c r="B125" s="339"/>
      <c r="C125" s="339"/>
      <c r="D125" s="339"/>
      <c r="E125" s="339"/>
      <c r="F125" s="321"/>
      <c r="G125" s="339"/>
      <c r="H125" s="339"/>
      <c r="I125" s="324"/>
    </row>
    <row r="126" spans="1:10" ht="18.75" x14ac:dyDescent="0.3">
      <c r="A126" s="339"/>
      <c r="B126" s="339"/>
      <c r="C126" s="339"/>
      <c r="D126" s="339"/>
      <c r="E126" s="339"/>
      <c r="F126" s="321"/>
      <c r="G126" s="339"/>
      <c r="H126" s="339"/>
      <c r="I126" s="324"/>
    </row>
    <row r="127" spans="1:10" ht="18.75" x14ac:dyDescent="0.3">
      <c r="A127" s="339"/>
      <c r="B127" s="339"/>
      <c r="C127" s="339"/>
      <c r="D127" s="339"/>
      <c r="E127" s="339"/>
      <c r="F127" s="321"/>
      <c r="G127" s="339"/>
      <c r="H127" s="339"/>
      <c r="I127" s="324"/>
    </row>
    <row r="128" spans="1:10" ht="18.75" x14ac:dyDescent="0.3">
      <c r="A128" s="339"/>
      <c r="B128" s="339"/>
      <c r="C128" s="339"/>
      <c r="D128" s="339"/>
      <c r="E128" s="339"/>
      <c r="F128" s="321"/>
      <c r="G128" s="339"/>
      <c r="H128" s="339"/>
      <c r="I128" s="324"/>
    </row>
    <row r="129" spans="1:9" ht="18.75" x14ac:dyDescent="0.3">
      <c r="A129" s="339"/>
      <c r="B129" s="339"/>
      <c r="C129" s="339"/>
      <c r="D129" s="339"/>
      <c r="E129" s="339"/>
      <c r="F129" s="321"/>
      <c r="G129" s="339"/>
      <c r="H129" s="339"/>
      <c r="I129" s="324"/>
    </row>
    <row r="130" spans="1:9" ht="18.75" x14ac:dyDescent="0.3">
      <c r="A130" s="339"/>
      <c r="B130" s="339"/>
      <c r="C130" s="339"/>
      <c r="D130" s="339"/>
      <c r="E130" s="339"/>
      <c r="F130" s="321"/>
      <c r="G130" s="339"/>
      <c r="H130" s="339"/>
      <c r="I130" s="324"/>
    </row>
    <row r="131" spans="1:9" ht="18.75" x14ac:dyDescent="0.3">
      <c r="A131" s="339"/>
      <c r="B131" s="339"/>
      <c r="C131" s="339"/>
      <c r="D131" s="339"/>
      <c r="E131" s="339"/>
      <c r="F131" s="321"/>
      <c r="G131" s="339"/>
      <c r="H131" s="339"/>
      <c r="I131" s="324"/>
    </row>
    <row r="132" spans="1:9" ht="18.75" x14ac:dyDescent="0.3">
      <c r="A132" s="339"/>
      <c r="B132" s="339"/>
      <c r="C132" s="339"/>
      <c r="D132" s="339"/>
      <c r="E132" s="339"/>
      <c r="F132" s="321"/>
      <c r="G132" s="339"/>
      <c r="H132" s="339"/>
      <c r="I132" s="324"/>
    </row>
    <row r="133" spans="1:9" ht="18.75" x14ac:dyDescent="0.3">
      <c r="A133" s="339"/>
      <c r="B133" s="339"/>
      <c r="C133" s="339"/>
      <c r="D133" s="339"/>
      <c r="E133" s="339"/>
      <c r="F133" s="321"/>
      <c r="G133" s="339"/>
      <c r="H133" s="339"/>
      <c r="I133" s="324"/>
    </row>
    <row r="250" spans="1:1" x14ac:dyDescent="0.25">
      <c r="A250" s="34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9" operator="greaterThan">
      <formula>0.02</formula>
    </cfRule>
  </conditionalFormatting>
  <conditionalFormatting sqref="D51">
    <cfRule type="cellIs" dxfId="7" priority="8" operator="greaterThan">
      <formula>0.02</formula>
    </cfRule>
  </conditionalFormatting>
  <conditionalFormatting sqref="G73">
    <cfRule type="cellIs" dxfId="6" priority="7" operator="greaterThan">
      <formula>0.02</formula>
    </cfRule>
  </conditionalFormatting>
  <conditionalFormatting sqref="H73">
    <cfRule type="cellIs" dxfId="5" priority="6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4" operator="lessThanOrEqual">
      <formula>0.02</formula>
    </cfRule>
  </conditionalFormatting>
  <conditionalFormatting sqref="I39">
    <cfRule type="cellIs" dxfId="2" priority="3" operator="greaterThan">
      <formula>0.02</formula>
    </cfRule>
  </conditionalFormatting>
  <conditionalFormatting sqref="I92">
    <cfRule type="cellIs" dxfId="1" priority="2" operator="lessThanOrEqual">
      <formula>0.02</formula>
    </cfRule>
  </conditionalFormatting>
  <conditionalFormatting sqref="I92">
    <cfRule type="cellIs" dxfId="0" priority="1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Uniformity</vt:lpstr>
      <vt:lpstr>SST </vt:lpstr>
      <vt:lpstr>Sulfamethoxazole</vt:lpstr>
      <vt:lpstr>Trimethoprim</vt:lpstr>
      <vt:lpstr>'SST '!Print_Area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2016-04-13T11:46:03Z</cp:lastPrinted>
  <dcterms:created xsi:type="dcterms:W3CDTF">2005-07-05T10:19:27Z</dcterms:created>
  <dcterms:modified xsi:type="dcterms:W3CDTF">2016-04-21T13:16:13Z</dcterms:modified>
</cp:coreProperties>
</file>