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495" windowWidth="20775" windowHeight="9405" activeTab="3"/>
  </bookViews>
  <sheets>
    <sheet name="Uniformity" sheetId="2" r:id="rId1"/>
    <sheet name="SST " sheetId="5" r:id="rId2"/>
    <sheet name="Sulfamethoxazole" sheetId="6" r:id="rId3"/>
    <sheet name="Trimethoprim" sheetId="7" r:id="rId4"/>
  </sheets>
  <definedNames>
    <definedName name="_xlnm.Print_Area" localSheetId="1">'SST '!$A$1:$G$52</definedName>
    <definedName name="_xlnm.Print_Area" localSheetId="2">Sulfamethoxazole!$A$1:$H$126</definedName>
    <definedName name="_xlnm.Print_Area" localSheetId="3">Trimethoprim!$A$1:$H$126</definedName>
    <definedName name="_xlnm.Print_Area" localSheetId="0">Uniformity!$A$1:$F$54</definedName>
  </definedNames>
  <calcPr calcId="124519"/>
</workbook>
</file>

<file path=xl/calcChain.xml><?xml version="1.0" encoding="utf-8"?>
<calcChain xmlns="http://schemas.openxmlformats.org/spreadsheetml/2006/main">
  <c r="B57" i="6"/>
  <c r="B57" i="7"/>
  <c r="C120"/>
  <c r="B116"/>
  <c r="D101"/>
  <c r="D100"/>
  <c r="B98"/>
  <c r="F96"/>
  <c r="F97" s="1"/>
  <c r="D96"/>
  <c r="F95"/>
  <c r="I92" s="1"/>
  <c r="D95"/>
  <c r="G94"/>
  <c r="E94"/>
  <c r="B87"/>
  <c r="D97" s="1"/>
  <c r="B81"/>
  <c r="B83" s="1"/>
  <c r="B80"/>
  <c r="B79"/>
  <c r="C76"/>
  <c r="H71"/>
  <c r="G71"/>
  <c r="D68"/>
  <c r="B68"/>
  <c r="H67"/>
  <c r="G67"/>
  <c r="D64"/>
  <c r="H63"/>
  <c r="G63"/>
  <c r="D60"/>
  <c r="C56"/>
  <c r="B55"/>
  <c r="B45"/>
  <c r="D48" s="1"/>
  <c r="D44"/>
  <c r="D45" s="1"/>
  <c r="D46" s="1"/>
  <c r="F42"/>
  <c r="D42"/>
  <c r="I39" s="1"/>
  <c r="G41"/>
  <c r="E41"/>
  <c r="B34"/>
  <c r="F44" s="1"/>
  <c r="F45" s="1"/>
  <c r="F46" s="1"/>
  <c r="B30"/>
  <c r="C120" i="6"/>
  <c r="B116"/>
  <c r="D100"/>
  <c r="D101" s="1"/>
  <c r="B98"/>
  <c r="F97"/>
  <c r="F96"/>
  <c r="D96"/>
  <c r="D97" s="1"/>
  <c r="F95"/>
  <c r="D95"/>
  <c r="G94"/>
  <c r="E94"/>
  <c r="I92"/>
  <c r="B87"/>
  <c r="B81"/>
  <c r="B83" s="1"/>
  <c r="B80"/>
  <c r="B79"/>
  <c r="C76"/>
  <c r="H71"/>
  <c r="G71"/>
  <c r="B68"/>
  <c r="H67"/>
  <c r="G67"/>
  <c r="H63"/>
  <c r="G63"/>
  <c r="B69"/>
  <c r="C56"/>
  <c r="B55"/>
  <c r="B45"/>
  <c r="D48" s="1"/>
  <c r="F42"/>
  <c r="I39" s="1"/>
  <c r="D42"/>
  <c r="G41"/>
  <c r="E41"/>
  <c r="B34"/>
  <c r="D44" s="1"/>
  <c r="D45" s="1"/>
  <c r="D46" s="1"/>
  <c r="B30"/>
  <c r="B41" i="5"/>
  <c r="E39"/>
  <c r="D39"/>
  <c r="C39"/>
  <c r="B39"/>
  <c r="B40" s="1"/>
  <c r="B30"/>
  <c r="B19"/>
  <c r="F17"/>
  <c r="E17"/>
  <c r="D17"/>
  <c r="C17"/>
  <c r="B17"/>
  <c r="B18" s="1"/>
  <c r="B8"/>
  <c r="D50" i="2"/>
  <c r="C50"/>
  <c r="D49"/>
  <c r="C49"/>
  <c r="B49"/>
  <c r="C46"/>
  <c r="C45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C19"/>
  <c r="B69" i="7" l="1"/>
  <c r="D49" i="6"/>
  <c r="E40"/>
  <c r="E39"/>
  <c r="E38"/>
  <c r="G39" i="7"/>
  <c r="E38"/>
  <c r="D49"/>
  <c r="E40"/>
  <c r="G38"/>
  <c r="G42" s="1"/>
  <c r="G40"/>
  <c r="E39"/>
  <c r="F98" i="6"/>
  <c r="F99" s="1"/>
  <c r="F98" i="7"/>
  <c r="G93" i="6"/>
  <c r="E92"/>
  <c r="G92"/>
  <c r="D102"/>
  <c r="E93"/>
  <c r="G91"/>
  <c r="D98"/>
  <c r="D99" s="1"/>
  <c r="D98" i="7"/>
  <c r="D99" s="1"/>
  <c r="E91"/>
  <c r="D102"/>
  <c r="F44" i="6"/>
  <c r="F45" s="1"/>
  <c r="F46" s="1"/>
  <c r="E92" i="7"/>
  <c r="G93"/>
  <c r="F99" l="1"/>
  <c r="G92"/>
  <c r="D52"/>
  <c r="D50"/>
  <c r="E42"/>
  <c r="E91" i="6"/>
  <c r="G39"/>
  <c r="E42"/>
  <c r="D52"/>
  <c r="G38"/>
  <c r="G91" i="7"/>
  <c r="G95" i="6"/>
  <c r="E93" i="7"/>
  <c r="D105" s="1"/>
  <c r="G40" i="6"/>
  <c r="D50" s="1"/>
  <c r="G68" l="1"/>
  <c r="H68" s="1"/>
  <c r="G70"/>
  <c r="H70" s="1"/>
  <c r="G65"/>
  <c r="H65" s="1"/>
  <c r="G61"/>
  <c r="H61" s="1"/>
  <c r="D51"/>
  <c r="G69"/>
  <c r="H69" s="1"/>
  <c r="G66"/>
  <c r="H66" s="1"/>
  <c r="G64"/>
  <c r="H64" s="1"/>
  <c r="G62"/>
  <c r="H62" s="1"/>
  <c r="G60"/>
  <c r="D103" i="7"/>
  <c r="G42" i="6"/>
  <c r="E95" i="7"/>
  <c r="E95" i="6"/>
  <c r="D105"/>
  <c r="D103"/>
  <c r="G69" i="7"/>
  <c r="H69" s="1"/>
  <c r="G61"/>
  <c r="H61" s="1"/>
  <c r="D51"/>
  <c r="G68"/>
  <c r="H68" s="1"/>
  <c r="G65"/>
  <c r="H65" s="1"/>
  <c r="G70"/>
  <c r="H70" s="1"/>
  <c r="G62"/>
  <c r="H62" s="1"/>
  <c r="G60"/>
  <c r="G66"/>
  <c r="H66" s="1"/>
  <c r="G64"/>
  <c r="H64" s="1"/>
  <c r="G95"/>
  <c r="H60" i="6" l="1"/>
  <c r="G74"/>
  <c r="G72"/>
  <c r="G73" s="1"/>
  <c r="E113" i="7"/>
  <c r="F113" s="1"/>
  <c r="E111"/>
  <c r="F111" s="1"/>
  <c r="E109"/>
  <c r="F109" s="1"/>
  <c r="D104"/>
  <c r="E112"/>
  <c r="F112" s="1"/>
  <c r="E110"/>
  <c r="F110" s="1"/>
  <c r="E108"/>
  <c r="G74"/>
  <c r="G72"/>
  <c r="G73" s="1"/>
  <c r="H60"/>
  <c r="E113" i="6"/>
  <c r="F113" s="1"/>
  <c r="E111"/>
  <c r="F111" s="1"/>
  <c r="E109"/>
  <c r="F109" s="1"/>
  <c r="D104"/>
  <c r="E112"/>
  <c r="F112" s="1"/>
  <c r="E110"/>
  <c r="F110" s="1"/>
  <c r="E108"/>
  <c r="H74" l="1"/>
  <c r="H72"/>
  <c r="G76" s="1"/>
  <c r="H74" i="7"/>
  <c r="H72"/>
  <c r="G76" s="1"/>
  <c r="E115" i="6"/>
  <c r="E116" s="1"/>
  <c r="E117"/>
  <c r="F108"/>
  <c r="E117" i="7"/>
  <c r="F108"/>
  <c r="E116"/>
  <c r="E115"/>
  <c r="H73" i="6" l="1"/>
  <c r="F117"/>
  <c r="F115"/>
  <c r="G120" s="1"/>
  <c r="F115" i="7"/>
  <c r="G120" s="1"/>
  <c r="F117"/>
  <c r="H73"/>
  <c r="F116" l="1"/>
  <c r="F116" i="6"/>
</calcChain>
</file>

<file path=xl/sharedStrings.xml><?xml version="1.0" encoding="utf-8"?>
<sst xmlns="http://schemas.openxmlformats.org/spreadsheetml/2006/main" count="396" uniqueCount="133">
  <si>
    <t>HPLC System Suitability Report</t>
  </si>
  <si>
    <t>Analysis Data</t>
  </si>
  <si>
    <t>Sample(s)</t>
  </si>
  <si>
    <t>Reference Substance:</t>
  </si>
  <si>
    <t>Sulfran DS Tablets</t>
  </si>
  <si>
    <t>% age Purity:</t>
  </si>
  <si>
    <t>NDQB201603836</t>
  </si>
  <si>
    <t>Weight (mg):</t>
  </si>
  <si>
    <t>each tablets contains sulphamethoxazole 800mg Trimethoprim 160mg.</t>
  </si>
  <si>
    <t>Standard Conc (mg/mL):</t>
  </si>
  <si>
    <t>Each tablet contains: Sulphamethoxazole B.P. 800 mg and Trimethoprim B.P. 160 mg.</t>
  </si>
  <si>
    <t>2016-04-01 12:17:02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</si>
  <si>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</si>
  <si>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</si>
  <si>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</si>
  <si>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</si>
  <si>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</si>
  <si>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</si>
  <si>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</si>
  <si>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</si>
  <si>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</si>
  <si>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</si>
  <si>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</si>
  <si>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</si>
  <si>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</si>
  <si>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</si>
  <si>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</si>
  <si>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</si>
  <si>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</si>
  <si>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</si>
  <si>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</si>
  <si>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</si>
  <si>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</si>
  <si>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</si>
  <si>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</si>
  <si>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</si>
  <si>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</si>
  <si>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</si>
  <si>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</si>
  <si>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</si>
  <si>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</si>
  <si>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</si>
  <si>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</si>
  <si>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</si>
  <si>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</si>
  <si>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</si>
  <si>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</si>
  <si>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</si>
  <si>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</si>
  <si>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</si>
  <si>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</si>
  <si>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</si>
  <si>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</si>
  <si>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</si>
  <si>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</si>
  <si>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</si>
  <si>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</si>
  <si>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</si>
  <si>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</si>
  <si>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</si>
  <si>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</si>
  <si>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</si>
  <si>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</si>
  <si>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</si>
  <si>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</si>
  <si>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</si>
  <si>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</si>
  <si>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</si>
  <si>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</si>
  <si>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</si>
  <si>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</si>
  <si>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</si>
  <si>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</si>
  <si>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</si>
  <si>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</si>
  <si>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</si>
  <si>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</si>
  <si>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</si>
  <si>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</si>
  <si>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</si>
  <si>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</si>
  <si>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</si>
  <si>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</si>
  <si>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</si>
  <si>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</si>
  <si>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</si>
  <si>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</si>
  <si>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</si>
  <si>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</si>
  <si>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</si>
  <si>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</si>
  <si>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</si>
  <si>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</si>
  <si>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</si>
  <si>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</si>
  <si>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</si>
  <si>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</si>
  <si>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</si>
  <si>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</si>
  <si>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</si>
  <si>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</si>
  <si>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</si>
  <si>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</si>
  <si>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Assay &amp; Dissolution</t>
  </si>
  <si>
    <t>Sulfran DS Tablets &amp; Cosatrim Suspension</t>
  </si>
  <si>
    <t>Sulfamethoxazole</t>
  </si>
  <si>
    <t>Resolution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</si>
  <si>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</si>
  <si>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</si>
  <si>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</si>
  <si>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r>
      <t xml:space="preserve">Resolution - NLT than </t>
    </r>
    <r>
      <rPr>
        <b/>
        <sz val="12"/>
        <color rgb="FF000000"/>
        <rFont val="Book Antiqua"/>
        <family val="1"/>
      </rPr>
      <t>5.0</t>
    </r>
    <r>
      <rPr>
        <sz val="12"/>
        <color rgb="FF000000"/>
        <rFont val="Book Antiqua"/>
      </rPr>
      <t xml:space="preserve"> between sulfamethoxazole and trimethoprim</t>
    </r>
  </si>
  <si>
    <t>Trimethoprim</t>
  </si>
  <si>
    <t>Dr. Sarah Mwangi</t>
  </si>
  <si>
    <t>15th April 2016</t>
  </si>
  <si>
    <t>S12-1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</si>
  <si>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</si>
  <si>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</si>
  <si>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</si>
  <si>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</si>
  <si>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</si>
  <si>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</si>
  <si>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</si>
  <si>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</si>
  <si>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</si>
  <si>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</si>
  <si>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</si>
  <si>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</si>
  <si>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</si>
  <si>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</si>
  <si>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</si>
  <si>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</si>
  <si>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</si>
  <si>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T7-001</t>
  </si>
</sst>
</file>

<file path=xl/styles.xml><?xml version="1.0" encoding="utf-8"?>
<styleSheet xmlns="http://schemas.openxmlformats.org/spreadsheetml/2006/main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2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sz val="14"/>
      <color rgb="FF000000"/>
      <name val="Book Antiqua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2" borderId="0"/>
  </cellStyleXfs>
  <cellXfs count="307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6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7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67" fontId="5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right" vertical="center"/>
    </xf>
    <xf numFmtId="166" fontId="5" fillId="2" borderId="12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164" fontId="4" fillId="2" borderId="12" xfId="0" applyNumberFormat="1" applyFont="1" applyFill="1" applyBorder="1" applyAlignment="1">
      <alignment horizontal="center" wrapText="1"/>
    </xf>
    <xf numFmtId="10" fontId="5" fillId="2" borderId="13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wrapText="1"/>
    </xf>
    <xf numFmtId="0" fontId="4" fillId="2" borderId="12" xfId="0" applyFont="1" applyFill="1" applyBorder="1" applyAlignment="1">
      <alignment horizontal="center" vertical="center"/>
    </xf>
    <xf numFmtId="165" fontId="4" fillId="2" borderId="16" xfId="0" applyNumberFormat="1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2" fontId="5" fillId="3" borderId="14" xfId="0" applyNumberFormat="1" applyFont="1" applyFill="1" applyBorder="1" applyProtection="1">
      <protection locked="0"/>
    </xf>
    <xf numFmtId="2" fontId="5" fillId="3" borderId="15" xfId="0" applyNumberFormat="1" applyFont="1" applyFill="1" applyBorder="1" applyProtection="1">
      <protection locked="0"/>
    </xf>
    <xf numFmtId="167" fontId="5" fillId="2" borderId="0" xfId="0" applyNumberFormat="1" applyFont="1" applyFill="1" applyAlignment="1">
      <alignment horizontal="center"/>
    </xf>
    <xf numFmtId="166" fontId="4" fillId="2" borderId="13" xfId="0" applyNumberFormat="1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2" borderId="18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12" fillId="2" borderId="0" xfId="1" applyFont="1" applyFill="1"/>
    <xf numFmtId="0" fontId="13" fillId="2" borderId="0" xfId="1" applyFont="1" applyFill="1"/>
    <xf numFmtId="0" fontId="13" fillId="2" borderId="0" xfId="1" applyFont="1" applyFill="1" applyAlignment="1">
      <alignment horizontal="right"/>
    </xf>
    <xf numFmtId="0" fontId="0" fillId="2" borderId="0" xfId="1" applyFont="1" applyFill="1"/>
    <xf numFmtId="0" fontId="14" fillId="2" borderId="0" xfId="1" applyFont="1" applyFill="1" applyAlignment="1">
      <alignment horizontal="center"/>
    </xf>
    <xf numFmtId="0" fontId="15" fillId="2" borderId="0" xfId="1" applyFont="1" applyFill="1"/>
    <xf numFmtId="0" fontId="15" fillId="2" borderId="0" xfId="1" applyFont="1" applyFill="1" applyAlignment="1">
      <alignment horizontal="left"/>
    </xf>
    <xf numFmtId="0" fontId="16" fillId="2" borderId="0" xfId="1" applyFont="1" applyFill="1" applyAlignment="1">
      <alignment horizontal="left"/>
    </xf>
    <xf numFmtId="0" fontId="16" fillId="2" borderId="0" xfId="1" applyFont="1" applyFill="1" applyAlignment="1">
      <alignment horizontal="center"/>
    </xf>
    <xf numFmtId="0" fontId="17" fillId="2" borderId="0" xfId="1" applyFont="1" applyFill="1"/>
    <xf numFmtId="0" fontId="16" fillId="2" borderId="0" xfId="1" applyFont="1" applyFill="1"/>
    <xf numFmtId="2" fontId="16" fillId="2" borderId="0" xfId="1" applyNumberFormat="1" applyFont="1" applyFill="1" applyAlignment="1">
      <alignment horizontal="center"/>
    </xf>
    <xf numFmtId="164" fontId="16" fillId="2" borderId="0" xfId="1" applyNumberFormat="1" applyFont="1" applyFill="1" applyAlignment="1">
      <alignment horizontal="center"/>
    </xf>
    <xf numFmtId="0" fontId="16" fillId="2" borderId="1" xfId="1" applyFont="1" applyFill="1" applyBorder="1" applyAlignment="1">
      <alignment horizontal="center"/>
    </xf>
    <xf numFmtId="0" fontId="16" fillId="2" borderId="2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17" fillId="2" borderId="3" xfId="1" applyFont="1" applyFill="1" applyBorder="1" applyAlignment="1">
      <alignment horizontal="center"/>
    </xf>
    <xf numFmtId="0" fontId="18" fillId="3" borderId="3" xfId="1" applyFont="1" applyFill="1" applyBorder="1" applyAlignment="1" applyProtection="1">
      <alignment horizontal="center"/>
      <protection locked="0"/>
    </xf>
    <xf numFmtId="2" fontId="18" fillId="3" borderId="3" xfId="1" applyNumberFormat="1" applyFont="1" applyFill="1" applyBorder="1" applyAlignment="1" applyProtection="1">
      <alignment horizontal="center"/>
      <protection locked="0"/>
    </xf>
    <xf numFmtId="2" fontId="18" fillId="3" borderId="4" xfId="1" applyNumberFormat="1" applyFont="1" applyFill="1" applyBorder="1" applyAlignment="1" applyProtection="1">
      <alignment horizontal="center"/>
      <protection locked="0"/>
    </xf>
    <xf numFmtId="0" fontId="18" fillId="3" borderId="5" xfId="1" applyFont="1" applyFill="1" applyBorder="1" applyAlignment="1" applyProtection="1">
      <alignment horizontal="center"/>
      <protection locked="0"/>
    </xf>
    <xf numFmtId="2" fontId="18" fillId="3" borderId="5" xfId="1" applyNumberFormat="1" applyFont="1" applyFill="1" applyBorder="1" applyAlignment="1" applyProtection="1">
      <alignment horizontal="center"/>
      <protection locked="0"/>
    </xf>
    <xf numFmtId="0" fontId="17" fillId="2" borderId="4" xfId="1" applyFont="1" applyFill="1" applyBorder="1"/>
    <xf numFmtId="1" fontId="16" fillId="4" borderId="2" xfId="1" applyNumberFormat="1" applyFont="1" applyFill="1" applyBorder="1" applyAlignment="1">
      <alignment horizontal="center"/>
    </xf>
    <xf numFmtId="1" fontId="16" fillId="4" borderId="1" xfId="1" applyNumberFormat="1" applyFont="1" applyFill="1" applyBorder="1" applyAlignment="1">
      <alignment horizontal="center"/>
    </xf>
    <xf numFmtId="2" fontId="16" fillId="4" borderId="1" xfId="1" applyNumberFormat="1" applyFont="1" applyFill="1" applyBorder="1" applyAlignment="1">
      <alignment horizontal="center"/>
    </xf>
    <xf numFmtId="0" fontId="17" fillId="2" borderId="3" xfId="1" applyFont="1" applyFill="1" applyBorder="1"/>
    <xf numFmtId="10" fontId="16" fillId="5" borderId="1" xfId="1" applyNumberFormat="1" applyFont="1" applyFill="1" applyBorder="1" applyAlignment="1">
      <alignment horizontal="center"/>
    </xf>
    <xf numFmtId="165" fontId="16" fillId="2" borderId="0" xfId="1" applyNumberFormat="1" applyFont="1" applyFill="1" applyAlignment="1">
      <alignment horizontal="center"/>
    </xf>
    <xf numFmtId="0" fontId="17" fillId="2" borderId="6" xfId="1" applyFont="1" applyFill="1" applyBorder="1"/>
    <xf numFmtId="0" fontId="17" fillId="2" borderId="5" xfId="1" applyFont="1" applyFill="1" applyBorder="1"/>
    <xf numFmtId="0" fontId="16" fillId="4" borderId="1" xfId="1" applyFont="1" applyFill="1" applyBorder="1" applyAlignment="1">
      <alignment horizontal="center"/>
    </xf>
    <xf numFmtId="0" fontId="16" fillId="2" borderId="7" xfId="1" applyFont="1" applyFill="1" applyBorder="1" applyAlignment="1">
      <alignment horizontal="center"/>
    </xf>
    <xf numFmtId="0" fontId="17" fillId="2" borderId="7" xfId="1" applyFont="1" applyFill="1" applyBorder="1"/>
    <xf numFmtId="0" fontId="17" fillId="2" borderId="8" xfId="1" applyFont="1" applyFill="1" applyBorder="1"/>
    <xf numFmtId="0" fontId="17" fillId="2" borderId="0" xfId="1" applyFont="1" applyFill="1" applyAlignment="1" applyProtection="1">
      <alignment horizontal="left"/>
      <protection locked="0"/>
    </xf>
    <xf numFmtId="0" fontId="17" fillId="2" borderId="0" xfId="1" applyFont="1" applyFill="1" applyProtection="1">
      <protection locked="0"/>
    </xf>
    <xf numFmtId="0" fontId="5" fillId="2" borderId="0" xfId="1" applyFont="1" applyFill="1"/>
    <xf numFmtId="0" fontId="13" fillId="2" borderId="9" xfId="1" applyFont="1" applyFill="1" applyBorder="1"/>
    <xf numFmtId="10" fontId="13" fillId="2" borderId="9" xfId="1" applyNumberFormat="1" applyFont="1" applyFill="1" applyBorder="1"/>
    <xf numFmtId="0" fontId="12" fillId="2" borderId="1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2" borderId="10" xfId="1" applyFont="1" applyFill="1" applyBorder="1" applyAlignment="1">
      <alignment horizontal="center"/>
    </xf>
    <xf numFmtId="0" fontId="12" fillId="2" borderId="0" xfId="1" applyFont="1" applyFill="1" applyAlignment="1">
      <alignment horizontal="right"/>
    </xf>
    <xf numFmtId="0" fontId="13" fillId="2" borderId="7" xfId="1" applyFont="1" applyFill="1" applyBorder="1"/>
    <xf numFmtId="0" fontId="12" fillId="2" borderId="11" xfId="1" applyFont="1" applyFill="1" applyBorder="1"/>
    <xf numFmtId="0" fontId="13" fillId="2" borderId="11" xfId="1" applyFont="1" applyFill="1" applyBorder="1"/>
    <xf numFmtId="0" fontId="19" fillId="2" borderId="0" xfId="1" applyFont="1" applyFill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21" fillId="2" borderId="0" xfId="1" applyFont="1" applyFill="1"/>
    <xf numFmtId="0" fontId="22" fillId="2" borderId="18" xfId="1" applyFont="1" applyFill="1" applyBorder="1" applyAlignment="1">
      <alignment horizontal="center"/>
    </xf>
    <xf numFmtId="0" fontId="22" fillId="2" borderId="19" xfId="1" applyFont="1" applyFill="1" applyBorder="1" applyAlignment="1">
      <alignment horizontal="center"/>
    </xf>
    <xf numFmtId="0" fontId="22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24" fillId="2" borderId="0" xfId="1" applyFont="1" applyFill="1"/>
    <xf numFmtId="0" fontId="25" fillId="3" borderId="0" xfId="1" applyFont="1" applyFill="1" applyAlignment="1" applyProtection="1">
      <alignment horizontal="left" wrapText="1"/>
      <protection locked="0"/>
    </xf>
    <xf numFmtId="0" fontId="25" fillId="2" borderId="0" xfId="1" applyFont="1" applyFill="1" applyAlignment="1" applyProtection="1">
      <alignment horizontal="right"/>
      <protection locked="0"/>
    </xf>
    <xf numFmtId="0" fontId="25" fillId="2" borderId="0" xfId="1" applyFont="1" applyFill="1" applyAlignment="1" applyProtection="1">
      <alignment horizontal="left"/>
      <protection locked="0"/>
    </xf>
    <xf numFmtId="0" fontId="26" fillId="2" borderId="0" xfId="1" applyFont="1" applyFill="1"/>
    <xf numFmtId="0" fontId="26" fillId="3" borderId="0" xfId="1" applyFont="1" applyFill="1" applyAlignment="1" applyProtection="1">
      <alignment horizontal="left"/>
      <protection locked="0"/>
    </xf>
    <xf numFmtId="0" fontId="26" fillId="3" borderId="0" xfId="1" applyFont="1" applyFill="1" applyAlignment="1" applyProtection="1">
      <alignment horizontal="left" wrapText="1"/>
      <protection locked="0"/>
    </xf>
    <xf numFmtId="0" fontId="21" fillId="3" borderId="0" xfId="1" applyFont="1" applyFill="1" applyProtection="1">
      <protection locked="0"/>
    </xf>
    <xf numFmtId="168" fontId="26" fillId="3" borderId="0" xfId="1" applyNumberFormat="1" applyFont="1" applyFill="1" applyAlignment="1" applyProtection="1">
      <alignment horizontal="center"/>
      <protection locked="0"/>
    </xf>
    <xf numFmtId="169" fontId="21" fillId="2" borderId="0" xfId="1" applyNumberFormat="1" applyFont="1" applyFill="1" applyAlignment="1">
      <alignment horizontal="left"/>
    </xf>
    <xf numFmtId="0" fontId="14" fillId="2" borderId="0" xfId="1" applyFont="1" applyFill="1" applyAlignment="1">
      <alignment horizontal="left"/>
    </xf>
    <xf numFmtId="0" fontId="24" fillId="2" borderId="0" xfId="1" applyFont="1" applyFill="1" applyAlignment="1">
      <alignment horizontal="right"/>
    </xf>
    <xf numFmtId="0" fontId="21" fillId="2" borderId="0" xfId="1" applyFont="1" applyFill="1" applyAlignment="1">
      <alignment horizontal="right"/>
    </xf>
    <xf numFmtId="0" fontId="26" fillId="3" borderId="0" xfId="1" applyFont="1" applyFill="1" applyAlignment="1" applyProtection="1">
      <alignment horizontal="left"/>
      <protection locked="0"/>
    </xf>
    <xf numFmtId="0" fontId="25" fillId="3" borderId="0" xfId="1" applyFont="1" applyFill="1" applyAlignment="1" applyProtection="1">
      <alignment horizontal="center"/>
      <protection locked="0"/>
    </xf>
    <xf numFmtId="0" fontId="26" fillId="3" borderId="0" xfId="1" applyFont="1" applyFill="1" applyAlignment="1" applyProtection="1">
      <alignment horizontal="center"/>
      <protection locked="0"/>
    </xf>
    <xf numFmtId="0" fontId="22" fillId="2" borderId="18" xfId="1" applyFont="1" applyFill="1" applyBorder="1" applyAlignment="1">
      <alignment horizontal="justify" vertical="center" wrapText="1"/>
    </xf>
    <xf numFmtId="0" fontId="22" fillId="2" borderId="19" xfId="1" applyFont="1" applyFill="1" applyBorder="1" applyAlignment="1">
      <alignment horizontal="justify" vertical="center" wrapText="1"/>
    </xf>
    <xf numFmtId="0" fontId="22" fillId="2" borderId="20" xfId="1" applyFont="1" applyFill="1" applyBorder="1" applyAlignment="1">
      <alignment horizontal="justify" vertical="center" wrapText="1"/>
    </xf>
    <xf numFmtId="0" fontId="27" fillId="2" borderId="0" xfId="1" applyFont="1" applyFill="1" applyAlignment="1">
      <alignment vertical="center" wrapText="1"/>
    </xf>
    <xf numFmtId="0" fontId="24" fillId="2" borderId="0" xfId="1" applyFont="1" applyFill="1" applyAlignment="1">
      <alignment horizontal="center"/>
    </xf>
    <xf numFmtId="0" fontId="28" fillId="2" borderId="0" xfId="1" applyFont="1" applyFill="1"/>
    <xf numFmtId="0" fontId="29" fillId="2" borderId="0" xfId="1" applyFont="1" applyFill="1"/>
    <xf numFmtId="2" fontId="25" fillId="3" borderId="0" xfId="1" applyNumberFormat="1" applyFont="1" applyFill="1" applyAlignment="1" applyProtection="1">
      <alignment horizontal="center"/>
      <protection locked="0"/>
    </xf>
    <xf numFmtId="0" fontId="22" fillId="2" borderId="18" xfId="1" applyFont="1" applyFill="1" applyBorder="1" applyAlignment="1">
      <alignment horizontal="left" vertical="center" wrapText="1"/>
    </xf>
    <xf numFmtId="0" fontId="22" fillId="2" borderId="19" xfId="1" applyFont="1" applyFill="1" applyBorder="1" applyAlignment="1">
      <alignment horizontal="left" vertical="center" wrapText="1"/>
    </xf>
    <xf numFmtId="0" fontId="22" fillId="2" borderId="20" xfId="1" applyFont="1" applyFill="1" applyBorder="1" applyAlignment="1">
      <alignment horizontal="left" vertical="center" wrapText="1"/>
    </xf>
    <xf numFmtId="0" fontId="24" fillId="2" borderId="0" xfId="1" applyFont="1" applyFill="1" applyAlignment="1">
      <alignment vertical="center" wrapText="1"/>
    </xf>
    <xf numFmtId="0" fontId="30" fillId="2" borderId="0" xfId="1" applyFont="1" applyFill="1"/>
    <xf numFmtId="2" fontId="24" fillId="2" borderId="0" xfId="1" applyNumberFormat="1" applyFont="1" applyFill="1" applyAlignment="1">
      <alignment horizontal="center"/>
    </xf>
    <xf numFmtId="0" fontId="22" fillId="2" borderId="0" xfId="1" applyFont="1" applyFill="1" applyAlignment="1">
      <alignment horizontal="left" vertical="center" wrapText="1"/>
    </xf>
    <xf numFmtId="170" fontId="24" fillId="2" borderId="0" xfId="1" applyNumberFormat="1" applyFont="1" applyFill="1" applyAlignment="1">
      <alignment horizontal="center"/>
    </xf>
    <xf numFmtId="0" fontId="21" fillId="2" borderId="21" xfId="1" applyFont="1" applyFill="1" applyBorder="1" applyAlignment="1">
      <alignment horizontal="right"/>
    </xf>
    <xf numFmtId="0" fontId="25" fillId="3" borderId="22" xfId="1" applyFont="1" applyFill="1" applyBorder="1" applyAlignment="1" applyProtection="1">
      <alignment horizontal="center"/>
      <protection locked="0"/>
    </xf>
    <xf numFmtId="0" fontId="24" fillId="2" borderId="47" xfId="1" applyFont="1" applyFill="1" applyBorder="1" applyAlignment="1">
      <alignment horizontal="center"/>
    </xf>
    <xf numFmtId="0" fontId="24" fillId="2" borderId="40" xfId="1" applyFont="1" applyFill="1" applyBorder="1" applyAlignment="1">
      <alignment horizontal="center"/>
    </xf>
    <xf numFmtId="0" fontId="24" fillId="2" borderId="58" xfId="1" applyFont="1" applyFill="1" applyBorder="1" applyAlignment="1">
      <alignment horizontal="center"/>
    </xf>
    <xf numFmtId="0" fontId="21" fillId="2" borderId="23" xfId="1" applyFont="1" applyFill="1" applyBorder="1" applyAlignment="1">
      <alignment horizontal="right"/>
    </xf>
    <xf numFmtId="0" fontId="25" fillId="3" borderId="24" xfId="1" applyFont="1" applyFill="1" applyBorder="1" applyAlignment="1" applyProtection="1">
      <alignment horizontal="center"/>
      <protection locked="0"/>
    </xf>
    <xf numFmtId="0" fontId="24" fillId="2" borderId="22" xfId="1" applyFont="1" applyFill="1" applyBorder="1" applyAlignment="1">
      <alignment horizontal="center"/>
    </xf>
    <xf numFmtId="0" fontId="24" fillId="2" borderId="25" xfId="1" applyFont="1" applyFill="1" applyBorder="1" applyAlignment="1">
      <alignment horizontal="center"/>
    </xf>
    <xf numFmtId="0" fontId="24" fillId="2" borderId="26" xfId="1" applyFont="1" applyFill="1" applyBorder="1" applyAlignment="1">
      <alignment horizontal="center"/>
    </xf>
    <xf numFmtId="0" fontId="24" fillId="2" borderId="27" xfId="1" applyFont="1" applyFill="1" applyBorder="1" applyAlignment="1">
      <alignment horizontal="center"/>
    </xf>
    <xf numFmtId="0" fontId="24" fillId="2" borderId="12" xfId="1" applyFont="1" applyFill="1" applyBorder="1" applyAlignment="1">
      <alignment horizontal="center"/>
    </xf>
    <xf numFmtId="0" fontId="21" fillId="2" borderId="28" xfId="1" applyFont="1" applyFill="1" applyBorder="1" applyAlignment="1">
      <alignment horizontal="center"/>
    </xf>
    <xf numFmtId="0" fontId="25" fillId="3" borderId="29" xfId="1" applyFont="1" applyFill="1" applyBorder="1" applyAlignment="1" applyProtection="1">
      <alignment horizontal="center"/>
      <protection locked="0"/>
    </xf>
    <xf numFmtId="171" fontId="21" fillId="2" borderId="26" xfId="1" applyNumberFormat="1" applyFont="1" applyFill="1" applyBorder="1" applyAlignment="1">
      <alignment horizontal="center"/>
    </xf>
    <xf numFmtId="171" fontId="21" fillId="2" borderId="30" xfId="1" applyNumberFormat="1" applyFont="1" applyFill="1" applyBorder="1" applyAlignment="1">
      <alignment horizontal="center"/>
    </xf>
    <xf numFmtId="0" fontId="30" fillId="2" borderId="13" xfId="1" applyFont="1" applyFill="1" applyBorder="1"/>
    <xf numFmtId="0" fontId="21" fillId="2" borderId="24" xfId="1" applyFont="1" applyFill="1" applyBorder="1" applyAlignment="1">
      <alignment horizontal="center"/>
    </xf>
    <xf numFmtId="0" fontId="25" fillId="3" borderId="23" xfId="1" applyFont="1" applyFill="1" applyBorder="1" applyAlignment="1" applyProtection="1">
      <alignment horizontal="center"/>
      <protection locked="0"/>
    </xf>
    <xf numFmtId="171" fontId="21" fillId="2" borderId="31" xfId="1" applyNumberFormat="1" applyFont="1" applyFill="1" applyBorder="1" applyAlignment="1">
      <alignment horizontal="center"/>
    </xf>
    <xf numFmtId="171" fontId="21" fillId="2" borderId="32" xfId="1" applyNumberFormat="1" applyFont="1" applyFill="1" applyBorder="1" applyAlignment="1">
      <alignment horizontal="center"/>
    </xf>
    <xf numFmtId="10" fontId="27" fillId="2" borderId="14" xfId="1" applyNumberFormat="1" applyFont="1" applyFill="1" applyBorder="1" applyAlignment="1">
      <alignment horizontal="center" vertical="center"/>
    </xf>
    <xf numFmtId="0" fontId="21" fillId="2" borderId="33" xfId="1" applyFont="1" applyFill="1" applyBorder="1" applyAlignment="1">
      <alignment horizontal="center"/>
    </xf>
    <xf numFmtId="0" fontId="25" fillId="3" borderId="34" xfId="1" applyFont="1" applyFill="1" applyBorder="1" applyAlignment="1" applyProtection="1">
      <alignment horizontal="center"/>
      <protection locked="0"/>
    </xf>
    <xf numFmtId="171" fontId="21" fillId="2" borderId="35" xfId="1" applyNumberFormat="1" applyFont="1" applyFill="1" applyBorder="1" applyAlignment="1">
      <alignment horizontal="center"/>
    </xf>
    <xf numFmtId="171" fontId="21" fillId="2" borderId="36" xfId="1" applyNumberFormat="1" applyFont="1" applyFill="1" applyBorder="1" applyAlignment="1">
      <alignment horizontal="center"/>
    </xf>
    <xf numFmtId="0" fontId="21" fillId="2" borderId="15" xfId="1" applyFont="1" applyFill="1" applyBorder="1"/>
    <xf numFmtId="0" fontId="21" fillId="2" borderId="24" xfId="1" applyFont="1" applyFill="1" applyBorder="1" applyAlignment="1">
      <alignment horizontal="right"/>
    </xf>
    <xf numFmtId="1" fontId="24" fillId="6" borderId="37" xfId="1" applyNumberFormat="1" applyFont="1" applyFill="1" applyBorder="1" applyAlignment="1">
      <alignment horizontal="center"/>
    </xf>
    <xf numFmtId="171" fontId="24" fillId="6" borderId="38" xfId="1" applyNumberFormat="1" applyFont="1" applyFill="1" applyBorder="1" applyAlignment="1">
      <alignment horizontal="center"/>
    </xf>
    <xf numFmtId="171" fontId="24" fillId="6" borderId="39" xfId="1" applyNumberFormat="1" applyFont="1" applyFill="1" applyBorder="1" applyAlignment="1">
      <alignment horizontal="center"/>
    </xf>
    <xf numFmtId="0" fontId="13" fillId="2" borderId="0" xfId="1" applyFont="1" applyFill="1" applyAlignment="1">
      <alignment horizontal="center"/>
    </xf>
    <xf numFmtId="0" fontId="21" fillId="2" borderId="40" xfId="1" applyFont="1" applyFill="1" applyBorder="1" applyAlignment="1">
      <alignment horizontal="right"/>
    </xf>
    <xf numFmtId="0" fontId="25" fillId="3" borderId="16" xfId="1" applyFont="1" applyFill="1" applyBorder="1" applyAlignment="1" applyProtection="1">
      <alignment horizontal="center"/>
      <protection locked="0"/>
    </xf>
    <xf numFmtId="0" fontId="21" fillId="2" borderId="11" xfId="1" applyFont="1" applyFill="1" applyBorder="1" applyAlignment="1">
      <alignment horizontal="right"/>
    </xf>
    <xf numFmtId="2" fontId="21" fillId="6" borderId="41" xfId="1" applyNumberFormat="1" applyFont="1" applyFill="1" applyBorder="1" applyAlignment="1">
      <alignment horizontal="center"/>
    </xf>
    <xf numFmtId="0" fontId="21" fillId="2" borderId="0" xfId="1" applyFont="1" applyFill="1" applyAlignment="1">
      <alignment horizontal="center"/>
    </xf>
    <xf numFmtId="2" fontId="21" fillId="7" borderId="41" xfId="1" applyNumberFormat="1" applyFont="1" applyFill="1" applyBorder="1" applyAlignment="1">
      <alignment horizontal="center"/>
    </xf>
    <xf numFmtId="2" fontId="21" fillId="2" borderId="0" xfId="1" applyNumberFormat="1" applyFont="1" applyFill="1" applyAlignment="1">
      <alignment horizontal="center"/>
    </xf>
    <xf numFmtId="0" fontId="22" fillId="2" borderId="21" xfId="1" applyFont="1" applyFill="1" applyBorder="1" applyAlignment="1">
      <alignment horizontal="left" vertical="center" wrapText="1"/>
    </xf>
    <xf numFmtId="0" fontId="22" fillId="2" borderId="22" xfId="1" applyFont="1" applyFill="1" applyBorder="1" applyAlignment="1">
      <alignment horizontal="left" vertical="center" wrapText="1"/>
    </xf>
    <xf numFmtId="166" fontId="21" fillId="6" borderId="41" xfId="1" applyNumberFormat="1" applyFont="1" applyFill="1" applyBorder="1" applyAlignment="1">
      <alignment horizontal="center"/>
    </xf>
    <xf numFmtId="166" fontId="21" fillId="2" borderId="0" xfId="1" applyNumberFormat="1" applyFont="1" applyFill="1" applyAlignment="1">
      <alignment horizontal="center"/>
    </xf>
    <xf numFmtId="166" fontId="21" fillId="6" borderId="17" xfId="1" applyNumberFormat="1" applyFont="1" applyFill="1" applyBorder="1" applyAlignment="1">
      <alignment horizontal="center"/>
    </xf>
    <xf numFmtId="0" fontId="22" fillId="2" borderId="43" xfId="1" applyFont="1" applyFill="1" applyBorder="1" applyAlignment="1">
      <alignment horizontal="left" vertical="center" wrapText="1"/>
    </xf>
    <xf numFmtId="0" fontId="22" fillId="2" borderId="44" xfId="1" applyFont="1" applyFill="1" applyBorder="1" applyAlignment="1">
      <alignment horizontal="left" vertical="center" wrapText="1"/>
    </xf>
    <xf numFmtId="0" fontId="21" fillId="2" borderId="42" xfId="1" applyFont="1" applyFill="1" applyBorder="1" applyAlignment="1">
      <alignment horizontal="right"/>
    </xf>
    <xf numFmtId="166" fontId="25" fillId="3" borderId="41" xfId="1" applyNumberFormat="1" applyFont="1" applyFill="1" applyBorder="1" applyAlignment="1" applyProtection="1">
      <alignment horizontal="center"/>
      <protection locked="0"/>
    </xf>
    <xf numFmtId="166" fontId="21" fillId="2" borderId="0" xfId="1" applyNumberFormat="1" applyFont="1" applyFill="1"/>
    <xf numFmtId="0" fontId="21" fillId="2" borderId="29" xfId="1" applyFont="1" applyFill="1" applyBorder="1" applyAlignment="1">
      <alignment horizontal="right"/>
    </xf>
    <xf numFmtId="1" fontId="21" fillId="2" borderId="0" xfId="1" applyNumberFormat="1" applyFont="1" applyFill="1" applyAlignment="1">
      <alignment horizontal="center"/>
    </xf>
    <xf numFmtId="0" fontId="21" fillId="2" borderId="15" xfId="1" applyFont="1" applyFill="1" applyBorder="1" applyAlignment="1">
      <alignment horizontal="right"/>
    </xf>
    <xf numFmtId="2" fontId="21" fillId="6" borderId="15" xfId="1" applyNumberFormat="1" applyFont="1" applyFill="1" applyBorder="1" applyAlignment="1">
      <alignment horizontal="center"/>
    </xf>
    <xf numFmtId="171" fontId="24" fillId="7" borderId="13" xfId="1" applyNumberFormat="1" applyFont="1" applyFill="1" applyBorder="1" applyAlignment="1">
      <alignment horizontal="center"/>
    </xf>
    <xf numFmtId="171" fontId="21" fillId="2" borderId="0" xfId="1" applyNumberFormat="1" applyFont="1" applyFill="1" applyAlignment="1">
      <alignment horizontal="center"/>
    </xf>
    <xf numFmtId="10" fontId="21" fillId="6" borderId="41" xfId="1" applyNumberFormat="1" applyFont="1" applyFill="1" applyBorder="1" applyAlignment="1">
      <alignment horizontal="center"/>
    </xf>
    <xf numFmtId="0" fontId="21" fillId="2" borderId="43" xfId="1" applyFont="1" applyFill="1" applyBorder="1" applyAlignment="1">
      <alignment horizontal="right"/>
    </xf>
    <xf numFmtId="0" fontId="21" fillId="7" borderId="15" xfId="1" applyFont="1" applyFill="1" applyBorder="1" applyAlignment="1">
      <alignment horizontal="center"/>
    </xf>
    <xf numFmtId="0" fontId="14" fillId="2" borderId="0" xfId="1" applyFont="1" applyFill="1"/>
    <xf numFmtId="0" fontId="24" fillId="2" borderId="0" xfId="1" applyFont="1" applyFill="1" applyAlignment="1">
      <alignment horizontal="left"/>
    </xf>
    <xf numFmtId="0" fontId="21" fillId="2" borderId="0" xfId="1" applyFont="1" applyFill="1" applyAlignment="1">
      <alignment horizontal="left"/>
    </xf>
    <xf numFmtId="172" fontId="25" fillId="3" borderId="0" xfId="1" applyNumberFormat="1" applyFont="1" applyFill="1" applyAlignment="1" applyProtection="1">
      <alignment horizontal="center"/>
      <protection locked="0"/>
    </xf>
    <xf numFmtId="166" fontId="24" fillId="2" borderId="0" xfId="1" applyNumberFormat="1" applyFont="1" applyFill="1" applyAlignment="1" applyProtection="1">
      <alignment horizontal="center"/>
      <protection locked="0"/>
    </xf>
    <xf numFmtId="2" fontId="24" fillId="2" borderId="13" xfId="1" applyNumberFormat="1" applyFont="1" applyFill="1" applyBorder="1" applyAlignment="1">
      <alignment horizontal="center"/>
    </xf>
    <xf numFmtId="0" fontId="24" fillId="2" borderId="13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 vertical="center"/>
    </xf>
    <xf numFmtId="2" fontId="25" fillId="3" borderId="13" xfId="1" applyNumberFormat="1" applyFont="1" applyFill="1" applyBorder="1" applyAlignment="1" applyProtection="1">
      <alignment horizontal="center" vertical="center"/>
      <protection locked="0"/>
    </xf>
    <xf numFmtId="0" fontId="21" fillId="2" borderId="13" xfId="1" applyFont="1" applyFill="1" applyBorder="1" applyAlignment="1">
      <alignment horizontal="center"/>
    </xf>
    <xf numFmtId="0" fontId="25" fillId="3" borderId="21" xfId="1" applyFont="1" applyFill="1" applyBorder="1" applyAlignment="1" applyProtection="1">
      <alignment horizontal="center"/>
      <protection locked="0"/>
    </xf>
    <xf numFmtId="166" fontId="21" fillId="2" borderId="21" xfId="1" applyNumberFormat="1" applyFont="1" applyFill="1" applyBorder="1" applyAlignment="1">
      <alignment horizontal="center"/>
    </xf>
    <xf numFmtId="10" fontId="21" fillId="2" borderId="13" xfId="1" applyNumberFormat="1" applyFont="1" applyFill="1" applyBorder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2" fontId="25" fillId="3" borderId="14" xfId="1" applyNumberFormat="1" applyFont="1" applyFill="1" applyBorder="1" applyAlignment="1" applyProtection="1">
      <alignment horizontal="center" vertical="center"/>
      <protection locked="0"/>
    </xf>
    <xf numFmtId="0" fontId="21" fillId="2" borderId="14" xfId="1" applyFont="1" applyFill="1" applyBorder="1" applyAlignment="1">
      <alignment horizontal="center"/>
    </xf>
    <xf numFmtId="166" fontId="21" fillId="2" borderId="23" xfId="1" applyNumberFormat="1" applyFont="1" applyFill="1" applyBorder="1" applyAlignment="1">
      <alignment horizontal="center"/>
    </xf>
    <xf numFmtId="10" fontId="21" fillId="2" borderId="14" xfId="1" applyNumberFormat="1" applyFont="1" applyFill="1" applyBorder="1" applyAlignment="1">
      <alignment horizontal="center" vertical="center"/>
    </xf>
    <xf numFmtId="1" fontId="25" fillId="3" borderId="23" xfId="1" applyNumberFormat="1" applyFont="1" applyFill="1" applyBorder="1" applyAlignment="1" applyProtection="1">
      <alignment horizontal="center"/>
      <protection locked="0"/>
    </xf>
    <xf numFmtId="0" fontId="24" fillId="2" borderId="9" xfId="1" applyFont="1" applyFill="1" applyBorder="1" applyAlignment="1">
      <alignment horizontal="center" vertical="center"/>
    </xf>
    <xf numFmtId="2" fontId="25" fillId="3" borderId="15" xfId="1" applyNumberFormat="1" applyFont="1" applyFill="1" applyBorder="1" applyAlignment="1" applyProtection="1">
      <alignment horizontal="center" vertical="center"/>
      <protection locked="0"/>
    </xf>
    <xf numFmtId="0" fontId="21" fillId="2" borderId="15" xfId="1" applyFont="1" applyFill="1" applyBorder="1" applyAlignment="1">
      <alignment horizontal="center"/>
    </xf>
    <xf numFmtId="0" fontId="25" fillId="3" borderId="43" xfId="1" applyFont="1" applyFill="1" applyBorder="1" applyAlignment="1" applyProtection="1">
      <alignment horizontal="center"/>
      <protection locked="0"/>
    </xf>
    <xf numFmtId="166" fontId="21" fillId="2" borderId="13" xfId="1" applyNumberFormat="1" applyFont="1" applyFill="1" applyBorder="1" applyAlignment="1">
      <alignment horizontal="center"/>
    </xf>
    <xf numFmtId="10" fontId="21" fillId="2" borderId="22" xfId="1" applyNumberFormat="1" applyFont="1" applyFill="1" applyBorder="1" applyAlignment="1">
      <alignment horizontal="center" vertical="center"/>
    </xf>
    <xf numFmtId="166" fontId="21" fillId="2" borderId="14" xfId="1" applyNumberFormat="1" applyFont="1" applyFill="1" applyBorder="1" applyAlignment="1">
      <alignment horizontal="center"/>
    </xf>
    <xf numFmtId="10" fontId="21" fillId="2" borderId="24" xfId="1" applyNumberFormat="1" applyFont="1" applyFill="1" applyBorder="1" applyAlignment="1">
      <alignment horizontal="center" vertical="center"/>
    </xf>
    <xf numFmtId="166" fontId="21" fillId="2" borderId="15" xfId="1" applyNumberFormat="1" applyFont="1" applyFill="1" applyBorder="1" applyAlignment="1">
      <alignment horizontal="center"/>
    </xf>
    <xf numFmtId="10" fontId="21" fillId="2" borderId="44" xfId="1" applyNumberFormat="1" applyFont="1" applyFill="1" applyBorder="1" applyAlignment="1">
      <alignment horizontal="center" vertical="center"/>
    </xf>
    <xf numFmtId="0" fontId="26" fillId="2" borderId="24" xfId="1" applyFont="1" applyFill="1" applyBorder="1" applyAlignment="1">
      <alignment horizontal="center"/>
    </xf>
    <xf numFmtId="2" fontId="26" fillId="2" borderId="44" xfId="1" applyNumberFormat="1" applyFont="1" applyFill="1" applyBorder="1" applyAlignment="1">
      <alignment horizontal="center"/>
    </xf>
    <xf numFmtId="0" fontId="22" fillId="2" borderId="21" xfId="1" applyFont="1" applyFill="1" applyBorder="1" applyAlignment="1">
      <alignment horizontal="center" vertical="center" wrapText="1"/>
    </xf>
    <xf numFmtId="0" fontId="22" fillId="2" borderId="22" xfId="1" applyFont="1" applyFill="1" applyBorder="1" applyAlignment="1">
      <alignment horizontal="center" vertical="center" wrapText="1"/>
    </xf>
    <xf numFmtId="0" fontId="22" fillId="2" borderId="43" xfId="1" applyFont="1" applyFill="1" applyBorder="1" applyAlignment="1">
      <alignment horizontal="center" vertical="center" wrapText="1"/>
    </xf>
    <xf numFmtId="0" fontId="22" fillId="2" borderId="44" xfId="1" applyFont="1" applyFill="1" applyBorder="1" applyAlignment="1">
      <alignment horizontal="center" vertical="center" wrapText="1"/>
    </xf>
    <xf numFmtId="0" fontId="24" fillId="2" borderId="43" xfId="1" applyFont="1" applyFill="1" applyBorder="1" applyAlignment="1">
      <alignment horizontal="center" vertical="center"/>
    </xf>
    <xf numFmtId="10" fontId="21" fillId="2" borderId="15" xfId="1" applyNumberFormat="1" applyFont="1" applyFill="1" applyBorder="1" applyAlignment="1">
      <alignment horizontal="center" vertical="center"/>
    </xf>
    <xf numFmtId="0" fontId="21" fillId="2" borderId="45" xfId="1" applyFont="1" applyFill="1" applyBorder="1" applyAlignment="1">
      <alignment horizontal="right"/>
    </xf>
    <xf numFmtId="2" fontId="25" fillId="7" borderId="33" xfId="1" applyNumberFormat="1" applyFont="1" applyFill="1" applyBorder="1" applyAlignment="1">
      <alignment horizontal="center"/>
    </xf>
    <xf numFmtId="10" fontId="25" fillId="7" borderId="33" xfId="1" applyNumberFormat="1" applyFont="1" applyFill="1" applyBorder="1" applyAlignment="1">
      <alignment horizontal="center"/>
    </xf>
    <xf numFmtId="0" fontId="21" fillId="2" borderId="41" xfId="1" applyFont="1" applyFill="1" applyBorder="1" applyAlignment="1">
      <alignment horizontal="right"/>
    </xf>
    <xf numFmtId="10" fontId="25" fillId="6" borderId="57" xfId="1" applyNumberFormat="1" applyFont="1" applyFill="1" applyBorder="1" applyAlignment="1">
      <alignment horizontal="center"/>
    </xf>
    <xf numFmtId="0" fontId="21" fillId="2" borderId="17" xfId="1" applyFont="1" applyFill="1" applyBorder="1" applyAlignment="1">
      <alignment horizontal="right"/>
    </xf>
    <xf numFmtId="0" fontId="25" fillId="7" borderId="46" xfId="1" applyFont="1" applyFill="1" applyBorder="1" applyAlignment="1">
      <alignment horizontal="center"/>
    </xf>
    <xf numFmtId="0" fontId="24" fillId="2" borderId="0" xfId="1" applyFont="1" applyFill="1" applyAlignment="1">
      <alignment horizontal="center"/>
    </xf>
    <xf numFmtId="165" fontId="25" fillId="2" borderId="0" xfId="1" applyNumberFormat="1" applyFont="1" applyFill="1" applyAlignment="1">
      <alignment horizontal="center"/>
    </xf>
    <xf numFmtId="0" fontId="25" fillId="3" borderId="0" xfId="1" applyFont="1" applyFill="1" applyAlignment="1" applyProtection="1">
      <alignment horizontal="left"/>
      <protection locked="0"/>
    </xf>
    <xf numFmtId="0" fontId="24" fillId="2" borderId="47" xfId="1" applyFont="1" applyFill="1" applyBorder="1" applyAlignment="1">
      <alignment horizontal="center"/>
    </xf>
    <xf numFmtId="0" fontId="24" fillId="2" borderId="40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/>
    </xf>
    <xf numFmtId="0" fontId="24" fillId="2" borderId="30" xfId="1" applyFont="1" applyFill="1" applyBorder="1" applyAlignment="1">
      <alignment horizontal="center"/>
    </xf>
    <xf numFmtId="0" fontId="21" fillId="2" borderId="48" xfId="1" applyFont="1" applyFill="1" applyBorder="1" applyAlignment="1">
      <alignment horizontal="center"/>
    </xf>
    <xf numFmtId="0" fontId="21" fillId="2" borderId="7" xfId="1" applyFont="1" applyFill="1" applyBorder="1" applyAlignment="1">
      <alignment horizontal="center"/>
    </xf>
    <xf numFmtId="1" fontId="24" fillId="6" borderId="49" xfId="1" applyNumberFormat="1" applyFont="1" applyFill="1" applyBorder="1" applyAlignment="1">
      <alignment horizontal="center"/>
    </xf>
    <xf numFmtId="1" fontId="24" fillId="6" borderId="50" xfId="1" applyNumberFormat="1" applyFont="1" applyFill="1" applyBorder="1" applyAlignment="1">
      <alignment horizontal="center"/>
    </xf>
    <xf numFmtId="171" fontId="24" fillId="6" borderId="15" xfId="1" applyNumberFormat="1" applyFont="1" applyFill="1" applyBorder="1" applyAlignment="1">
      <alignment horizontal="center"/>
    </xf>
    <xf numFmtId="0" fontId="21" fillId="2" borderId="51" xfId="1" applyFont="1" applyFill="1" applyBorder="1" applyAlignment="1">
      <alignment horizontal="right"/>
    </xf>
    <xf numFmtId="0" fontId="25" fillId="3" borderId="52" xfId="1" applyFont="1" applyFill="1" applyBorder="1" applyAlignment="1" applyProtection="1">
      <alignment horizontal="center"/>
      <protection locked="0"/>
    </xf>
    <xf numFmtId="0" fontId="21" fillId="2" borderId="25" xfId="1" applyFont="1" applyFill="1" applyBorder="1" applyAlignment="1">
      <alignment horizontal="right"/>
    </xf>
    <xf numFmtId="2" fontId="21" fillId="6" borderId="27" xfId="1" applyNumberFormat="1" applyFont="1" applyFill="1" applyBorder="1" applyAlignment="1">
      <alignment horizontal="center"/>
    </xf>
    <xf numFmtId="2" fontId="21" fillId="7" borderId="27" xfId="1" applyNumberFormat="1" applyFont="1" applyFill="1" applyBorder="1" applyAlignment="1">
      <alignment horizontal="center"/>
    </xf>
    <xf numFmtId="0" fontId="22" fillId="2" borderId="10" xfId="1" applyFont="1" applyFill="1" applyBorder="1" applyAlignment="1">
      <alignment horizontal="left" vertical="center" wrapText="1"/>
    </xf>
    <xf numFmtId="166" fontId="21" fillId="6" borderId="27" xfId="1" applyNumberFormat="1" applyFont="1" applyFill="1" applyBorder="1" applyAlignment="1">
      <alignment horizontal="center"/>
    </xf>
    <xf numFmtId="0" fontId="22" fillId="2" borderId="9" xfId="1" applyFont="1" applyFill="1" applyBorder="1" applyAlignment="1">
      <alignment horizontal="left" vertical="center" wrapText="1"/>
    </xf>
    <xf numFmtId="166" fontId="21" fillId="7" borderId="27" xfId="1" applyNumberFormat="1" applyFont="1" applyFill="1" applyBorder="1" applyAlignment="1">
      <alignment horizontal="center"/>
    </xf>
    <xf numFmtId="2" fontId="13" fillId="2" borderId="0" xfId="1" applyNumberFormat="1" applyFont="1" applyFill="1" applyAlignment="1">
      <alignment horizontal="center"/>
    </xf>
    <xf numFmtId="0" fontId="21" fillId="2" borderId="53" xfId="1" applyFont="1" applyFill="1" applyBorder="1" applyAlignment="1">
      <alignment horizontal="right"/>
    </xf>
    <xf numFmtId="2" fontId="21" fillId="7" borderId="30" xfId="1" applyNumberFormat="1" applyFont="1" applyFill="1" applyBorder="1" applyAlignment="1">
      <alignment horizontal="center"/>
    </xf>
    <xf numFmtId="0" fontId="24" fillId="2" borderId="0" xfId="1" applyFont="1" applyFill="1" applyAlignment="1">
      <alignment horizontal="center" wrapText="1"/>
    </xf>
    <xf numFmtId="0" fontId="21" fillId="2" borderId="16" xfId="1" applyFont="1" applyFill="1" applyBorder="1" applyAlignment="1">
      <alignment horizontal="right"/>
    </xf>
    <xf numFmtId="171" fontId="24" fillId="7" borderId="16" xfId="1" applyNumberFormat="1" applyFont="1" applyFill="1" applyBorder="1" applyAlignment="1">
      <alignment horizontal="center"/>
    </xf>
    <xf numFmtId="10" fontId="21" fillId="2" borderId="0" xfId="1" applyNumberFormat="1" applyFont="1" applyFill="1" applyAlignment="1">
      <alignment horizontal="center"/>
    </xf>
    <xf numFmtId="10" fontId="24" fillId="6" borderId="41" xfId="1" applyNumberFormat="1" applyFont="1" applyFill="1" applyBorder="1" applyAlignment="1">
      <alignment horizontal="center"/>
    </xf>
    <xf numFmtId="0" fontId="24" fillId="7" borderId="17" xfId="1" applyFont="1" applyFill="1" applyBorder="1" applyAlignment="1">
      <alignment horizontal="center"/>
    </xf>
    <xf numFmtId="0" fontId="24" fillId="2" borderId="54" xfId="1" applyFont="1" applyFill="1" applyBorder="1" applyAlignment="1">
      <alignment horizontal="center"/>
    </xf>
    <xf numFmtId="0" fontId="24" fillId="2" borderId="55" xfId="1" applyFont="1" applyFill="1" applyBorder="1" applyAlignment="1">
      <alignment horizontal="center"/>
    </xf>
    <xf numFmtId="0" fontId="24" fillId="2" borderId="22" xfId="1" applyFont="1" applyFill="1" applyBorder="1" applyAlignment="1">
      <alignment horizontal="center" wrapText="1"/>
    </xf>
    <xf numFmtId="0" fontId="21" fillId="2" borderId="23" xfId="1" applyFont="1" applyFill="1" applyBorder="1" applyAlignment="1">
      <alignment horizontal="center"/>
    </xf>
    <xf numFmtId="1" fontId="25" fillId="3" borderId="31" xfId="1" applyNumberFormat="1" applyFont="1" applyFill="1" applyBorder="1" applyAlignment="1" applyProtection="1">
      <alignment horizontal="center"/>
      <protection locked="0"/>
    </xf>
    <xf numFmtId="166" fontId="21" fillId="2" borderId="26" xfId="1" applyNumberFormat="1" applyFont="1" applyFill="1" applyBorder="1" applyAlignment="1">
      <alignment horizontal="center"/>
    </xf>
    <xf numFmtId="10" fontId="21" fillId="2" borderId="30" xfId="1" applyNumberFormat="1" applyFont="1" applyFill="1" applyBorder="1" applyAlignment="1">
      <alignment horizontal="center"/>
    </xf>
    <xf numFmtId="166" fontId="21" fillId="2" borderId="31" xfId="1" applyNumberFormat="1" applyFont="1" applyFill="1" applyBorder="1" applyAlignment="1">
      <alignment horizontal="center"/>
    </xf>
    <xf numFmtId="10" fontId="21" fillId="2" borderId="32" xfId="1" applyNumberFormat="1" applyFont="1" applyFill="1" applyBorder="1" applyAlignment="1">
      <alignment horizontal="center"/>
    </xf>
    <xf numFmtId="0" fontId="21" fillId="2" borderId="34" xfId="1" applyFont="1" applyFill="1" applyBorder="1" applyAlignment="1">
      <alignment horizontal="center"/>
    </xf>
    <xf numFmtId="1" fontId="25" fillId="3" borderId="35" xfId="1" applyNumberFormat="1" applyFont="1" applyFill="1" applyBorder="1" applyAlignment="1" applyProtection="1">
      <alignment horizontal="center"/>
      <protection locked="0"/>
    </xf>
    <xf numFmtId="166" fontId="21" fillId="2" borderId="35" xfId="1" applyNumberFormat="1" applyFont="1" applyFill="1" applyBorder="1" applyAlignment="1">
      <alignment horizontal="center"/>
    </xf>
    <xf numFmtId="10" fontId="21" fillId="2" borderId="36" xfId="1" applyNumberFormat="1" applyFont="1" applyFill="1" applyBorder="1" applyAlignment="1">
      <alignment horizontal="center"/>
    </xf>
    <xf numFmtId="2" fontId="21" fillId="2" borderId="24" xfId="1" applyNumberFormat="1" applyFont="1" applyFill="1" applyBorder="1" applyAlignment="1">
      <alignment horizontal="center"/>
    </xf>
    <xf numFmtId="171" fontId="21" fillId="2" borderId="2" xfId="1" applyNumberFormat="1" applyFont="1" applyFill="1" applyBorder="1" applyAlignment="1">
      <alignment horizontal="right"/>
    </xf>
    <xf numFmtId="2" fontId="25" fillId="7" borderId="27" xfId="1" applyNumberFormat="1" applyFont="1" applyFill="1" applyBorder="1" applyAlignment="1">
      <alignment horizontal="center"/>
    </xf>
    <xf numFmtId="10" fontId="25" fillId="7" borderId="27" xfId="1" applyNumberFormat="1" applyFont="1" applyFill="1" applyBorder="1" applyAlignment="1">
      <alignment horizontal="center"/>
    </xf>
    <xf numFmtId="0" fontId="21" fillId="2" borderId="23" xfId="1" applyFont="1" applyFill="1" applyBorder="1"/>
    <xf numFmtId="10" fontId="25" fillId="6" borderId="27" xfId="1" applyNumberFormat="1" applyFont="1" applyFill="1" applyBorder="1" applyAlignment="1">
      <alignment horizontal="center"/>
    </xf>
    <xf numFmtId="0" fontId="21" fillId="2" borderId="43" xfId="1" applyFont="1" applyFill="1" applyBorder="1"/>
    <xf numFmtId="0" fontId="21" fillId="2" borderId="56" xfId="1" applyFont="1" applyFill="1" applyBorder="1" applyAlignment="1">
      <alignment horizontal="right"/>
    </xf>
    <xf numFmtId="0" fontId="25" fillId="7" borderId="17" xfId="1" applyFont="1" applyFill="1" applyBorder="1" applyAlignment="1">
      <alignment horizontal="center"/>
    </xf>
    <xf numFmtId="0" fontId="22" fillId="2" borderId="0" xfId="1" applyFont="1" applyFill="1" applyAlignment="1">
      <alignment horizontal="right" vertical="center" wrapText="1"/>
    </xf>
    <xf numFmtId="0" fontId="22" fillId="2" borderId="9" xfId="1" applyFont="1" applyFill="1" applyBorder="1" applyAlignment="1">
      <alignment horizontal="left" vertical="center" wrapText="1"/>
    </xf>
    <xf numFmtId="0" fontId="21" fillId="2" borderId="9" xfId="1" applyFont="1" applyFill="1" applyBorder="1"/>
    <xf numFmtId="0" fontId="24" fillId="2" borderId="10" xfId="1" applyFont="1" applyFill="1" applyBorder="1" applyAlignment="1">
      <alignment horizontal="center"/>
    </xf>
    <xf numFmtId="0" fontId="21" fillId="2" borderId="10" xfId="1" applyFont="1" applyFill="1" applyBorder="1" applyAlignment="1">
      <alignment horizontal="center"/>
    </xf>
    <xf numFmtId="0" fontId="21" fillId="2" borderId="7" xfId="1" applyFont="1" applyFill="1" applyBorder="1"/>
    <xf numFmtId="0" fontId="24" fillId="2" borderId="11" xfId="1" applyFont="1" applyFill="1" applyBorder="1"/>
    <xf numFmtId="0" fontId="21" fillId="2" borderId="11" xfId="1" applyFont="1" applyFill="1" applyBorder="1"/>
    <xf numFmtId="0" fontId="9" fillId="3" borderId="0" xfId="1" applyFont="1" applyFill="1" applyAlignment="1" applyProtection="1">
      <alignment horizontal="left" wrapText="1"/>
      <protection locked="0"/>
    </xf>
    <xf numFmtId="0" fontId="10" fillId="3" borderId="0" xfId="1" applyFont="1" applyFill="1" applyAlignment="1" applyProtection="1">
      <alignment horizontal="left"/>
      <protection locked="0"/>
    </xf>
    <xf numFmtId="171" fontId="25" fillId="3" borderId="34" xfId="1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topLeftCell="A25" workbookViewId="0">
      <selection activeCell="D44" sqref="D44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51" t="s">
        <v>26</v>
      </c>
      <c r="B11" s="52"/>
      <c r="C11" s="52"/>
      <c r="D11" s="52"/>
      <c r="E11" s="52"/>
      <c r="F11" s="53"/>
      <c r="G11" s="41"/>
    </row>
    <row r="12" spans="1:7" ht="16.5" customHeight="1">
      <c r="A12" s="50" t="s">
        <v>27</v>
      </c>
      <c r="B12" s="50"/>
      <c r="C12" s="50"/>
      <c r="D12" s="50"/>
      <c r="E12" s="50"/>
      <c r="F12" s="50"/>
      <c r="G12" s="40"/>
    </row>
    <row r="14" spans="1:7" ht="16.5" customHeight="1">
      <c r="A14" s="55" t="s">
        <v>28</v>
      </c>
      <c r="B14" s="55"/>
      <c r="C14" s="10" t="s">
        <v>4</v>
      </c>
    </row>
    <row r="15" spans="1:7" ht="16.5" customHeight="1">
      <c r="A15" s="55" t="s">
        <v>29</v>
      </c>
      <c r="B15" s="55"/>
      <c r="C15" s="10" t="s">
        <v>6</v>
      </c>
    </row>
    <row r="16" spans="1:7" ht="16.5" customHeight="1">
      <c r="A16" s="55" t="s">
        <v>30</v>
      </c>
      <c r="B16" s="55"/>
      <c r="C16" s="10" t="s">
        <v>8</v>
      </c>
    </row>
    <row r="17" spans="1:5" ht="16.5" customHeight="1">
      <c r="A17" s="55" t="s">
        <v>31</v>
      </c>
      <c r="B17" s="55"/>
      <c r="C17" s="10" t="s">
        <v>10</v>
      </c>
    </row>
    <row r="18" spans="1:5" ht="16.5" customHeight="1">
      <c r="A18" s="55" t="s">
        <v>32</v>
      </c>
      <c r="B18" s="55"/>
      <c r="C18" s="47" t="s">
        <v>11</v>
      </c>
    </row>
    <row r="19" spans="1:5" ht="16.5" customHeight="1">
      <c r="A19" s="55" t="s">
        <v>33</v>
      </c>
      <c r="B19" s="55"/>
      <c r="C19" s="47" t="str">
        <f>#REF!</f>
        <v>0</v>
      </c>
    </row>
    <row r="20" spans="1:5" ht="16.5" customHeight="1">
      <c r="A20" s="12"/>
      <c r="B20" s="12"/>
      <c r="C20" s="27"/>
    </row>
    <row r="21" spans="1:5" ht="16.5" customHeight="1">
      <c r="A21" s="50" t="s">
        <v>1</v>
      </c>
      <c r="B21" s="50"/>
      <c r="C21" s="9" t="s">
        <v>34</v>
      </c>
      <c r="D21" s="16"/>
    </row>
    <row r="22" spans="1:5" ht="15.75" customHeight="1">
      <c r="A22" s="54"/>
      <c r="B22" s="54"/>
      <c r="C22" s="7"/>
      <c r="D22" s="54"/>
      <c r="E22" s="54"/>
    </row>
    <row r="23" spans="1:5" ht="33.75" customHeight="1">
      <c r="C23" s="36" t="s">
        <v>35</v>
      </c>
      <c r="D23" s="35" t="s">
        <v>36</v>
      </c>
      <c r="E23" s="2"/>
    </row>
    <row r="24" spans="1:5" ht="15.75" customHeight="1">
      <c r="C24" s="45">
        <v>1047.26</v>
      </c>
      <c r="D24" s="37">
        <f t="shared" ref="D24:D43" si="0">(C24-$C$46)/$C$46</f>
        <v>2.2470791798737001E-3</v>
      </c>
      <c r="E24" s="3"/>
    </row>
    <row r="25" spans="1:5" ht="15.75" customHeight="1">
      <c r="C25" s="45">
        <v>1040</v>
      </c>
      <c r="D25" s="38">
        <f t="shared" si="0"/>
        <v>-4.7008743320010003E-3</v>
      </c>
      <c r="E25" s="3"/>
    </row>
    <row r="26" spans="1:5" ht="15.75" customHeight="1">
      <c r="C26" s="45">
        <v>1045.92</v>
      </c>
      <c r="D26" s="38">
        <f t="shared" si="0"/>
        <v>9.6467453718616003E-4</v>
      </c>
      <c r="E26" s="3"/>
    </row>
    <row r="27" spans="1:5" ht="15.75" customHeight="1">
      <c r="C27" s="45">
        <v>1039.1600000000001</v>
      </c>
      <c r="D27" s="38">
        <f t="shared" si="0"/>
        <v>-5.5047697796557996E-3</v>
      </c>
      <c r="E27" s="3"/>
    </row>
    <row r="28" spans="1:5" ht="15.75" customHeight="1">
      <c r="C28" s="45">
        <v>1050.93</v>
      </c>
      <c r="D28" s="38">
        <f t="shared" si="0"/>
        <v>5.7593366714137001E-3</v>
      </c>
      <c r="E28" s="3"/>
    </row>
    <row r="29" spans="1:5" ht="15.75" customHeight="1">
      <c r="C29" s="45">
        <v>1045.08</v>
      </c>
      <c r="D29" s="38">
        <f t="shared" si="0"/>
        <v>1.6077908953110001E-4</v>
      </c>
      <c r="E29" s="3"/>
    </row>
    <row r="30" spans="1:5" ht="15.75" customHeight="1">
      <c r="C30" s="45">
        <v>1044.56</v>
      </c>
      <c r="D30" s="38">
        <f t="shared" si="0"/>
        <v>-3.3687047330287998E-4</v>
      </c>
      <c r="E30" s="3"/>
    </row>
    <row r="31" spans="1:5" ht="15.75" customHeight="1">
      <c r="C31" s="45">
        <v>1045.52</v>
      </c>
      <c r="D31" s="38">
        <f t="shared" si="0"/>
        <v>5.8186718115991998E-4</v>
      </c>
      <c r="E31" s="3"/>
    </row>
    <row r="32" spans="1:5" ht="15.75" customHeight="1">
      <c r="C32" s="45">
        <v>1045.47</v>
      </c>
      <c r="D32" s="38">
        <f t="shared" si="0"/>
        <v>5.3401626165669003E-4</v>
      </c>
      <c r="E32" s="3"/>
    </row>
    <row r="33" spans="1:7" ht="15.75" customHeight="1">
      <c r="C33" s="45">
        <v>1054.4000000000001</v>
      </c>
      <c r="D33" s="38">
        <f t="shared" si="0"/>
        <v>9.0801904849406E-3</v>
      </c>
      <c r="E33" s="3"/>
    </row>
    <row r="34" spans="1:7" ht="15.75" customHeight="1">
      <c r="C34" s="45">
        <v>1044.44</v>
      </c>
      <c r="D34" s="38">
        <f t="shared" si="0"/>
        <v>-4.5171268011062E-4</v>
      </c>
      <c r="E34" s="3"/>
    </row>
    <row r="35" spans="1:7" ht="15.75" customHeight="1">
      <c r="C35" s="45">
        <v>1045.69</v>
      </c>
      <c r="D35" s="38">
        <f t="shared" si="0"/>
        <v>7.4456030747111E-4</v>
      </c>
      <c r="E35" s="3"/>
    </row>
    <row r="36" spans="1:7" ht="15.75" customHeight="1">
      <c r="C36" s="45">
        <v>1039.02</v>
      </c>
      <c r="D36" s="38">
        <f t="shared" si="0"/>
        <v>-5.6387523542651002E-3</v>
      </c>
      <c r="E36" s="3"/>
    </row>
    <row r="37" spans="1:7" ht="15.75" customHeight="1">
      <c r="C37" s="45">
        <v>1040.74</v>
      </c>
      <c r="D37" s="38">
        <f t="shared" si="0"/>
        <v>-3.9926807233526002E-3</v>
      </c>
      <c r="E37" s="3"/>
    </row>
    <row r="38" spans="1:7" ht="15.75" customHeight="1">
      <c r="C38" s="45">
        <v>1041.3499999999999</v>
      </c>
      <c r="D38" s="38">
        <f t="shared" si="0"/>
        <v>-3.4088995054128001E-3</v>
      </c>
      <c r="E38" s="3"/>
    </row>
    <row r="39" spans="1:7" ht="15.75" customHeight="1">
      <c r="C39" s="45">
        <v>1037.26</v>
      </c>
      <c r="D39" s="38">
        <f t="shared" si="0"/>
        <v>-7.3231047207801001E-3</v>
      </c>
      <c r="E39" s="3"/>
    </row>
    <row r="40" spans="1:7" ht="15.75" customHeight="1">
      <c r="C40" s="45">
        <v>1046.55</v>
      </c>
      <c r="D40" s="38">
        <f t="shared" si="0"/>
        <v>1.5675961229272E-3</v>
      </c>
      <c r="E40" s="3"/>
    </row>
    <row r="41" spans="1:7" ht="15.75" customHeight="1">
      <c r="C41" s="45">
        <v>1050.6099999999999</v>
      </c>
      <c r="D41" s="38">
        <f t="shared" si="0"/>
        <v>5.4530907865925999E-3</v>
      </c>
      <c r="E41" s="3"/>
    </row>
    <row r="42" spans="1:7" ht="15.75" customHeight="1">
      <c r="C42" s="45">
        <v>1041.93</v>
      </c>
      <c r="D42" s="38">
        <f t="shared" si="0"/>
        <v>-2.8538288391746999E-3</v>
      </c>
      <c r="E42" s="3"/>
    </row>
    <row r="43" spans="1:7" ht="16.5" customHeight="1">
      <c r="C43" s="46">
        <v>1052.3499999999999</v>
      </c>
      <c r="D43" s="39">
        <f t="shared" si="0"/>
        <v>7.1183027853063997E-3</v>
      </c>
      <c r="E43" s="3"/>
    </row>
    <row r="44" spans="1:7" ht="16.5" customHeight="1">
      <c r="C44" s="4"/>
      <c r="D44" s="3"/>
      <c r="E44" s="5"/>
    </row>
    <row r="45" spans="1:7" ht="16.5" customHeight="1">
      <c r="B45" s="32" t="s">
        <v>37</v>
      </c>
      <c r="C45" s="33">
        <f>SUM(C24:C44)</f>
        <v>20898.240000000002</v>
      </c>
      <c r="D45" s="28"/>
      <c r="E45" s="4"/>
    </row>
    <row r="46" spans="1:7" ht="17.25" customHeight="1">
      <c r="B46" s="32" t="s">
        <v>38</v>
      </c>
      <c r="C46" s="34">
        <f>AVERAGE(C24:C44)</f>
        <v>1044.912</v>
      </c>
      <c r="E46" s="6"/>
    </row>
    <row r="47" spans="1:7" ht="17.25" customHeight="1">
      <c r="A47" s="10"/>
      <c r="B47" s="29"/>
      <c r="D47" s="8"/>
      <c r="E47" s="6"/>
    </row>
    <row r="48" spans="1:7" ht="33.75" customHeight="1">
      <c r="B48" s="42" t="s">
        <v>38</v>
      </c>
      <c r="C48" s="35" t="s">
        <v>39</v>
      </c>
      <c r="D48" s="30"/>
      <c r="G48" s="8"/>
    </row>
    <row r="49" spans="1:6" ht="17.25" customHeight="1">
      <c r="B49" s="48">
        <f>C46</f>
        <v>1044.912</v>
      </c>
      <c r="C49" s="43">
        <f>-IF(C46&lt;=80,10%,IF(C46&lt;250,7.5%,5%))</f>
        <v>-0.05</v>
      </c>
      <c r="D49" s="31">
        <f>IF(C46&lt;=80,C46*0.9,IF(C46&lt;250,C46*0.925,C46*0.95))</f>
        <v>992.66639999999995</v>
      </c>
    </row>
    <row r="50" spans="1:6" ht="17.25" customHeight="1">
      <c r="B50" s="49"/>
      <c r="C50" s="44">
        <f>IF(C46&lt;=80, 10%, IF(C46&lt;250, 7.5%, 5%))</f>
        <v>0.05</v>
      </c>
      <c r="D50" s="31">
        <f>IF(C46&lt;=80, C46*1.1, IF(C46&lt;250, C46*1.075, C46*1.05))</f>
        <v>1097.1576</v>
      </c>
    </row>
    <row r="51" spans="1:6" ht="16.5" customHeight="1">
      <c r="A51" s="13"/>
      <c r="B51" s="14"/>
      <c r="C51" s="10"/>
      <c r="D51" s="15"/>
      <c r="E51" s="10"/>
      <c r="F51" s="16"/>
    </row>
    <row r="52" spans="1:6" ht="16.5" customHeight="1">
      <c r="A52" s="10"/>
      <c r="B52" s="17" t="s">
        <v>21</v>
      </c>
      <c r="C52" s="17"/>
      <c r="D52" s="18" t="s">
        <v>22</v>
      </c>
      <c r="E52" s="19"/>
      <c r="F52" s="18" t="s">
        <v>23</v>
      </c>
    </row>
    <row r="53" spans="1:6" ht="34.5" customHeight="1">
      <c r="A53" s="20" t="s">
        <v>24</v>
      </c>
      <c r="B53" s="21"/>
      <c r="C53" s="22"/>
      <c r="D53" s="21"/>
      <c r="E53" s="11"/>
      <c r="F53" s="23"/>
    </row>
    <row r="54" spans="1:6" ht="34.5" customHeight="1">
      <c r="A54" s="20" t="s">
        <v>25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J49"/>
  <sheetViews>
    <sheetView view="pageBreakPreview" zoomScale="60" workbookViewId="0">
      <selection activeCell="E51" sqref="E51"/>
    </sheetView>
  </sheetViews>
  <sheetFormatPr defaultRowHeight="13.5"/>
  <cols>
    <col min="1" max="1" width="27.5703125" style="57" customWidth="1"/>
    <col min="2" max="2" width="20.42578125" style="57" customWidth="1"/>
    <col min="3" max="3" width="31.85546875" style="57" customWidth="1"/>
    <col min="4" max="4" width="25.85546875" style="57" customWidth="1"/>
    <col min="5" max="5" width="25.7109375" style="57" customWidth="1"/>
    <col min="6" max="6" width="23.140625" style="57" customWidth="1"/>
    <col min="7" max="7" width="28.42578125" style="57" customWidth="1"/>
    <col min="8" max="8" width="21.5703125" style="57" customWidth="1"/>
    <col min="9" max="9" width="9.140625" style="57" customWidth="1"/>
    <col min="10" max="16384" width="9.140625" style="59"/>
  </cols>
  <sheetData>
    <row r="1" spans="1:10" ht="15" customHeight="1">
      <c r="A1" s="56"/>
      <c r="C1" s="58"/>
      <c r="F1" s="58"/>
    </row>
    <row r="2" spans="1:10" ht="18.75" customHeight="1">
      <c r="A2" s="60" t="s">
        <v>0</v>
      </c>
      <c r="B2" s="60"/>
      <c r="C2" s="60"/>
      <c r="D2" s="60"/>
      <c r="E2" s="60"/>
    </row>
    <row r="3" spans="1:10" ht="16.5" customHeight="1">
      <c r="A3" s="61" t="s">
        <v>1</v>
      </c>
      <c r="B3" s="62" t="s">
        <v>103</v>
      </c>
    </row>
    <row r="4" spans="1:10" ht="16.5" customHeight="1">
      <c r="A4" s="63" t="s">
        <v>2</v>
      </c>
      <c r="B4" s="63" t="s">
        <v>104</v>
      </c>
      <c r="D4" s="64"/>
      <c r="E4" s="65"/>
    </row>
    <row r="5" spans="1:10" ht="16.5" customHeight="1">
      <c r="A5" s="66" t="s">
        <v>3</v>
      </c>
      <c r="B5" s="63" t="s">
        <v>105</v>
      </c>
      <c r="C5" s="65"/>
      <c r="D5" s="65"/>
      <c r="E5" s="65"/>
    </row>
    <row r="6" spans="1:10" ht="16.5" customHeight="1">
      <c r="A6" s="66" t="s">
        <v>5</v>
      </c>
      <c r="B6" s="67">
        <v>99.8</v>
      </c>
      <c r="C6" s="65"/>
      <c r="D6" s="65"/>
      <c r="E6" s="65"/>
    </row>
    <row r="7" spans="1:10" ht="16.5" customHeight="1">
      <c r="A7" s="63" t="s">
        <v>7</v>
      </c>
      <c r="B7" s="67">
        <v>18.22</v>
      </c>
      <c r="C7" s="65"/>
      <c r="D7" s="65"/>
      <c r="E7" s="65"/>
    </row>
    <row r="8" spans="1:10" ht="16.5" customHeight="1">
      <c r="A8" s="63" t="s">
        <v>9</v>
      </c>
      <c r="B8" s="68">
        <f>B7/50*10/20</f>
        <v>0.1822</v>
      </c>
      <c r="C8" s="65"/>
      <c r="D8" s="65"/>
      <c r="E8" s="65"/>
    </row>
    <row r="9" spans="1:10" ht="15.75" customHeight="1">
      <c r="A9" s="65"/>
      <c r="B9" s="65"/>
      <c r="C9" s="65"/>
      <c r="D9" s="65"/>
      <c r="E9" s="65"/>
    </row>
    <row r="10" spans="1:10" ht="16.5" customHeight="1">
      <c r="A10" s="69" t="s">
        <v>12</v>
      </c>
      <c r="B10" s="70" t="s">
        <v>13</v>
      </c>
      <c r="C10" s="69" t="s">
        <v>14</v>
      </c>
      <c r="D10" s="69" t="s">
        <v>15</v>
      </c>
      <c r="E10" s="69" t="s">
        <v>16</v>
      </c>
      <c r="F10" s="71" t="s">
        <v>106</v>
      </c>
      <c r="J10" s="57"/>
    </row>
    <row r="11" spans="1:10" ht="16.5" customHeight="1">
      <c r="A11" s="72">
        <v>1</v>
      </c>
      <c r="B11" s="73">
        <v>174299884</v>
      </c>
      <c r="C11" s="73">
        <v>4417.12</v>
      </c>
      <c r="D11" s="74">
        <v>0.81</v>
      </c>
      <c r="E11" s="75">
        <v>9.94</v>
      </c>
      <c r="F11" s="75">
        <v>11.15</v>
      </c>
      <c r="J11" s="57"/>
    </row>
    <row r="12" spans="1:10" ht="16.5" customHeight="1">
      <c r="A12" s="72">
        <v>2</v>
      </c>
      <c r="B12" s="73">
        <v>175380774</v>
      </c>
      <c r="C12" s="73">
        <v>4538.7700000000004</v>
      </c>
      <c r="D12" s="74">
        <v>0.82</v>
      </c>
      <c r="E12" s="74">
        <v>9.94</v>
      </c>
      <c r="F12" s="74">
        <v>11.26</v>
      </c>
      <c r="J12" s="57"/>
    </row>
    <row r="13" spans="1:10" ht="16.5" customHeight="1">
      <c r="A13" s="72">
        <v>3</v>
      </c>
      <c r="B13" s="73">
        <v>175168254</v>
      </c>
      <c r="C13" s="73">
        <v>4569.5600000000004</v>
      </c>
      <c r="D13" s="74">
        <v>0.82</v>
      </c>
      <c r="E13" s="74">
        <v>9.9499999999999993</v>
      </c>
      <c r="F13" s="74">
        <v>11.32</v>
      </c>
      <c r="J13" s="57"/>
    </row>
    <row r="14" spans="1:10" ht="16.5" customHeight="1">
      <c r="A14" s="72">
        <v>4</v>
      </c>
      <c r="B14" s="73">
        <v>174473863</v>
      </c>
      <c r="C14" s="73">
        <v>4444.6499999999996</v>
      </c>
      <c r="D14" s="74">
        <v>0.81</v>
      </c>
      <c r="E14" s="74">
        <v>9.9499999999999993</v>
      </c>
      <c r="F14" s="74">
        <v>11.2</v>
      </c>
      <c r="J14" s="57"/>
    </row>
    <row r="15" spans="1:10" ht="16.5" customHeight="1">
      <c r="A15" s="72">
        <v>5</v>
      </c>
      <c r="B15" s="73">
        <v>174958067</v>
      </c>
      <c r="C15" s="73">
        <v>4369.9399999999996</v>
      </c>
      <c r="D15" s="74">
        <v>0.81</v>
      </c>
      <c r="E15" s="74">
        <v>9.9499999999999993</v>
      </c>
      <c r="F15" s="74">
        <v>11.12</v>
      </c>
      <c r="J15" s="57"/>
    </row>
    <row r="16" spans="1:10" ht="16.5" customHeight="1">
      <c r="A16" s="72">
        <v>6</v>
      </c>
      <c r="B16" s="76">
        <v>174337487</v>
      </c>
      <c r="C16" s="76">
        <v>4327.78</v>
      </c>
      <c r="D16" s="77">
        <v>0.81</v>
      </c>
      <c r="E16" s="77">
        <v>9.9499999999999993</v>
      </c>
      <c r="F16" s="77">
        <v>11.06</v>
      </c>
      <c r="J16" s="57"/>
    </row>
    <row r="17" spans="1:10" ht="16.5" customHeight="1">
      <c r="A17" s="78" t="s">
        <v>17</v>
      </c>
      <c r="B17" s="79">
        <f>AVERAGE(B11:B16)</f>
        <v>174769721.5</v>
      </c>
      <c r="C17" s="80">
        <f>AVERAGE(C11:C16)</f>
        <v>4444.6366666666663</v>
      </c>
      <c r="D17" s="81">
        <f>AVERAGE(D11:D16)</f>
        <v>0.81333333333333346</v>
      </c>
      <c r="E17" s="81">
        <f>AVERAGE(E11:E16)</f>
        <v>9.9466666666666672</v>
      </c>
      <c r="F17" s="81">
        <f>AVERAGE(F11:F16)</f>
        <v>11.185</v>
      </c>
      <c r="J17" s="57"/>
    </row>
    <row r="18" spans="1:10" ht="16.5" customHeight="1">
      <c r="A18" s="82" t="s">
        <v>18</v>
      </c>
      <c r="B18" s="83">
        <f>(STDEV(B11:B16)/B17)</f>
        <v>2.637990666375674E-3</v>
      </c>
      <c r="C18" s="84"/>
      <c r="D18" s="84"/>
      <c r="E18" s="84"/>
      <c r="F18" s="85"/>
      <c r="J18" s="57"/>
    </row>
    <row r="19" spans="1:10" s="57" customFormat="1" ht="16.5" customHeight="1">
      <c r="A19" s="86" t="s">
        <v>19</v>
      </c>
      <c r="B19" s="87">
        <f>COUNT(B11:B16)</f>
        <v>6</v>
      </c>
      <c r="C19" s="88"/>
      <c r="D19" s="89"/>
      <c r="E19" s="89"/>
      <c r="F19" s="90"/>
    </row>
    <row r="20" spans="1:10" s="57" customFormat="1" ht="15.75" customHeight="1">
      <c r="A20" s="65"/>
      <c r="B20" s="65"/>
      <c r="C20" s="65"/>
      <c r="D20" s="65"/>
      <c r="E20" s="65"/>
    </row>
    <row r="21" spans="1:10" s="57" customFormat="1" ht="16.5" customHeight="1">
      <c r="A21" s="66" t="s">
        <v>20</v>
      </c>
      <c r="B21" s="91" t="s">
        <v>107</v>
      </c>
      <c r="C21" s="92"/>
      <c r="D21" s="92"/>
      <c r="E21" s="92"/>
    </row>
    <row r="22" spans="1:10" ht="16.5" customHeight="1">
      <c r="A22" s="66"/>
      <c r="B22" s="91" t="s">
        <v>108</v>
      </c>
      <c r="C22" s="92"/>
      <c r="D22" s="92"/>
      <c r="E22" s="92"/>
    </row>
    <row r="23" spans="1:10" ht="16.5" customHeight="1">
      <c r="A23" s="66"/>
      <c r="B23" s="91" t="s">
        <v>109</v>
      </c>
      <c r="C23" s="92"/>
      <c r="D23" s="92"/>
      <c r="E23" s="92"/>
    </row>
    <row r="24" spans="1:10" ht="16.5" customHeight="1">
      <c r="A24" s="66"/>
      <c r="B24" s="93" t="s">
        <v>110</v>
      </c>
      <c r="C24" s="92"/>
      <c r="D24" s="92"/>
      <c r="E24" s="92"/>
    </row>
    <row r="25" spans="1:10" ht="15.75" customHeight="1">
      <c r="A25" s="65"/>
      <c r="C25" s="65"/>
      <c r="D25" s="65"/>
      <c r="E25" s="65"/>
    </row>
    <row r="26" spans="1:10" ht="16.5" customHeight="1">
      <c r="A26" s="61" t="s">
        <v>1</v>
      </c>
      <c r="B26" s="62" t="s">
        <v>103</v>
      </c>
    </row>
    <row r="27" spans="1:10" ht="16.5" customHeight="1">
      <c r="A27" s="66" t="s">
        <v>3</v>
      </c>
      <c r="B27" s="63" t="s">
        <v>111</v>
      </c>
      <c r="C27" s="65"/>
      <c r="D27" s="65"/>
      <c r="E27" s="65"/>
    </row>
    <row r="28" spans="1:10" ht="16.5" customHeight="1">
      <c r="A28" s="66" t="s">
        <v>5</v>
      </c>
      <c r="B28" s="67">
        <v>99.6</v>
      </c>
      <c r="C28" s="65"/>
      <c r="D28" s="65"/>
      <c r="E28" s="65"/>
    </row>
    <row r="29" spans="1:10" ht="16.5" customHeight="1">
      <c r="A29" s="63" t="s">
        <v>7</v>
      </c>
      <c r="B29" s="67">
        <v>26.94</v>
      </c>
      <c r="C29" s="65"/>
      <c r="D29" s="65"/>
      <c r="E29" s="65"/>
    </row>
    <row r="30" spans="1:10" ht="16.5" customHeight="1">
      <c r="A30" s="63" t="s">
        <v>9</v>
      </c>
      <c r="B30" s="68">
        <f>B29/100*3/20</f>
        <v>4.0410000000000001E-2</v>
      </c>
      <c r="C30" s="65"/>
      <c r="D30" s="65"/>
      <c r="E30" s="65"/>
    </row>
    <row r="31" spans="1:10" ht="15.75" customHeight="1">
      <c r="A31" s="65"/>
      <c r="B31" s="65"/>
      <c r="C31" s="65"/>
      <c r="D31" s="65"/>
      <c r="E31" s="65"/>
    </row>
    <row r="32" spans="1:10" ht="16.5" customHeight="1">
      <c r="A32" s="69" t="s">
        <v>12</v>
      </c>
      <c r="B32" s="70" t="s">
        <v>13</v>
      </c>
      <c r="C32" s="69" t="s">
        <v>14</v>
      </c>
      <c r="D32" s="69" t="s">
        <v>15</v>
      </c>
      <c r="E32" s="69" t="s">
        <v>16</v>
      </c>
    </row>
    <row r="33" spans="1:7" ht="16.5" customHeight="1">
      <c r="A33" s="72">
        <v>1</v>
      </c>
      <c r="B33" s="73">
        <v>15312204</v>
      </c>
      <c r="C33" s="73">
        <v>6714.29</v>
      </c>
      <c r="D33" s="74">
        <v>1.1000000000000001</v>
      </c>
      <c r="E33" s="75">
        <v>5.19</v>
      </c>
    </row>
    <row r="34" spans="1:7" ht="16.5" customHeight="1">
      <c r="A34" s="72">
        <v>2</v>
      </c>
      <c r="B34" s="73">
        <v>15392825</v>
      </c>
      <c r="C34" s="73">
        <v>6784.69</v>
      </c>
      <c r="D34" s="74">
        <v>1.0900000000000001</v>
      </c>
      <c r="E34" s="74">
        <v>5.2</v>
      </c>
    </row>
    <row r="35" spans="1:7" ht="16.5" customHeight="1">
      <c r="A35" s="72">
        <v>3</v>
      </c>
      <c r="B35" s="73">
        <v>15382958</v>
      </c>
      <c r="C35" s="73">
        <v>6796.32</v>
      </c>
      <c r="D35" s="74">
        <v>1.1100000000000001</v>
      </c>
      <c r="E35" s="74">
        <v>5.19</v>
      </c>
    </row>
    <row r="36" spans="1:7" ht="16.5" customHeight="1">
      <c r="A36" s="72">
        <v>4</v>
      </c>
      <c r="B36" s="73">
        <v>15322526</v>
      </c>
      <c r="C36" s="73">
        <v>6760.41</v>
      </c>
      <c r="D36" s="74">
        <v>1.1100000000000001</v>
      </c>
      <c r="E36" s="74">
        <v>5.19</v>
      </c>
    </row>
    <row r="37" spans="1:7" ht="16.5" customHeight="1">
      <c r="A37" s="72">
        <v>5</v>
      </c>
      <c r="B37" s="73">
        <v>15374133</v>
      </c>
      <c r="C37" s="73">
        <v>6701.67</v>
      </c>
      <c r="D37" s="74">
        <v>1.1000000000000001</v>
      </c>
      <c r="E37" s="74">
        <v>5.19</v>
      </c>
    </row>
    <row r="38" spans="1:7" ht="16.5" customHeight="1">
      <c r="A38" s="72">
        <v>6</v>
      </c>
      <c r="B38" s="76">
        <v>15323945</v>
      </c>
      <c r="C38" s="76">
        <v>6671.85</v>
      </c>
      <c r="D38" s="77">
        <v>1.07</v>
      </c>
      <c r="E38" s="77">
        <v>5.19</v>
      </c>
    </row>
    <row r="39" spans="1:7" ht="16.5" customHeight="1">
      <c r="A39" s="78" t="s">
        <v>17</v>
      </c>
      <c r="B39" s="79">
        <f>AVERAGE(B33:B38)</f>
        <v>15351431.833333334</v>
      </c>
      <c r="C39" s="80">
        <f>AVERAGE(C33:C38)</f>
        <v>6738.204999999999</v>
      </c>
      <c r="D39" s="81">
        <f>AVERAGE(D33:D38)</f>
        <v>1.0966666666666669</v>
      </c>
      <c r="E39" s="81">
        <f>AVERAGE(E33:E38)</f>
        <v>5.1916666666666673</v>
      </c>
    </row>
    <row r="40" spans="1:7" ht="16.5" customHeight="1">
      <c r="A40" s="82" t="s">
        <v>18</v>
      </c>
      <c r="B40" s="83">
        <f>(STDEV(B33:B38)/B39)</f>
        <v>2.3218788611212245E-3</v>
      </c>
      <c r="C40" s="84"/>
      <c r="D40" s="84"/>
      <c r="E40" s="85"/>
    </row>
    <row r="41" spans="1:7" s="57" customFormat="1" ht="16.5" customHeight="1">
      <c r="A41" s="86" t="s">
        <v>19</v>
      </c>
      <c r="B41" s="87">
        <f>COUNT(B33:B38)</f>
        <v>6</v>
      </c>
      <c r="C41" s="88"/>
      <c r="D41" s="89"/>
      <c r="E41" s="90"/>
    </row>
    <row r="42" spans="1:7" s="57" customFormat="1" ht="15.75" customHeight="1">
      <c r="A42" s="65"/>
      <c r="B42" s="65"/>
      <c r="C42" s="65"/>
      <c r="D42" s="65"/>
      <c r="E42" s="65"/>
    </row>
    <row r="43" spans="1:7" s="57" customFormat="1" ht="16.5" customHeight="1">
      <c r="A43" s="66" t="s">
        <v>20</v>
      </c>
      <c r="B43" s="91" t="s">
        <v>107</v>
      </c>
      <c r="C43" s="92"/>
      <c r="D43" s="92"/>
      <c r="E43" s="92"/>
    </row>
    <row r="44" spans="1:7" ht="16.5" customHeight="1">
      <c r="A44" s="66"/>
      <c r="B44" s="91" t="s">
        <v>108</v>
      </c>
      <c r="C44" s="92"/>
      <c r="D44" s="92"/>
      <c r="E44" s="92"/>
    </row>
    <row r="45" spans="1:7" ht="16.5" customHeight="1">
      <c r="A45" s="66"/>
      <c r="B45" s="91" t="s">
        <v>109</v>
      </c>
      <c r="C45" s="92"/>
      <c r="D45" s="92"/>
      <c r="E45" s="92"/>
    </row>
    <row r="46" spans="1:7" ht="14.25" customHeight="1" thickBot="1">
      <c r="A46" s="94"/>
      <c r="D46" s="95"/>
      <c r="F46" s="59"/>
      <c r="G46" s="59"/>
    </row>
    <row r="47" spans="1:7" ht="15" customHeight="1">
      <c r="B47" s="96" t="s">
        <v>21</v>
      </c>
      <c r="C47" s="96"/>
      <c r="E47" s="97" t="s">
        <v>22</v>
      </c>
      <c r="F47" s="98"/>
      <c r="G47" s="97" t="s">
        <v>23</v>
      </c>
    </row>
    <row r="48" spans="1:7" ht="15" customHeight="1">
      <c r="A48" s="99" t="s">
        <v>24</v>
      </c>
      <c r="B48" s="100" t="s">
        <v>112</v>
      </c>
      <c r="C48" s="100"/>
      <c r="E48" s="100" t="s">
        <v>113</v>
      </c>
      <c r="G48" s="100"/>
    </row>
    <row r="49" spans="1:7" ht="15" customHeight="1">
      <c r="A49" s="99" t="s">
        <v>25</v>
      </c>
      <c r="B49" s="101"/>
      <c r="C49" s="101"/>
      <c r="E49" s="101"/>
      <c r="G49" s="102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7:C47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opLeftCell="A82" zoomScale="60" zoomScaleNormal="60" zoomScaleSheetLayoutView="40" zoomScalePageLayoutView="55" workbookViewId="0">
      <selection activeCell="E106" sqref="E106:G120"/>
    </sheetView>
  </sheetViews>
  <sheetFormatPr defaultColWidth="9.140625" defaultRowHeight="13.5"/>
  <cols>
    <col min="1" max="1" width="55.42578125" style="57" customWidth="1"/>
    <col min="2" max="2" width="33.7109375" style="57" customWidth="1"/>
    <col min="3" max="3" width="42.28515625" style="57" customWidth="1"/>
    <col min="4" max="4" width="30.5703125" style="57" customWidth="1"/>
    <col min="5" max="5" width="39.85546875" style="57" customWidth="1"/>
    <col min="6" max="6" width="30.7109375" style="57" customWidth="1"/>
    <col min="7" max="7" width="39.85546875" style="57" customWidth="1"/>
    <col min="8" max="8" width="30" style="57" customWidth="1"/>
    <col min="9" max="9" width="30.28515625" style="57" hidden="1" customWidth="1"/>
    <col min="10" max="10" width="30.42578125" style="57" customWidth="1"/>
    <col min="11" max="11" width="21.28515625" style="57" customWidth="1"/>
    <col min="12" max="12" width="9.140625" style="57"/>
    <col min="13" max="16384" width="9.140625" style="59"/>
  </cols>
  <sheetData>
    <row r="1" spans="1:9" ht="18.75" customHeight="1">
      <c r="A1" s="103" t="s">
        <v>40</v>
      </c>
      <c r="B1" s="103"/>
      <c r="C1" s="103"/>
      <c r="D1" s="103"/>
      <c r="E1" s="103"/>
      <c r="F1" s="103"/>
      <c r="G1" s="103"/>
      <c r="H1" s="103"/>
      <c r="I1" s="103"/>
    </row>
    <row r="2" spans="1:9" ht="18.75" customHeight="1">
      <c r="A2" s="103"/>
      <c r="B2" s="103"/>
      <c r="C2" s="103"/>
      <c r="D2" s="103"/>
      <c r="E2" s="103"/>
      <c r="F2" s="103"/>
      <c r="G2" s="103"/>
      <c r="H2" s="103"/>
      <c r="I2" s="103"/>
    </row>
    <row r="3" spans="1:9" ht="18.75" customHeight="1">
      <c r="A3" s="103"/>
      <c r="B3" s="103"/>
      <c r="C3" s="103"/>
      <c r="D3" s="103"/>
      <c r="E3" s="103"/>
      <c r="F3" s="103"/>
      <c r="G3" s="103"/>
      <c r="H3" s="103"/>
      <c r="I3" s="103"/>
    </row>
    <row r="4" spans="1:9" ht="18.75" customHeight="1">
      <c r="A4" s="103"/>
      <c r="B4" s="103"/>
      <c r="C4" s="103"/>
      <c r="D4" s="103"/>
      <c r="E4" s="103"/>
      <c r="F4" s="103"/>
      <c r="G4" s="103"/>
      <c r="H4" s="103"/>
      <c r="I4" s="103"/>
    </row>
    <row r="5" spans="1:9" ht="18.75" customHeight="1">
      <c r="A5" s="103"/>
      <c r="B5" s="103"/>
      <c r="C5" s="103"/>
      <c r="D5" s="103"/>
      <c r="E5" s="103"/>
      <c r="F5" s="103"/>
      <c r="G5" s="103"/>
      <c r="H5" s="103"/>
      <c r="I5" s="103"/>
    </row>
    <row r="6" spans="1:9" ht="18.75" customHeight="1">
      <c r="A6" s="103"/>
      <c r="B6" s="103"/>
      <c r="C6" s="103"/>
      <c r="D6" s="103"/>
      <c r="E6" s="103"/>
      <c r="F6" s="103"/>
      <c r="G6" s="103"/>
      <c r="H6" s="103"/>
      <c r="I6" s="103"/>
    </row>
    <row r="7" spans="1:9" ht="18.75" customHeight="1">
      <c r="A7" s="103"/>
      <c r="B7" s="103"/>
      <c r="C7" s="103"/>
      <c r="D7" s="103"/>
      <c r="E7" s="103"/>
      <c r="F7" s="103"/>
      <c r="G7" s="103"/>
      <c r="H7" s="103"/>
      <c r="I7" s="103"/>
    </row>
    <row r="8" spans="1:9">
      <c r="A8" s="104" t="s">
        <v>41</v>
      </c>
      <c r="B8" s="104"/>
      <c r="C8" s="104"/>
      <c r="D8" s="104"/>
      <c r="E8" s="104"/>
      <c r="F8" s="104"/>
      <c r="G8" s="104"/>
      <c r="H8" s="104"/>
      <c r="I8" s="104"/>
    </row>
    <row r="9" spans="1:9">
      <c r="A9" s="104"/>
      <c r="B9" s="104"/>
      <c r="C9" s="104"/>
      <c r="D9" s="104"/>
      <c r="E9" s="104"/>
      <c r="F9" s="104"/>
      <c r="G9" s="104"/>
      <c r="H9" s="104"/>
      <c r="I9" s="104"/>
    </row>
    <row r="10" spans="1:9">
      <c r="A10" s="104"/>
      <c r="B10" s="104"/>
      <c r="C10" s="104"/>
      <c r="D10" s="104"/>
      <c r="E10" s="104"/>
      <c r="F10" s="104"/>
      <c r="G10" s="104"/>
      <c r="H10" s="104"/>
      <c r="I10" s="104"/>
    </row>
    <row r="11" spans="1:9">
      <c r="A11" s="104"/>
      <c r="B11" s="104"/>
      <c r="C11" s="104"/>
      <c r="D11" s="104"/>
      <c r="E11" s="104"/>
      <c r="F11" s="104"/>
      <c r="G11" s="104"/>
      <c r="H11" s="104"/>
      <c r="I11" s="104"/>
    </row>
    <row r="12" spans="1:9">
      <c r="A12" s="104"/>
      <c r="B12" s="104"/>
      <c r="C12" s="104"/>
      <c r="D12" s="104"/>
      <c r="E12" s="104"/>
      <c r="F12" s="104"/>
      <c r="G12" s="104"/>
      <c r="H12" s="104"/>
      <c r="I12" s="104"/>
    </row>
    <row r="13" spans="1:9">
      <c r="A13" s="104"/>
      <c r="B13" s="104"/>
      <c r="C13" s="104"/>
      <c r="D13" s="104"/>
      <c r="E13" s="104"/>
      <c r="F13" s="104"/>
      <c r="G13" s="104"/>
      <c r="H13" s="104"/>
      <c r="I13" s="104"/>
    </row>
    <row r="14" spans="1:9">
      <c r="A14" s="104"/>
      <c r="B14" s="104"/>
      <c r="C14" s="104"/>
      <c r="D14" s="104"/>
      <c r="E14" s="104"/>
      <c r="F14" s="104"/>
      <c r="G14" s="104"/>
      <c r="H14" s="104"/>
      <c r="I14" s="104"/>
    </row>
    <row r="15" spans="1:9" ht="19.5" customHeight="1" thickBot="1">
      <c r="A15" s="105"/>
    </row>
    <row r="16" spans="1:9" ht="19.5" customHeight="1" thickBot="1">
      <c r="A16" s="106" t="s">
        <v>26</v>
      </c>
      <c r="B16" s="107"/>
      <c r="C16" s="107"/>
      <c r="D16" s="107"/>
      <c r="E16" s="107"/>
      <c r="F16" s="107"/>
      <c r="G16" s="107"/>
      <c r="H16" s="108"/>
    </row>
    <row r="17" spans="1:14" ht="20.25" customHeight="1">
      <c r="A17" s="109" t="s">
        <v>42</v>
      </c>
      <c r="B17" s="109"/>
      <c r="C17" s="109"/>
      <c r="D17" s="109"/>
      <c r="E17" s="109"/>
      <c r="F17" s="109"/>
      <c r="G17" s="109"/>
      <c r="H17" s="109"/>
    </row>
    <row r="18" spans="1:14" ht="26.25" customHeight="1">
      <c r="A18" s="110" t="s">
        <v>28</v>
      </c>
      <c r="B18" s="111" t="s">
        <v>4</v>
      </c>
      <c r="C18" s="111"/>
      <c r="D18" s="112"/>
      <c r="E18" s="113"/>
      <c r="F18" s="114"/>
      <c r="G18" s="114"/>
      <c r="H18" s="114"/>
    </row>
    <row r="19" spans="1:14" ht="26.25" customHeight="1">
      <c r="A19" s="110" t="s">
        <v>29</v>
      </c>
      <c r="B19" s="115" t="s">
        <v>6</v>
      </c>
      <c r="C19" s="114">
        <v>29</v>
      </c>
      <c r="D19" s="114"/>
      <c r="E19" s="114"/>
      <c r="F19" s="114"/>
      <c r="G19" s="114"/>
      <c r="H19" s="114"/>
    </row>
    <row r="20" spans="1:14" ht="26.25" customHeight="1">
      <c r="A20" s="110" t="s">
        <v>30</v>
      </c>
      <c r="B20" s="116" t="s">
        <v>8</v>
      </c>
      <c r="C20" s="116"/>
      <c r="D20" s="114"/>
      <c r="E20" s="114"/>
      <c r="F20" s="114"/>
      <c r="G20" s="114"/>
      <c r="H20" s="114"/>
    </row>
    <row r="21" spans="1:14" ht="26.25" customHeight="1">
      <c r="A21" s="110" t="s">
        <v>31</v>
      </c>
      <c r="B21" s="116" t="s">
        <v>10</v>
      </c>
      <c r="C21" s="116"/>
      <c r="D21" s="116"/>
      <c r="E21" s="116"/>
      <c r="F21" s="116"/>
      <c r="G21" s="116"/>
      <c r="H21" s="116"/>
      <c r="I21" s="117"/>
    </row>
    <row r="22" spans="1:14" ht="26.25" customHeight="1">
      <c r="A22" s="110" t="s">
        <v>32</v>
      </c>
      <c r="B22" s="118">
        <v>42466</v>
      </c>
      <c r="C22" s="114"/>
      <c r="D22" s="114"/>
      <c r="E22" s="114"/>
      <c r="F22" s="114"/>
      <c r="G22" s="114"/>
      <c r="H22" s="114"/>
    </row>
    <row r="23" spans="1:14" ht="26.25" customHeight="1">
      <c r="A23" s="110" t="s">
        <v>33</v>
      </c>
      <c r="B23" s="118">
        <v>42475</v>
      </c>
      <c r="C23" s="114"/>
      <c r="D23" s="114"/>
      <c r="E23" s="114"/>
      <c r="F23" s="114"/>
      <c r="G23" s="114"/>
      <c r="H23" s="114"/>
    </row>
    <row r="24" spans="1:14" ht="18.75">
      <c r="A24" s="110"/>
      <c r="B24" s="119"/>
    </row>
    <row r="25" spans="1:14" ht="18.75">
      <c r="A25" s="120" t="s">
        <v>1</v>
      </c>
      <c r="B25" s="119"/>
    </row>
    <row r="26" spans="1:14" ht="26.25" customHeight="1">
      <c r="A26" s="121" t="s">
        <v>3</v>
      </c>
      <c r="B26" s="111" t="s">
        <v>105</v>
      </c>
      <c r="C26" s="111"/>
    </row>
    <row r="27" spans="1:14" ht="26.25" customHeight="1">
      <c r="A27" s="122" t="s">
        <v>43</v>
      </c>
      <c r="B27" s="123" t="s">
        <v>114</v>
      </c>
      <c r="C27" s="123"/>
    </row>
    <row r="28" spans="1:14" ht="27" customHeight="1" thickBot="1">
      <c r="A28" s="122" t="s">
        <v>5</v>
      </c>
      <c r="B28" s="124">
        <v>99.8</v>
      </c>
    </row>
    <row r="29" spans="1:14" s="69" customFormat="1" ht="27" customHeight="1" thickBot="1">
      <c r="A29" s="122" t="s">
        <v>44</v>
      </c>
      <c r="B29" s="125">
        <v>0</v>
      </c>
      <c r="C29" s="126" t="s">
        <v>45</v>
      </c>
      <c r="D29" s="127"/>
      <c r="E29" s="127"/>
      <c r="F29" s="127"/>
      <c r="G29" s="128"/>
      <c r="I29" s="129"/>
      <c r="J29" s="129"/>
      <c r="K29" s="129"/>
      <c r="L29" s="129"/>
    </row>
    <row r="30" spans="1:14" s="69" customFormat="1" ht="19.5" customHeight="1" thickBot="1">
      <c r="A30" s="122" t="s">
        <v>46</v>
      </c>
      <c r="B30" s="130">
        <f>B28-B29</f>
        <v>99.8</v>
      </c>
      <c r="C30" s="131"/>
      <c r="D30" s="131"/>
      <c r="E30" s="131"/>
      <c r="F30" s="131"/>
      <c r="G30" s="132"/>
      <c r="I30" s="129"/>
      <c r="J30" s="129"/>
      <c r="K30" s="129"/>
      <c r="L30" s="129"/>
    </row>
    <row r="31" spans="1:14" s="69" customFormat="1" ht="27" customHeight="1" thickBot="1">
      <c r="A31" s="122" t="s">
        <v>47</v>
      </c>
      <c r="B31" s="133">
        <v>1</v>
      </c>
      <c r="C31" s="134" t="s">
        <v>48</v>
      </c>
      <c r="D31" s="135"/>
      <c r="E31" s="135"/>
      <c r="F31" s="135"/>
      <c r="G31" s="135"/>
      <c r="H31" s="136"/>
      <c r="I31" s="129"/>
      <c r="J31" s="129"/>
      <c r="K31" s="129"/>
      <c r="L31" s="129"/>
    </row>
    <row r="32" spans="1:14" s="69" customFormat="1" ht="27" customHeight="1" thickBot="1">
      <c r="A32" s="122" t="s">
        <v>49</v>
      </c>
      <c r="B32" s="133">
        <v>1</v>
      </c>
      <c r="C32" s="134" t="s">
        <v>50</v>
      </c>
      <c r="D32" s="135"/>
      <c r="E32" s="135"/>
      <c r="F32" s="135"/>
      <c r="G32" s="135"/>
      <c r="H32" s="136"/>
      <c r="I32" s="129"/>
      <c r="J32" s="129"/>
      <c r="K32" s="129"/>
      <c r="L32" s="137"/>
      <c r="M32" s="137"/>
      <c r="N32" s="138"/>
    </row>
    <row r="33" spans="1:14" s="69" customFormat="1" ht="17.25" customHeight="1">
      <c r="A33" s="122"/>
      <c r="B33" s="139"/>
      <c r="C33" s="140"/>
      <c r="D33" s="140"/>
      <c r="E33" s="140"/>
      <c r="F33" s="140"/>
      <c r="G33" s="140"/>
      <c r="H33" s="140"/>
      <c r="I33" s="129"/>
      <c r="J33" s="129"/>
      <c r="K33" s="129"/>
      <c r="L33" s="137"/>
      <c r="M33" s="137"/>
      <c r="N33" s="138"/>
    </row>
    <row r="34" spans="1:14" s="69" customFormat="1" ht="18.75">
      <c r="A34" s="122" t="s">
        <v>51</v>
      </c>
      <c r="B34" s="141">
        <f>B31/B32</f>
        <v>1</v>
      </c>
      <c r="C34" s="105" t="s">
        <v>52</v>
      </c>
      <c r="D34" s="105"/>
      <c r="E34" s="105"/>
      <c r="F34" s="105"/>
      <c r="G34" s="105"/>
      <c r="I34" s="129"/>
      <c r="J34" s="129"/>
      <c r="K34" s="129"/>
      <c r="L34" s="137"/>
      <c r="M34" s="137"/>
      <c r="N34" s="138"/>
    </row>
    <row r="35" spans="1:14" s="69" customFormat="1" ht="19.5" customHeight="1" thickBot="1">
      <c r="A35" s="122"/>
      <c r="B35" s="130"/>
      <c r="G35" s="105"/>
      <c r="I35" s="129"/>
      <c r="J35" s="129"/>
      <c r="K35" s="129"/>
      <c r="L35" s="137"/>
      <c r="M35" s="137"/>
      <c r="N35" s="138"/>
    </row>
    <row r="36" spans="1:14" s="69" customFormat="1" ht="27" customHeight="1" thickBot="1">
      <c r="A36" s="142" t="s">
        <v>53</v>
      </c>
      <c r="B36" s="143">
        <v>50</v>
      </c>
      <c r="C36" s="105"/>
      <c r="D36" s="144" t="s">
        <v>54</v>
      </c>
      <c r="E36" s="145"/>
      <c r="F36" s="144" t="s">
        <v>55</v>
      </c>
      <c r="G36" s="146"/>
      <c r="J36" s="129"/>
      <c r="K36" s="129"/>
      <c r="L36" s="137"/>
      <c r="M36" s="137"/>
      <c r="N36" s="138"/>
    </row>
    <row r="37" spans="1:14" s="69" customFormat="1" ht="27" customHeight="1" thickBot="1">
      <c r="A37" s="147" t="s">
        <v>115</v>
      </c>
      <c r="B37" s="148">
        <v>10</v>
      </c>
      <c r="C37" s="149" t="s">
        <v>56</v>
      </c>
      <c r="D37" s="150" t="s">
        <v>57</v>
      </c>
      <c r="E37" s="151" t="s">
        <v>58</v>
      </c>
      <c r="F37" s="150" t="s">
        <v>57</v>
      </c>
      <c r="G37" s="152" t="s">
        <v>58</v>
      </c>
      <c r="I37" s="153" t="s">
        <v>59</v>
      </c>
      <c r="J37" s="129"/>
      <c r="K37" s="129"/>
      <c r="L37" s="137"/>
      <c r="M37" s="137"/>
      <c r="N37" s="138"/>
    </row>
    <row r="38" spans="1:14" s="69" customFormat="1" ht="26.25" customHeight="1">
      <c r="A38" s="147" t="s">
        <v>116</v>
      </c>
      <c r="B38" s="148">
        <v>20</v>
      </c>
      <c r="C38" s="154">
        <v>1</v>
      </c>
      <c r="D38" s="155">
        <v>175079251</v>
      </c>
      <c r="E38" s="156">
        <f>IF(ISBLANK(D38),"-",$D$48/$D$45*D38)</f>
        <v>154054982.41268489</v>
      </c>
      <c r="F38" s="155">
        <v>191895736</v>
      </c>
      <c r="G38" s="157">
        <f>IF(ISBLANK(F38),"-",$D$48/$F$45*F38)</f>
        <v>151700431.23722792</v>
      </c>
      <c r="I38" s="158"/>
      <c r="J38" s="129"/>
      <c r="K38" s="129"/>
      <c r="L38" s="137"/>
      <c r="M38" s="137"/>
      <c r="N38" s="138"/>
    </row>
    <row r="39" spans="1:14" s="69" customFormat="1" ht="26.25" customHeight="1">
      <c r="A39" s="147" t="s">
        <v>117</v>
      </c>
      <c r="B39" s="148">
        <v>1</v>
      </c>
      <c r="C39" s="159">
        <v>2</v>
      </c>
      <c r="D39" s="160">
        <v>174244602</v>
      </c>
      <c r="E39" s="161">
        <f>IF(ISBLANK(D39),"-",$D$48/$D$45*D39)</f>
        <v>153320561.65019396</v>
      </c>
      <c r="F39" s="160">
        <v>192421990</v>
      </c>
      <c r="G39" s="162">
        <f>IF(ISBLANK(F39),"-",$D$48/$F$45*F39)</f>
        <v>152116453.8149277</v>
      </c>
      <c r="I39" s="163">
        <f>ABS((F43/D43*D42)-F42)/D42</f>
        <v>1.1788388411426843E-2</v>
      </c>
      <c r="J39" s="129"/>
      <c r="K39" s="129"/>
      <c r="L39" s="137"/>
      <c r="M39" s="137"/>
      <c r="N39" s="138"/>
    </row>
    <row r="40" spans="1:14" ht="26.25" customHeight="1">
      <c r="A40" s="147" t="s">
        <v>118</v>
      </c>
      <c r="B40" s="148">
        <v>1</v>
      </c>
      <c r="C40" s="159">
        <v>3</v>
      </c>
      <c r="D40" s="160">
        <v>174433307</v>
      </c>
      <c r="E40" s="161">
        <f>IF(ISBLANK(D40),"-",$D$48/$D$45*D40)</f>
        <v>153486606.14313152</v>
      </c>
      <c r="F40" s="160">
        <v>192482511</v>
      </c>
      <c r="G40" s="162">
        <f>IF(ISBLANK(F40),"-",$D$48/$F$45*F40)</f>
        <v>152164297.8264221</v>
      </c>
      <c r="I40" s="163"/>
      <c r="L40" s="137"/>
      <c r="M40" s="137"/>
      <c r="N40" s="105"/>
    </row>
    <row r="41" spans="1:14" ht="27" customHeight="1" thickBot="1">
      <c r="A41" s="147" t="s">
        <v>119</v>
      </c>
      <c r="B41" s="148">
        <v>1</v>
      </c>
      <c r="C41" s="164">
        <v>4</v>
      </c>
      <c r="D41" s="165"/>
      <c r="E41" s="166" t="str">
        <f>IF(ISBLANK(D41),"-",$D$48/$D$45*D41)</f>
        <v>-</v>
      </c>
      <c r="F41" s="165"/>
      <c r="G41" s="167" t="str">
        <f>IF(ISBLANK(F41),"-",$D$48/$F$45*F41)</f>
        <v>-</v>
      </c>
      <c r="I41" s="168"/>
      <c r="L41" s="137"/>
      <c r="M41" s="137"/>
      <c r="N41" s="105"/>
    </row>
    <row r="42" spans="1:14" ht="27" customHeight="1" thickBot="1">
      <c r="A42" s="147" t="s">
        <v>120</v>
      </c>
      <c r="B42" s="148">
        <v>1</v>
      </c>
      <c r="C42" s="169" t="s">
        <v>60</v>
      </c>
      <c r="D42" s="170">
        <f>AVERAGE(D38:D41)</f>
        <v>174585720</v>
      </c>
      <c r="E42" s="171">
        <f>AVERAGE(E38:E41)</f>
        <v>153620716.73533678</v>
      </c>
      <c r="F42" s="170">
        <f>AVERAGE(F38:F41)</f>
        <v>192266745.66666666</v>
      </c>
      <c r="G42" s="172">
        <f>AVERAGE(G38:G41)</f>
        <v>151993727.62619257</v>
      </c>
      <c r="H42" s="173"/>
    </row>
    <row r="43" spans="1:14" ht="26.25" customHeight="1">
      <c r="A43" s="147" t="s">
        <v>121</v>
      </c>
      <c r="B43" s="148">
        <v>1</v>
      </c>
      <c r="C43" s="174" t="s">
        <v>61</v>
      </c>
      <c r="D43" s="175">
        <v>18.22</v>
      </c>
      <c r="E43" s="105"/>
      <c r="F43" s="175">
        <v>20.28</v>
      </c>
      <c r="H43" s="173"/>
    </row>
    <row r="44" spans="1:14" ht="26.25" customHeight="1">
      <c r="A44" s="147" t="s">
        <v>122</v>
      </c>
      <c r="B44" s="148">
        <v>1</v>
      </c>
      <c r="C44" s="176" t="s">
        <v>62</v>
      </c>
      <c r="D44" s="177">
        <f>D43*$B$34</f>
        <v>18.22</v>
      </c>
      <c r="E44" s="178"/>
      <c r="F44" s="177">
        <f>F43*$B$34</f>
        <v>20.28</v>
      </c>
      <c r="H44" s="173"/>
    </row>
    <row r="45" spans="1:14" ht="19.5" customHeight="1" thickBot="1">
      <c r="A45" s="147" t="s">
        <v>63</v>
      </c>
      <c r="B45" s="159">
        <f>(B44/B43)*(B42/B41)*(B40/B39)*(B38/B37)*B36</f>
        <v>100</v>
      </c>
      <c r="C45" s="176" t="s">
        <v>64</v>
      </c>
      <c r="D45" s="179">
        <f>D44*$B$30/100</f>
        <v>18.183559999999996</v>
      </c>
      <c r="E45" s="180"/>
      <c r="F45" s="179">
        <f>F44*$B$30/100</f>
        <v>20.239439999999998</v>
      </c>
      <c r="H45" s="173"/>
    </row>
    <row r="46" spans="1:14" ht="19.5" customHeight="1" thickBot="1">
      <c r="A46" s="181" t="s">
        <v>65</v>
      </c>
      <c r="B46" s="182"/>
      <c r="C46" s="176" t="s">
        <v>66</v>
      </c>
      <c r="D46" s="183">
        <f>D45/$B$45</f>
        <v>0.18183559999999996</v>
      </c>
      <c r="E46" s="184"/>
      <c r="F46" s="185">
        <f>F45/$B$45</f>
        <v>0.20239439999999997</v>
      </c>
      <c r="H46" s="173"/>
    </row>
    <row r="47" spans="1:14" ht="27" customHeight="1" thickBot="1">
      <c r="A47" s="186"/>
      <c r="B47" s="187"/>
      <c r="C47" s="188" t="s">
        <v>67</v>
      </c>
      <c r="D47" s="189">
        <v>0.16</v>
      </c>
      <c r="E47" s="190"/>
      <c r="F47" s="184"/>
      <c r="H47" s="173"/>
    </row>
    <row r="48" spans="1:14" ht="18.75">
      <c r="C48" s="191" t="s">
        <v>68</v>
      </c>
      <c r="D48" s="179">
        <f>D47*$B$45</f>
        <v>16</v>
      </c>
      <c r="F48" s="192"/>
      <c r="H48" s="173"/>
    </row>
    <row r="49" spans="1:12" ht="19.5" customHeight="1" thickBot="1">
      <c r="C49" s="193" t="s">
        <v>69</v>
      </c>
      <c r="D49" s="194">
        <f>D48/B34</f>
        <v>16</v>
      </c>
      <c r="F49" s="192"/>
      <c r="H49" s="173"/>
    </row>
    <row r="50" spans="1:12" ht="18.75">
      <c r="C50" s="142" t="s">
        <v>70</v>
      </c>
      <c r="D50" s="195">
        <f>AVERAGE(E38:E41,G38:G41)</f>
        <v>152807222.18076468</v>
      </c>
      <c r="F50" s="196"/>
      <c r="H50" s="173"/>
    </row>
    <row r="51" spans="1:12" ht="18.75">
      <c r="C51" s="147" t="s">
        <v>71</v>
      </c>
      <c r="D51" s="197">
        <f>STDEV(E38:E41,G38:G41)/D50</f>
        <v>6.1372423335924473E-3</v>
      </c>
      <c r="F51" s="196"/>
      <c r="H51" s="173"/>
    </row>
    <row r="52" spans="1:12" ht="19.5" customHeight="1" thickBot="1">
      <c r="C52" s="198" t="s">
        <v>19</v>
      </c>
      <c r="D52" s="199">
        <f>COUNT(E38:E41,G38:G41)</f>
        <v>6</v>
      </c>
      <c r="F52" s="196"/>
    </row>
    <row r="54" spans="1:12" ht="18.75">
      <c r="A54" s="200" t="s">
        <v>1</v>
      </c>
      <c r="B54" s="201" t="s">
        <v>72</v>
      </c>
    </row>
    <row r="55" spans="1:12" ht="18.75">
      <c r="A55" s="105" t="s">
        <v>73</v>
      </c>
      <c r="B55" s="202" t="str">
        <f>B21</f>
        <v>Each tablet contains: Sulphamethoxazole B.P. 800 mg and Trimethoprim B.P. 160 mg.</v>
      </c>
    </row>
    <row r="56" spans="1:12" ht="26.25" customHeight="1">
      <c r="A56" s="202" t="s">
        <v>74</v>
      </c>
      <c r="B56" s="203">
        <v>800</v>
      </c>
      <c r="C56" s="105" t="str">
        <f>B20</f>
        <v>each tablets contains sulphamethoxazole 800mg Trimethoprim 160mg.</v>
      </c>
      <c r="H56" s="178"/>
    </row>
    <row r="57" spans="1:12" ht="18.75">
      <c r="A57" s="202" t="s">
        <v>75</v>
      </c>
      <c r="B57" s="204">
        <f>Uniformity!C46</f>
        <v>1044.912</v>
      </c>
      <c r="H57" s="178"/>
    </row>
    <row r="58" spans="1:12" ht="19.5" customHeight="1" thickBot="1">
      <c r="H58" s="178"/>
    </row>
    <row r="59" spans="1:12" s="69" customFormat="1" ht="27" customHeight="1" thickBot="1">
      <c r="A59" s="142" t="s">
        <v>76</v>
      </c>
      <c r="B59" s="143">
        <v>200</v>
      </c>
      <c r="C59" s="105"/>
      <c r="D59" s="205" t="s">
        <v>77</v>
      </c>
      <c r="E59" s="206" t="s">
        <v>56</v>
      </c>
      <c r="F59" s="206" t="s">
        <v>57</v>
      </c>
      <c r="G59" s="206" t="s">
        <v>78</v>
      </c>
      <c r="H59" s="149" t="s">
        <v>79</v>
      </c>
      <c r="L59" s="129"/>
    </row>
    <row r="60" spans="1:12" s="69" customFormat="1" ht="26.25" customHeight="1">
      <c r="A60" s="147" t="s">
        <v>123</v>
      </c>
      <c r="B60" s="148">
        <v>2</v>
      </c>
      <c r="C60" s="207" t="s">
        <v>80</v>
      </c>
      <c r="D60" s="208">
        <v>1045.08</v>
      </c>
      <c r="E60" s="209">
        <v>1</v>
      </c>
      <c r="F60" s="210">
        <v>156048601</v>
      </c>
      <c r="G60" s="211">
        <f>IF(ISBLANK(F60),"-",(F60/$D$50*$D$47*$B$68)*($B$57/$D$60))</f>
        <v>816.83843710807844</v>
      </c>
      <c r="H60" s="212">
        <f t="shared" ref="H60:H71" si="0">IF(ISBLANK(F60),"-",G60/$B$56)</f>
        <v>1.0210480463850979</v>
      </c>
      <c r="L60" s="129"/>
    </row>
    <row r="61" spans="1:12" s="69" customFormat="1" ht="26.25" customHeight="1">
      <c r="A61" s="147" t="s">
        <v>124</v>
      </c>
      <c r="B61" s="148">
        <v>50</v>
      </c>
      <c r="C61" s="213"/>
      <c r="D61" s="214"/>
      <c r="E61" s="215">
        <v>2</v>
      </c>
      <c r="F61" s="160">
        <v>156495749</v>
      </c>
      <c r="G61" s="216">
        <f>IF(ISBLANK(F61),"-",(F61/$D$50*$D$47*$B$68)*($B$57/$D$60))</f>
        <v>819.17903914574731</v>
      </c>
      <c r="H61" s="217">
        <f t="shared" si="0"/>
        <v>1.0239737989321842</v>
      </c>
      <c r="L61" s="129"/>
    </row>
    <row r="62" spans="1:12" s="69" customFormat="1" ht="26.25" customHeight="1">
      <c r="A62" s="147" t="s">
        <v>125</v>
      </c>
      <c r="B62" s="148">
        <v>1</v>
      </c>
      <c r="C62" s="213"/>
      <c r="D62" s="214"/>
      <c r="E62" s="215">
        <v>3</v>
      </c>
      <c r="F62" s="218">
        <v>156927192</v>
      </c>
      <c r="G62" s="216">
        <f>IF(ISBLANK(F62),"-",(F62/$D$50*$D$47*$B$68)*($B$57/$D$60))</f>
        <v>821.43743315609299</v>
      </c>
      <c r="H62" s="217">
        <f t="shared" si="0"/>
        <v>1.0267967914451162</v>
      </c>
      <c r="L62" s="129"/>
    </row>
    <row r="63" spans="1:12" ht="27" customHeight="1" thickBot="1">
      <c r="A63" s="147" t="s">
        <v>126</v>
      </c>
      <c r="B63" s="148">
        <v>1</v>
      </c>
      <c r="C63" s="219"/>
      <c r="D63" s="220"/>
      <c r="E63" s="221">
        <v>4</v>
      </c>
      <c r="F63" s="222"/>
      <c r="G63" s="216" t="str">
        <f>IF(ISBLANK(F63),"-",(F63/$D$50*$D$47*$B$68)*($B$57/$D$60))</f>
        <v>-</v>
      </c>
      <c r="H63" s="217" t="str">
        <f t="shared" si="0"/>
        <v>-</v>
      </c>
    </row>
    <row r="64" spans="1:12" ht="26.25" customHeight="1">
      <c r="A64" s="147" t="s">
        <v>127</v>
      </c>
      <c r="B64" s="148">
        <v>1</v>
      </c>
      <c r="C64" s="207" t="s">
        <v>81</v>
      </c>
      <c r="D64" s="208">
        <v>1046.9100000000001</v>
      </c>
      <c r="E64" s="209">
        <v>1</v>
      </c>
      <c r="F64" s="210">
        <v>157385656</v>
      </c>
      <c r="G64" s="223">
        <f>IF(ISBLANK(F64),"-",(F64/$D$50*$D$47*$B$68)*($B$57/$D$64))</f>
        <v>822.39720035849336</v>
      </c>
      <c r="H64" s="224">
        <f t="shared" si="0"/>
        <v>1.0279965004481166</v>
      </c>
    </row>
    <row r="65" spans="1:8" ht="26.25" customHeight="1">
      <c r="A65" s="147" t="s">
        <v>128</v>
      </c>
      <c r="B65" s="148">
        <v>1</v>
      </c>
      <c r="C65" s="213"/>
      <c r="D65" s="214"/>
      <c r="E65" s="215">
        <v>2</v>
      </c>
      <c r="F65" s="160">
        <v>157487083</v>
      </c>
      <c r="G65" s="225">
        <f>IF(ISBLANK(F65),"-",(F65/$D$50*$D$47*$B$68)*($B$57/$D$64))</f>
        <v>822.92719326229894</v>
      </c>
      <c r="H65" s="226">
        <f t="shared" si="0"/>
        <v>1.0286589915778737</v>
      </c>
    </row>
    <row r="66" spans="1:8" ht="26.25" customHeight="1">
      <c r="A66" s="147" t="s">
        <v>129</v>
      </c>
      <c r="B66" s="148">
        <v>1</v>
      </c>
      <c r="C66" s="213"/>
      <c r="D66" s="214"/>
      <c r="E66" s="215">
        <v>3</v>
      </c>
      <c r="F66" s="160">
        <v>157568292</v>
      </c>
      <c r="G66" s="225">
        <f>IF(ISBLANK(F66),"-",(F66/$D$50*$D$47*$B$68)*($B$57/$D$64))</f>
        <v>823.35153977481639</v>
      </c>
      <c r="H66" s="226">
        <f t="shared" si="0"/>
        <v>1.0291894247185205</v>
      </c>
    </row>
    <row r="67" spans="1:8" ht="27" customHeight="1" thickBot="1">
      <c r="A67" s="147" t="s">
        <v>130</v>
      </c>
      <c r="B67" s="148">
        <v>1</v>
      </c>
      <c r="C67" s="219"/>
      <c r="D67" s="220"/>
      <c r="E67" s="221">
        <v>4</v>
      </c>
      <c r="F67" s="222"/>
      <c r="G67" s="227" t="str">
        <f>IF(ISBLANK(F67),"-",(F67/$D$50*$D$47*$B$68)*($B$57/$D$64))</f>
        <v>-</v>
      </c>
      <c r="H67" s="228" t="str">
        <f t="shared" si="0"/>
        <v>-</v>
      </c>
    </row>
    <row r="68" spans="1:8" ht="26.25" customHeight="1">
      <c r="A68" s="147" t="s">
        <v>82</v>
      </c>
      <c r="B68" s="229">
        <f>(B67/B66)*(B65/B64)*(B63/B62)*(B61/B60)*B59</f>
        <v>5000</v>
      </c>
      <c r="C68" s="207" t="s">
        <v>83</v>
      </c>
      <c r="D68" s="208">
        <v>1040.44</v>
      </c>
      <c r="E68" s="209">
        <v>1</v>
      </c>
      <c r="F68" s="210">
        <v>151241095</v>
      </c>
      <c r="G68" s="223">
        <f>IF(ISBLANK(F68),"-",(F68/$D$50*$D$47*$B$68)*($B$57/$D$68))</f>
        <v>795.20407224063058</v>
      </c>
      <c r="H68" s="217">
        <f t="shared" si="0"/>
        <v>0.99400509030078821</v>
      </c>
    </row>
    <row r="69" spans="1:8" ht="27" customHeight="1" thickBot="1">
      <c r="A69" s="198" t="s">
        <v>84</v>
      </c>
      <c r="B69" s="230">
        <f>(D47*B68)/B56*B57</f>
        <v>1044.912</v>
      </c>
      <c r="C69" s="213"/>
      <c r="D69" s="214"/>
      <c r="E69" s="215">
        <v>2</v>
      </c>
      <c r="F69" s="160">
        <v>151715871</v>
      </c>
      <c r="G69" s="225">
        <f>IF(ISBLANK(F69),"-",(F69/$D$50*$D$47*$B$68)*($B$57/$D$68))</f>
        <v>797.7003766253755</v>
      </c>
      <c r="H69" s="217">
        <f t="shared" si="0"/>
        <v>0.99712547078171943</v>
      </c>
    </row>
    <row r="70" spans="1:8" ht="26.25" customHeight="1">
      <c r="A70" s="231" t="s">
        <v>65</v>
      </c>
      <c r="B70" s="232"/>
      <c r="C70" s="213"/>
      <c r="D70" s="214"/>
      <c r="E70" s="215">
        <v>3</v>
      </c>
      <c r="F70" s="160">
        <v>151274402</v>
      </c>
      <c r="G70" s="225">
        <f>IF(ISBLANK(F70),"-",(F70/$D$50*$D$47*$B$68)*($B$57/$D$68))</f>
        <v>795.37919568862014</v>
      </c>
      <c r="H70" s="217">
        <f t="shared" si="0"/>
        <v>0.99422399461077515</v>
      </c>
    </row>
    <row r="71" spans="1:8" ht="27" customHeight="1" thickBot="1">
      <c r="A71" s="233"/>
      <c r="B71" s="234"/>
      <c r="C71" s="235"/>
      <c r="D71" s="220"/>
      <c r="E71" s="221">
        <v>4</v>
      </c>
      <c r="F71" s="222"/>
      <c r="G71" s="227" t="str">
        <f>IF(ISBLANK(F71),"-",(F71/$D$50*$D$47*$B$68)*($B$57/$D$68))</f>
        <v>-</v>
      </c>
      <c r="H71" s="236" t="str">
        <f t="shared" si="0"/>
        <v>-</v>
      </c>
    </row>
    <row r="72" spans="1:8" ht="26.25" customHeight="1">
      <c r="A72" s="178"/>
      <c r="B72" s="178"/>
      <c r="C72" s="178"/>
      <c r="D72" s="178"/>
      <c r="E72" s="178"/>
      <c r="F72" s="237" t="s">
        <v>60</v>
      </c>
      <c r="G72" s="238">
        <f>AVERAGE(G60:G71)</f>
        <v>812.71272081779489</v>
      </c>
      <c r="H72" s="239">
        <f>AVERAGE(H60:H71)</f>
        <v>1.0158909010222437</v>
      </c>
    </row>
    <row r="73" spans="1:8" ht="26.25" customHeight="1">
      <c r="C73" s="178"/>
      <c r="D73" s="178"/>
      <c r="E73" s="178"/>
      <c r="F73" s="240" t="s">
        <v>71</v>
      </c>
      <c r="G73" s="241">
        <f>STDEV(G60:G71)/G72</f>
        <v>1.5555783557554251E-2</v>
      </c>
      <c r="H73" s="241">
        <f>STDEV(H60:H71)/H72</f>
        <v>1.5555783557550844E-2</v>
      </c>
    </row>
    <row r="74" spans="1:8" ht="27" customHeight="1" thickBot="1">
      <c r="A74" s="178"/>
      <c r="B74" s="178"/>
      <c r="C74" s="178"/>
      <c r="D74" s="178"/>
      <c r="E74" s="180"/>
      <c r="F74" s="242" t="s">
        <v>19</v>
      </c>
      <c r="G74" s="243">
        <f>COUNT(G60:G71)</f>
        <v>9</v>
      </c>
      <c r="H74" s="243">
        <f>COUNT(H60:H71)</f>
        <v>9</v>
      </c>
    </row>
    <row r="76" spans="1:8" ht="26.25" customHeight="1">
      <c r="A76" s="121" t="s">
        <v>85</v>
      </c>
      <c r="B76" s="122" t="s">
        <v>86</v>
      </c>
      <c r="C76" s="244" t="str">
        <f>B20</f>
        <v>each tablets contains sulphamethoxazole 800mg Trimethoprim 160mg.</v>
      </c>
      <c r="D76" s="244"/>
      <c r="E76" s="105" t="s">
        <v>87</v>
      </c>
      <c r="F76" s="105"/>
      <c r="G76" s="245">
        <f>H72</f>
        <v>1.0158909010222437</v>
      </c>
      <c r="H76" s="130"/>
    </row>
    <row r="77" spans="1:8" ht="18.75">
      <c r="A77" s="120" t="s">
        <v>88</v>
      </c>
      <c r="B77" s="120" t="s">
        <v>89</v>
      </c>
    </row>
    <row r="78" spans="1:8" ht="18.75">
      <c r="A78" s="120"/>
      <c r="B78" s="120"/>
    </row>
    <row r="79" spans="1:8" ht="26.25" customHeight="1">
      <c r="A79" s="121" t="s">
        <v>3</v>
      </c>
      <c r="B79" s="246" t="str">
        <f>B26</f>
        <v>Sulfamethoxazole</v>
      </c>
      <c r="C79" s="246"/>
    </row>
    <row r="80" spans="1:8" ht="26.25" customHeight="1">
      <c r="A80" s="122" t="s">
        <v>43</v>
      </c>
      <c r="B80" s="246" t="str">
        <f>B27</f>
        <v>S12-1</v>
      </c>
      <c r="C80" s="246"/>
    </row>
    <row r="81" spans="1:12" ht="27" customHeight="1" thickBot="1">
      <c r="A81" s="122" t="s">
        <v>5</v>
      </c>
      <c r="B81" s="124">
        <f>B28</f>
        <v>99.8</v>
      </c>
    </row>
    <row r="82" spans="1:12" s="69" customFormat="1" ht="27" customHeight="1" thickBot="1">
      <c r="A82" s="122" t="s">
        <v>44</v>
      </c>
      <c r="B82" s="125">
        <v>0</v>
      </c>
      <c r="C82" s="126" t="s">
        <v>45</v>
      </c>
      <c r="D82" s="127"/>
      <c r="E82" s="127"/>
      <c r="F82" s="127"/>
      <c r="G82" s="128"/>
      <c r="I82" s="129"/>
      <c r="J82" s="129"/>
      <c r="K82" s="129"/>
      <c r="L82" s="129"/>
    </row>
    <row r="83" spans="1:12" s="69" customFormat="1" ht="19.5" customHeight="1" thickBot="1">
      <c r="A83" s="122" t="s">
        <v>46</v>
      </c>
      <c r="B83" s="130">
        <f>B81-B82</f>
        <v>99.8</v>
      </c>
      <c r="C83" s="131"/>
      <c r="D83" s="131"/>
      <c r="E83" s="131"/>
      <c r="F83" s="131"/>
      <c r="G83" s="132"/>
      <c r="I83" s="129"/>
      <c r="J83" s="129"/>
      <c r="K83" s="129"/>
      <c r="L83" s="129"/>
    </row>
    <row r="84" spans="1:12" s="69" customFormat="1" ht="27" customHeight="1" thickBot="1">
      <c r="A84" s="122" t="s">
        <v>47</v>
      </c>
      <c r="B84" s="133">
        <v>1</v>
      </c>
      <c r="C84" s="134" t="s">
        <v>90</v>
      </c>
      <c r="D84" s="135"/>
      <c r="E84" s="135"/>
      <c r="F84" s="135"/>
      <c r="G84" s="135"/>
      <c r="H84" s="136"/>
      <c r="I84" s="129"/>
      <c r="J84" s="129"/>
      <c r="K84" s="129"/>
      <c r="L84" s="129"/>
    </row>
    <row r="85" spans="1:12" s="69" customFormat="1" ht="27" customHeight="1" thickBot="1">
      <c r="A85" s="122" t="s">
        <v>49</v>
      </c>
      <c r="B85" s="133">
        <v>1</v>
      </c>
      <c r="C85" s="134" t="s">
        <v>91</v>
      </c>
      <c r="D85" s="135"/>
      <c r="E85" s="135"/>
      <c r="F85" s="135"/>
      <c r="G85" s="135"/>
      <c r="H85" s="136"/>
      <c r="I85" s="129"/>
      <c r="J85" s="129"/>
      <c r="K85" s="129"/>
      <c r="L85" s="129"/>
    </row>
    <row r="86" spans="1:12" s="69" customFormat="1" ht="18.75">
      <c r="A86" s="122"/>
      <c r="B86" s="139"/>
      <c r="C86" s="140"/>
      <c r="D86" s="140"/>
      <c r="E86" s="140"/>
      <c r="F86" s="140"/>
      <c r="G86" s="140"/>
      <c r="H86" s="140"/>
      <c r="I86" s="129"/>
      <c r="J86" s="129"/>
      <c r="K86" s="129"/>
      <c r="L86" s="129"/>
    </row>
    <row r="87" spans="1:12" s="69" customFormat="1" ht="18.75">
      <c r="A87" s="122" t="s">
        <v>51</v>
      </c>
      <c r="B87" s="141">
        <f>B84/B85</f>
        <v>1</v>
      </c>
      <c r="C87" s="105" t="s">
        <v>52</v>
      </c>
      <c r="D87" s="105"/>
      <c r="E87" s="105"/>
      <c r="F87" s="105"/>
      <c r="G87" s="105"/>
      <c r="I87" s="129"/>
      <c r="J87" s="129"/>
      <c r="K87" s="129"/>
      <c r="L87" s="129"/>
    </row>
    <row r="88" spans="1:12" ht="19.5" customHeight="1" thickBot="1">
      <c r="A88" s="120"/>
      <c r="B88" s="120"/>
    </row>
    <row r="89" spans="1:12" ht="27" customHeight="1" thickBot="1">
      <c r="A89" s="142" t="s">
        <v>53</v>
      </c>
      <c r="B89" s="143">
        <v>50</v>
      </c>
      <c r="D89" s="247" t="s">
        <v>54</v>
      </c>
      <c r="E89" s="248"/>
      <c r="F89" s="144" t="s">
        <v>55</v>
      </c>
      <c r="G89" s="146"/>
    </row>
    <row r="90" spans="1:12" ht="27" customHeight="1" thickBot="1">
      <c r="A90" s="147" t="s">
        <v>115</v>
      </c>
      <c r="B90" s="148">
        <v>10</v>
      </c>
      <c r="C90" s="249" t="s">
        <v>56</v>
      </c>
      <c r="D90" s="150" t="s">
        <v>57</v>
      </c>
      <c r="E90" s="151" t="s">
        <v>58</v>
      </c>
      <c r="F90" s="150" t="s">
        <v>57</v>
      </c>
      <c r="G90" s="250" t="s">
        <v>58</v>
      </c>
      <c r="I90" s="153" t="s">
        <v>59</v>
      </c>
    </row>
    <row r="91" spans="1:12" ht="26.25" customHeight="1">
      <c r="A91" s="147" t="s">
        <v>116</v>
      </c>
      <c r="B91" s="148">
        <v>20</v>
      </c>
      <c r="C91" s="251">
        <v>1</v>
      </c>
      <c r="D91" s="155">
        <v>175079251</v>
      </c>
      <c r="E91" s="156">
        <f>IF(ISBLANK(D91),"-",$D$101/$D$98*D91)</f>
        <v>85586101.340380505</v>
      </c>
      <c r="F91" s="155">
        <v>191895736</v>
      </c>
      <c r="G91" s="157">
        <f>IF(ISBLANK(F91),"-",$D$101/$F$98*F91)</f>
        <v>84278017.354015514</v>
      </c>
      <c r="I91" s="158"/>
    </row>
    <row r="92" spans="1:12" ht="26.25" customHeight="1">
      <c r="A92" s="147" t="s">
        <v>117</v>
      </c>
      <c r="B92" s="148">
        <v>1</v>
      </c>
      <c r="C92" s="178">
        <v>2</v>
      </c>
      <c r="D92" s="160">
        <v>174244602</v>
      </c>
      <c r="E92" s="161">
        <f>IF(ISBLANK(D92),"-",$D$101/$D$98*D92)</f>
        <v>85178089.805663303</v>
      </c>
      <c r="F92" s="160">
        <v>192421990</v>
      </c>
      <c r="G92" s="162">
        <f>IF(ISBLANK(F92),"-",$D$101/$F$98*F92)</f>
        <v>84509141.008293167</v>
      </c>
      <c r="I92" s="163">
        <f>ABS((F96/D96*D95)-F95)/D95</f>
        <v>1.1788388411426843E-2</v>
      </c>
    </row>
    <row r="93" spans="1:12" ht="26.25" customHeight="1">
      <c r="A93" s="147" t="s">
        <v>118</v>
      </c>
      <c r="B93" s="148">
        <v>1</v>
      </c>
      <c r="C93" s="178">
        <v>3</v>
      </c>
      <c r="D93" s="160">
        <v>174433307</v>
      </c>
      <c r="E93" s="161">
        <f>IF(ISBLANK(D93),"-",$D$101/$D$98*D93)</f>
        <v>85270336.746184185</v>
      </c>
      <c r="F93" s="160">
        <v>192482511</v>
      </c>
      <c r="G93" s="162">
        <f>IF(ISBLANK(F93),"-",$D$101/$F$98*F93)</f>
        <v>84535721.01467894</v>
      </c>
      <c r="I93" s="163"/>
    </row>
    <row r="94" spans="1:12" ht="27" customHeight="1" thickBot="1">
      <c r="A94" s="147" t="s">
        <v>119</v>
      </c>
      <c r="B94" s="148">
        <v>1</v>
      </c>
      <c r="C94" s="252">
        <v>4</v>
      </c>
      <c r="D94" s="165"/>
      <c r="E94" s="166" t="str">
        <f>IF(ISBLANK(D94),"-",$D$101/$D$98*D94)</f>
        <v>-</v>
      </c>
      <c r="F94" s="165"/>
      <c r="G94" s="167" t="str">
        <f>IF(ISBLANK(F94),"-",$D$101/$F$98*F94)</f>
        <v>-</v>
      </c>
      <c r="I94" s="168"/>
    </row>
    <row r="95" spans="1:12" ht="27" customHeight="1" thickBot="1">
      <c r="A95" s="147" t="s">
        <v>120</v>
      </c>
      <c r="B95" s="148">
        <v>1</v>
      </c>
      <c r="C95" s="122" t="s">
        <v>60</v>
      </c>
      <c r="D95" s="253">
        <f>AVERAGE(D91:D94)</f>
        <v>174585720</v>
      </c>
      <c r="E95" s="171">
        <f>AVERAGE(E91:E94)</f>
        <v>85344842.630742669</v>
      </c>
      <c r="F95" s="254">
        <f>AVERAGE(F91:F94)</f>
        <v>192266745.66666666</v>
      </c>
      <c r="G95" s="255">
        <f>AVERAGE(G91:G94)</f>
        <v>84440959.792329207</v>
      </c>
    </row>
    <row r="96" spans="1:12" ht="26.25" customHeight="1">
      <c r="A96" s="147" t="s">
        <v>121</v>
      </c>
      <c r="B96" s="124">
        <v>1</v>
      </c>
      <c r="C96" s="256" t="s">
        <v>92</v>
      </c>
      <c r="D96" s="257">
        <f>D43</f>
        <v>18.22</v>
      </c>
      <c r="E96" s="105"/>
      <c r="F96" s="175">
        <f>F43</f>
        <v>20.28</v>
      </c>
    </row>
    <row r="97" spans="1:10" ht="26.25" customHeight="1">
      <c r="A97" s="147" t="s">
        <v>122</v>
      </c>
      <c r="B97" s="124">
        <v>1</v>
      </c>
      <c r="C97" s="258" t="s">
        <v>93</v>
      </c>
      <c r="D97" s="259">
        <f>D96*$B$87</f>
        <v>18.22</v>
      </c>
      <c r="E97" s="178"/>
      <c r="F97" s="177">
        <f>F96*$B$87</f>
        <v>20.28</v>
      </c>
    </row>
    <row r="98" spans="1:10" ht="19.5" customHeight="1" thickBot="1">
      <c r="A98" s="147" t="s">
        <v>63</v>
      </c>
      <c r="B98" s="178">
        <f>(B97/B96)*(B95/B94)*(B93/B92)*(B91/B90)*B89</f>
        <v>100</v>
      </c>
      <c r="C98" s="258" t="s">
        <v>94</v>
      </c>
      <c r="D98" s="260">
        <f>D97*$B$83/100</f>
        <v>18.183559999999996</v>
      </c>
      <c r="E98" s="180"/>
      <c r="F98" s="179">
        <f>F97*$B$83/100</f>
        <v>20.239439999999998</v>
      </c>
    </row>
    <row r="99" spans="1:10" ht="19.5" customHeight="1" thickBot="1">
      <c r="A99" s="181" t="s">
        <v>65</v>
      </c>
      <c r="B99" s="261"/>
      <c r="C99" s="258" t="s">
        <v>95</v>
      </c>
      <c r="D99" s="262">
        <f>D98/$B$98</f>
        <v>0.18183559999999996</v>
      </c>
      <c r="E99" s="180"/>
      <c r="F99" s="185">
        <f>F98/$B$98</f>
        <v>0.20239439999999997</v>
      </c>
      <c r="H99" s="173"/>
    </row>
    <row r="100" spans="1:10" ht="19.5" customHeight="1" thickBot="1">
      <c r="A100" s="186"/>
      <c r="B100" s="263"/>
      <c r="C100" s="258" t="s">
        <v>67</v>
      </c>
      <c r="D100" s="264">
        <f>$B$56/$B$116</f>
        <v>8.8888888888888892E-2</v>
      </c>
      <c r="F100" s="192"/>
      <c r="G100" s="265"/>
      <c r="H100" s="173"/>
    </row>
    <row r="101" spans="1:10" ht="18.75">
      <c r="C101" s="258" t="s">
        <v>68</v>
      </c>
      <c r="D101" s="259">
        <f>D100*$B$98</f>
        <v>8.8888888888888893</v>
      </c>
      <c r="F101" s="192"/>
      <c r="H101" s="173"/>
    </row>
    <row r="102" spans="1:10" ht="19.5" customHeight="1" thickBot="1">
      <c r="C102" s="266" t="s">
        <v>69</v>
      </c>
      <c r="D102" s="267">
        <f>D101/B34</f>
        <v>8.8888888888888893</v>
      </c>
      <c r="F102" s="196"/>
      <c r="H102" s="173"/>
      <c r="J102" s="268"/>
    </row>
    <row r="103" spans="1:10" ht="18.75">
      <c r="C103" s="269" t="s">
        <v>96</v>
      </c>
      <c r="D103" s="270">
        <f>AVERAGE(E91:E94,G91:G94)</f>
        <v>84892901.211535946</v>
      </c>
      <c r="F103" s="196"/>
      <c r="G103" s="265"/>
      <c r="H103" s="173"/>
      <c r="J103" s="271"/>
    </row>
    <row r="104" spans="1:10" ht="18.75">
      <c r="C104" s="240" t="s">
        <v>71</v>
      </c>
      <c r="D104" s="272">
        <f>STDEV(E91:E94,G91:G94)/D103</f>
        <v>6.1372423335734659E-3</v>
      </c>
      <c r="F104" s="196"/>
      <c r="H104" s="173"/>
      <c r="J104" s="271"/>
    </row>
    <row r="105" spans="1:10" ht="19.5" customHeight="1" thickBot="1">
      <c r="C105" s="242" t="s">
        <v>19</v>
      </c>
      <c r="D105" s="273">
        <f>COUNT(E91:E94,G91:G94)</f>
        <v>6</v>
      </c>
      <c r="F105" s="196"/>
      <c r="H105" s="173"/>
      <c r="J105" s="271"/>
    </row>
    <row r="106" spans="1:10" ht="19.5" customHeight="1" thickBot="1">
      <c r="A106" s="200"/>
      <c r="B106" s="200"/>
      <c r="C106" s="200"/>
      <c r="D106" s="200"/>
      <c r="E106" s="200"/>
    </row>
    <row r="107" spans="1:10" ht="26.25" customHeight="1">
      <c r="A107" s="142" t="s">
        <v>97</v>
      </c>
      <c r="B107" s="143">
        <v>900</v>
      </c>
      <c r="C107" s="247" t="s">
        <v>98</v>
      </c>
      <c r="D107" s="274" t="s">
        <v>57</v>
      </c>
      <c r="E107" s="275" t="s">
        <v>99</v>
      </c>
      <c r="F107" s="276" t="s">
        <v>100</v>
      </c>
    </row>
    <row r="108" spans="1:10" ht="26.25" customHeight="1">
      <c r="A108" s="147" t="s">
        <v>131</v>
      </c>
      <c r="B108" s="148">
        <v>5</v>
      </c>
      <c r="C108" s="277">
        <v>1</v>
      </c>
      <c r="D108" s="278">
        <v>88742593</v>
      </c>
      <c r="E108" s="279">
        <f t="shared" ref="E108:E113" si="1">IF(ISBLANK(D108),"-",D108/$D$103*$D$100*$B$116)</f>
        <v>836.2781031961332</v>
      </c>
      <c r="F108" s="280">
        <f t="shared" ref="F108:F113" si="2">IF(ISBLANK(D108), "-", E108/$B$56)</f>
        <v>1.0453476289951664</v>
      </c>
    </row>
    <row r="109" spans="1:10" ht="26.25" customHeight="1">
      <c r="A109" s="147" t="s">
        <v>124</v>
      </c>
      <c r="B109" s="148">
        <v>50</v>
      </c>
      <c r="C109" s="277">
        <v>2</v>
      </c>
      <c r="D109" s="278">
        <v>86626847</v>
      </c>
      <c r="E109" s="281">
        <f t="shared" si="1"/>
        <v>816.34007803920781</v>
      </c>
      <c r="F109" s="282">
        <f t="shared" si="2"/>
        <v>1.0204250975490097</v>
      </c>
    </row>
    <row r="110" spans="1:10" ht="26.25" customHeight="1">
      <c r="A110" s="147" t="s">
        <v>125</v>
      </c>
      <c r="B110" s="148">
        <v>1</v>
      </c>
      <c r="C110" s="277">
        <v>3</v>
      </c>
      <c r="D110" s="278">
        <v>88587612</v>
      </c>
      <c r="E110" s="281">
        <f t="shared" si="1"/>
        <v>834.81761830009873</v>
      </c>
      <c r="F110" s="282">
        <f t="shared" si="2"/>
        <v>1.0435220228751234</v>
      </c>
    </row>
    <row r="111" spans="1:10" ht="26.25" customHeight="1">
      <c r="A111" s="147" t="s">
        <v>126</v>
      </c>
      <c r="B111" s="148">
        <v>1</v>
      </c>
      <c r="C111" s="277">
        <v>4</v>
      </c>
      <c r="D111" s="278">
        <v>82917841</v>
      </c>
      <c r="E111" s="281">
        <f t="shared" si="1"/>
        <v>781.38774683537326</v>
      </c>
      <c r="F111" s="282">
        <f t="shared" si="2"/>
        <v>0.97673468354421655</v>
      </c>
    </row>
    <row r="112" spans="1:10" ht="26.25" customHeight="1">
      <c r="A112" s="147" t="s">
        <v>127</v>
      </c>
      <c r="B112" s="148">
        <v>1</v>
      </c>
      <c r="C112" s="277">
        <v>5</v>
      </c>
      <c r="D112" s="278">
        <v>83744386</v>
      </c>
      <c r="E112" s="281">
        <f t="shared" si="1"/>
        <v>789.17680800024425</v>
      </c>
      <c r="F112" s="282">
        <f t="shared" si="2"/>
        <v>0.98647101000030535</v>
      </c>
    </row>
    <row r="113" spans="1:10" ht="26.25" customHeight="1">
      <c r="A113" s="147" t="s">
        <v>128</v>
      </c>
      <c r="B113" s="148">
        <v>1</v>
      </c>
      <c r="C113" s="283">
        <v>6</v>
      </c>
      <c r="D113" s="284">
        <v>88790071</v>
      </c>
      <c r="E113" s="285">
        <f t="shared" si="1"/>
        <v>836.72551869799429</v>
      </c>
      <c r="F113" s="286">
        <f t="shared" si="2"/>
        <v>1.0459068983724928</v>
      </c>
    </row>
    <row r="114" spans="1:10" ht="26.25" customHeight="1">
      <c r="A114" s="147" t="s">
        <v>129</v>
      </c>
      <c r="B114" s="148">
        <v>1</v>
      </c>
      <c r="C114" s="277"/>
      <c r="D114" s="178"/>
      <c r="E114" s="105"/>
      <c r="F114" s="287"/>
    </row>
    <row r="115" spans="1:10" ht="26.25" customHeight="1">
      <c r="A115" s="147" t="s">
        <v>130</v>
      </c>
      <c r="B115" s="148">
        <v>1</v>
      </c>
      <c r="C115" s="277"/>
      <c r="D115" s="288" t="s">
        <v>60</v>
      </c>
      <c r="E115" s="289">
        <f>AVERAGE(E108:E113)</f>
        <v>815.78764551150869</v>
      </c>
      <c r="F115" s="290">
        <f>AVERAGE(F108:F113)</f>
        <v>1.0197345568893856</v>
      </c>
    </row>
    <row r="116" spans="1:10" ht="27" customHeight="1" thickBot="1">
      <c r="A116" s="147" t="s">
        <v>82</v>
      </c>
      <c r="B116" s="159">
        <f>(B115/B114)*(B113/B112)*(B111/B110)*(B109/B108)*B107</f>
        <v>9000</v>
      </c>
      <c r="C116" s="291"/>
      <c r="D116" s="122" t="s">
        <v>71</v>
      </c>
      <c r="E116" s="292">
        <f>STDEV(E108:E113)/E115</f>
        <v>3.058234585205891E-2</v>
      </c>
      <c r="F116" s="292">
        <f>STDEV(F108:F113)/F115</f>
        <v>3.0582345852059323E-2</v>
      </c>
      <c r="I116" s="105"/>
    </row>
    <row r="117" spans="1:10" ht="27" customHeight="1" thickBot="1">
      <c r="A117" s="181" t="s">
        <v>65</v>
      </c>
      <c r="B117" s="182"/>
      <c r="C117" s="293"/>
      <c r="D117" s="294" t="s">
        <v>19</v>
      </c>
      <c r="E117" s="295">
        <f>COUNT(E108:E113)</f>
        <v>6</v>
      </c>
      <c r="F117" s="295">
        <f>COUNT(F108:F113)</f>
        <v>6</v>
      </c>
      <c r="I117" s="105"/>
      <c r="J117" s="271"/>
    </row>
    <row r="118" spans="1:10" ht="19.5" customHeight="1" thickBot="1">
      <c r="A118" s="186"/>
      <c r="B118" s="187"/>
      <c r="C118" s="105"/>
      <c r="D118" s="105"/>
      <c r="E118" s="105"/>
      <c r="F118" s="178"/>
      <c r="G118" s="105"/>
      <c r="H118" s="105"/>
      <c r="I118" s="105"/>
    </row>
    <row r="119" spans="1:10" ht="18.75">
      <c r="A119" s="296"/>
      <c r="B119" s="140"/>
      <c r="C119" s="105"/>
      <c r="D119" s="105"/>
      <c r="E119" s="105"/>
      <c r="F119" s="178"/>
      <c r="G119" s="105"/>
      <c r="H119" s="105"/>
      <c r="I119" s="105"/>
    </row>
    <row r="120" spans="1:10" ht="26.25" customHeight="1">
      <c r="A120" s="121" t="s">
        <v>85</v>
      </c>
      <c r="B120" s="122" t="s">
        <v>101</v>
      </c>
      <c r="C120" s="244" t="str">
        <f>B20</f>
        <v>each tablets contains sulphamethoxazole 800mg Trimethoprim 160mg.</v>
      </c>
      <c r="D120" s="244"/>
      <c r="E120" s="105" t="s">
        <v>102</v>
      </c>
      <c r="F120" s="105"/>
      <c r="G120" s="245">
        <f>F115</f>
        <v>1.0197345568893856</v>
      </c>
      <c r="H120" s="105"/>
      <c r="I120" s="105"/>
    </row>
    <row r="121" spans="1:10" ht="19.5" customHeight="1" thickBot="1">
      <c r="A121" s="297"/>
      <c r="B121" s="297"/>
      <c r="C121" s="298"/>
      <c r="D121" s="298"/>
      <c r="E121" s="298"/>
      <c r="F121" s="298"/>
      <c r="G121" s="298"/>
      <c r="H121" s="298"/>
    </row>
    <row r="122" spans="1:10" ht="18.75">
      <c r="B122" s="299" t="s">
        <v>21</v>
      </c>
      <c r="C122" s="299"/>
      <c r="E122" s="249" t="s">
        <v>22</v>
      </c>
      <c r="F122" s="300"/>
      <c r="G122" s="299" t="s">
        <v>23</v>
      </c>
      <c r="H122" s="299"/>
    </row>
    <row r="123" spans="1:10" ht="69.95" customHeight="1">
      <c r="A123" s="121" t="s">
        <v>24</v>
      </c>
      <c r="B123" s="301"/>
      <c r="C123" s="301"/>
      <c r="E123" s="301"/>
      <c r="F123" s="105"/>
      <c r="G123" s="301"/>
      <c r="H123" s="301"/>
    </row>
    <row r="124" spans="1:10" ht="69.95" customHeight="1">
      <c r="A124" s="121" t="s">
        <v>25</v>
      </c>
      <c r="B124" s="302"/>
      <c r="C124" s="302"/>
      <c r="E124" s="302"/>
      <c r="F124" s="105"/>
      <c r="G124" s="303"/>
      <c r="H124" s="303"/>
    </row>
    <row r="125" spans="1:10" ht="18.75">
      <c r="A125" s="178"/>
      <c r="B125" s="178"/>
      <c r="C125" s="178"/>
      <c r="D125" s="178"/>
      <c r="E125" s="178"/>
      <c r="F125" s="180"/>
      <c r="G125" s="178"/>
      <c r="H125" s="178"/>
      <c r="I125" s="105"/>
    </row>
    <row r="126" spans="1:10" ht="18.75">
      <c r="A126" s="178"/>
      <c r="B126" s="178"/>
      <c r="C126" s="178"/>
      <c r="D126" s="178"/>
      <c r="E126" s="178"/>
      <c r="F126" s="180"/>
      <c r="G126" s="178"/>
      <c r="H126" s="178"/>
      <c r="I126" s="105"/>
    </row>
    <row r="127" spans="1:10" ht="18.75">
      <c r="A127" s="178"/>
      <c r="B127" s="178"/>
      <c r="C127" s="178"/>
      <c r="D127" s="178"/>
      <c r="E127" s="178"/>
      <c r="F127" s="180"/>
      <c r="G127" s="178"/>
      <c r="H127" s="178"/>
      <c r="I127" s="105"/>
    </row>
    <row r="128" spans="1:10" ht="18.75">
      <c r="A128" s="178"/>
      <c r="B128" s="178"/>
      <c r="C128" s="178"/>
      <c r="D128" s="178"/>
      <c r="E128" s="178"/>
      <c r="F128" s="180"/>
      <c r="G128" s="178"/>
      <c r="H128" s="178"/>
      <c r="I128" s="105"/>
    </row>
    <row r="129" spans="1:9" ht="18.75">
      <c r="A129" s="178"/>
      <c r="B129" s="178"/>
      <c r="C129" s="178"/>
      <c r="D129" s="178"/>
      <c r="E129" s="178"/>
      <c r="F129" s="180"/>
      <c r="G129" s="178"/>
      <c r="H129" s="178"/>
      <c r="I129" s="105"/>
    </row>
    <row r="130" spans="1:9" ht="18.75">
      <c r="A130" s="178"/>
      <c r="B130" s="178"/>
      <c r="C130" s="178"/>
      <c r="D130" s="178"/>
      <c r="E130" s="178"/>
      <c r="F130" s="180"/>
      <c r="G130" s="178"/>
      <c r="H130" s="178"/>
      <c r="I130" s="105"/>
    </row>
    <row r="131" spans="1:9" ht="18.75">
      <c r="A131" s="178"/>
      <c r="B131" s="178"/>
      <c r="C131" s="178"/>
      <c r="D131" s="178"/>
      <c r="E131" s="178"/>
      <c r="F131" s="180"/>
      <c r="G131" s="178"/>
      <c r="H131" s="178"/>
      <c r="I131" s="105"/>
    </row>
    <row r="132" spans="1:9" ht="18.75">
      <c r="A132" s="178"/>
      <c r="B132" s="178"/>
      <c r="C132" s="178"/>
      <c r="D132" s="178"/>
      <c r="E132" s="178"/>
      <c r="F132" s="180"/>
      <c r="G132" s="178"/>
      <c r="H132" s="178"/>
      <c r="I132" s="105"/>
    </row>
    <row r="133" spans="1:9" ht="18.75">
      <c r="A133" s="178"/>
      <c r="B133" s="178"/>
      <c r="C133" s="178"/>
      <c r="D133" s="178"/>
      <c r="E133" s="178"/>
      <c r="F133" s="180"/>
      <c r="G133" s="178"/>
      <c r="H133" s="178"/>
      <c r="I133" s="105"/>
    </row>
    <row r="250" spans="1:1">
      <c r="A250" s="57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17" priority="9" operator="greaterThan">
      <formula>0.02</formula>
    </cfRule>
  </conditionalFormatting>
  <conditionalFormatting sqref="D51">
    <cfRule type="cellIs" dxfId="16" priority="8" operator="greaterThan">
      <formula>0.02</formula>
    </cfRule>
  </conditionalFormatting>
  <conditionalFormatting sqref="G73">
    <cfRule type="cellIs" dxfId="15" priority="7" operator="greaterThan">
      <formula>0.02</formula>
    </cfRule>
  </conditionalFormatting>
  <conditionalFormatting sqref="H73">
    <cfRule type="cellIs" dxfId="14" priority="6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4" operator="lessThanOrEqual">
      <formula>0.02</formula>
    </cfRule>
  </conditionalFormatting>
  <conditionalFormatting sqref="I39">
    <cfRule type="cellIs" dxfId="11" priority="3" operator="greaterThan">
      <formula>0.02</formula>
    </cfRule>
  </conditionalFormatting>
  <conditionalFormatting sqref="I92">
    <cfRule type="cellIs" dxfId="10" priority="2" operator="lessThanOrEqual">
      <formula>0.02</formula>
    </cfRule>
  </conditionalFormatting>
  <conditionalFormatting sqref="I92">
    <cfRule type="cellIs" dxfId="9" priority="1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abSelected="1" topLeftCell="A76" zoomScale="60" zoomScaleNormal="60" zoomScaleSheetLayoutView="40" zoomScalePageLayoutView="55" workbookViewId="0">
      <selection activeCell="D110" sqref="C110:G121"/>
    </sheetView>
  </sheetViews>
  <sheetFormatPr defaultColWidth="9.140625" defaultRowHeight="13.5"/>
  <cols>
    <col min="1" max="1" width="55.42578125" style="57" customWidth="1"/>
    <col min="2" max="2" width="33.7109375" style="57" customWidth="1"/>
    <col min="3" max="3" width="42.28515625" style="57" customWidth="1"/>
    <col min="4" max="4" width="30.5703125" style="57" customWidth="1"/>
    <col min="5" max="5" width="39.85546875" style="57" customWidth="1"/>
    <col min="6" max="6" width="30.7109375" style="57" customWidth="1"/>
    <col min="7" max="7" width="39.85546875" style="57" customWidth="1"/>
    <col min="8" max="8" width="30" style="57" customWidth="1"/>
    <col min="9" max="9" width="30.28515625" style="57" hidden="1" customWidth="1"/>
    <col min="10" max="10" width="30.42578125" style="57" customWidth="1"/>
    <col min="11" max="11" width="21.28515625" style="57" customWidth="1"/>
    <col min="12" max="12" width="9.140625" style="57"/>
    <col min="13" max="16384" width="9.140625" style="59"/>
  </cols>
  <sheetData>
    <row r="1" spans="1:9" ht="18.75" customHeight="1">
      <c r="A1" s="103" t="s">
        <v>40</v>
      </c>
      <c r="B1" s="103"/>
      <c r="C1" s="103"/>
      <c r="D1" s="103"/>
      <c r="E1" s="103"/>
      <c r="F1" s="103"/>
      <c r="G1" s="103"/>
      <c r="H1" s="103"/>
      <c r="I1" s="103"/>
    </row>
    <row r="2" spans="1:9" ht="18.75" customHeight="1">
      <c r="A2" s="103"/>
      <c r="B2" s="103"/>
      <c r="C2" s="103"/>
      <c r="D2" s="103"/>
      <c r="E2" s="103"/>
      <c r="F2" s="103"/>
      <c r="G2" s="103"/>
      <c r="H2" s="103"/>
      <c r="I2" s="103"/>
    </row>
    <row r="3" spans="1:9" ht="18.75" customHeight="1">
      <c r="A3" s="103"/>
      <c r="B3" s="103"/>
      <c r="C3" s="103"/>
      <c r="D3" s="103"/>
      <c r="E3" s="103"/>
      <c r="F3" s="103"/>
      <c r="G3" s="103"/>
      <c r="H3" s="103"/>
      <c r="I3" s="103"/>
    </row>
    <row r="4" spans="1:9" ht="18.75" customHeight="1">
      <c r="A4" s="103"/>
      <c r="B4" s="103"/>
      <c r="C4" s="103"/>
      <c r="D4" s="103"/>
      <c r="E4" s="103"/>
      <c r="F4" s="103"/>
      <c r="G4" s="103"/>
      <c r="H4" s="103"/>
      <c r="I4" s="103"/>
    </row>
    <row r="5" spans="1:9" ht="18.75" customHeight="1">
      <c r="A5" s="103"/>
      <c r="B5" s="103"/>
      <c r="C5" s="103"/>
      <c r="D5" s="103"/>
      <c r="E5" s="103"/>
      <c r="F5" s="103"/>
      <c r="G5" s="103"/>
      <c r="H5" s="103"/>
      <c r="I5" s="103"/>
    </row>
    <row r="6" spans="1:9" ht="18.75" customHeight="1">
      <c r="A6" s="103"/>
      <c r="B6" s="103"/>
      <c r="C6" s="103"/>
      <c r="D6" s="103"/>
      <c r="E6" s="103"/>
      <c r="F6" s="103"/>
      <c r="G6" s="103"/>
      <c r="H6" s="103"/>
      <c r="I6" s="103"/>
    </row>
    <row r="7" spans="1:9" ht="18.75" customHeight="1">
      <c r="A7" s="103"/>
      <c r="B7" s="103"/>
      <c r="C7" s="103"/>
      <c r="D7" s="103"/>
      <c r="E7" s="103"/>
      <c r="F7" s="103"/>
      <c r="G7" s="103"/>
      <c r="H7" s="103"/>
      <c r="I7" s="103"/>
    </row>
    <row r="8" spans="1:9">
      <c r="A8" s="104" t="s">
        <v>41</v>
      </c>
      <c r="B8" s="104"/>
      <c r="C8" s="104"/>
      <c r="D8" s="104"/>
      <c r="E8" s="104"/>
      <c r="F8" s="104"/>
      <c r="G8" s="104"/>
      <c r="H8" s="104"/>
      <c r="I8" s="104"/>
    </row>
    <row r="9" spans="1:9">
      <c r="A9" s="104"/>
      <c r="B9" s="104"/>
      <c r="C9" s="104"/>
      <c r="D9" s="104"/>
      <c r="E9" s="104"/>
      <c r="F9" s="104"/>
      <c r="G9" s="104"/>
      <c r="H9" s="104"/>
      <c r="I9" s="104"/>
    </row>
    <row r="10" spans="1:9">
      <c r="A10" s="104"/>
      <c r="B10" s="104"/>
      <c r="C10" s="104"/>
      <c r="D10" s="104"/>
      <c r="E10" s="104"/>
      <c r="F10" s="104"/>
      <c r="G10" s="104"/>
      <c r="H10" s="104"/>
      <c r="I10" s="104"/>
    </row>
    <row r="11" spans="1:9">
      <c r="A11" s="104"/>
      <c r="B11" s="104"/>
      <c r="C11" s="104"/>
      <c r="D11" s="104"/>
      <c r="E11" s="104"/>
      <c r="F11" s="104"/>
      <c r="G11" s="104"/>
      <c r="H11" s="104"/>
      <c r="I11" s="104"/>
    </row>
    <row r="12" spans="1:9">
      <c r="A12" s="104"/>
      <c r="B12" s="104"/>
      <c r="C12" s="104"/>
      <c r="D12" s="104"/>
      <c r="E12" s="104"/>
      <c r="F12" s="104"/>
      <c r="G12" s="104"/>
      <c r="H12" s="104"/>
      <c r="I12" s="104"/>
    </row>
    <row r="13" spans="1:9">
      <c r="A13" s="104"/>
      <c r="B13" s="104"/>
      <c r="C13" s="104"/>
      <c r="D13" s="104"/>
      <c r="E13" s="104"/>
      <c r="F13" s="104"/>
      <c r="G13" s="104"/>
      <c r="H13" s="104"/>
      <c r="I13" s="104"/>
    </row>
    <row r="14" spans="1:9">
      <c r="A14" s="104"/>
      <c r="B14" s="104"/>
      <c r="C14" s="104"/>
      <c r="D14" s="104"/>
      <c r="E14" s="104"/>
      <c r="F14" s="104"/>
      <c r="G14" s="104"/>
      <c r="H14" s="104"/>
      <c r="I14" s="104"/>
    </row>
    <row r="15" spans="1:9" ht="19.5" customHeight="1" thickBot="1">
      <c r="A15" s="105"/>
    </row>
    <row r="16" spans="1:9" ht="19.5" customHeight="1" thickBot="1">
      <c r="A16" s="106" t="s">
        <v>26</v>
      </c>
      <c r="B16" s="107"/>
      <c r="C16" s="107"/>
      <c r="D16" s="107"/>
      <c r="E16" s="107"/>
      <c r="F16" s="107"/>
      <c r="G16" s="107"/>
      <c r="H16" s="108"/>
    </row>
    <row r="17" spans="1:14" ht="20.25" customHeight="1">
      <c r="A17" s="109" t="s">
        <v>42</v>
      </c>
      <c r="B17" s="109"/>
      <c r="C17" s="109"/>
      <c r="D17" s="109"/>
      <c r="E17" s="109"/>
      <c r="F17" s="109"/>
      <c r="G17" s="109"/>
      <c r="H17" s="109"/>
    </row>
    <row r="18" spans="1:14" ht="26.25" customHeight="1">
      <c r="A18" s="110" t="s">
        <v>28</v>
      </c>
      <c r="B18" s="111" t="s">
        <v>4</v>
      </c>
      <c r="C18" s="111"/>
      <c r="D18" s="112"/>
      <c r="E18" s="113"/>
      <c r="F18" s="114"/>
      <c r="G18" s="114"/>
      <c r="H18" s="114"/>
    </row>
    <row r="19" spans="1:14" ht="26.25" customHeight="1">
      <c r="A19" s="110" t="s">
        <v>29</v>
      </c>
      <c r="B19" s="115" t="s">
        <v>6</v>
      </c>
      <c r="C19" s="114">
        <v>29</v>
      </c>
      <c r="D19" s="114"/>
      <c r="E19" s="114"/>
      <c r="F19" s="114"/>
      <c r="G19" s="114"/>
      <c r="H19" s="114"/>
    </row>
    <row r="20" spans="1:14" ht="26.25" customHeight="1">
      <c r="A20" s="110" t="s">
        <v>30</v>
      </c>
      <c r="B20" s="116" t="s">
        <v>8</v>
      </c>
      <c r="C20" s="116"/>
      <c r="D20" s="114"/>
      <c r="E20" s="114"/>
      <c r="F20" s="114"/>
      <c r="G20" s="114"/>
      <c r="H20" s="114"/>
    </row>
    <row r="21" spans="1:14" ht="26.25" customHeight="1">
      <c r="A21" s="110" t="s">
        <v>31</v>
      </c>
      <c r="B21" s="116" t="s">
        <v>10</v>
      </c>
      <c r="C21" s="116"/>
      <c r="D21" s="116"/>
      <c r="E21" s="116"/>
      <c r="F21" s="116"/>
      <c r="G21" s="116"/>
      <c r="H21" s="116"/>
      <c r="I21" s="117"/>
    </row>
    <row r="22" spans="1:14" ht="26.25" customHeight="1">
      <c r="A22" s="110" t="s">
        <v>32</v>
      </c>
      <c r="B22" s="118">
        <v>42466</v>
      </c>
      <c r="C22" s="114"/>
      <c r="D22" s="114"/>
      <c r="E22" s="114"/>
      <c r="F22" s="114"/>
      <c r="G22" s="114"/>
      <c r="H22" s="114"/>
    </row>
    <row r="23" spans="1:14" ht="26.25" customHeight="1">
      <c r="A23" s="110" t="s">
        <v>33</v>
      </c>
      <c r="B23" s="118">
        <v>42475</v>
      </c>
      <c r="C23" s="114"/>
      <c r="D23" s="114"/>
      <c r="E23" s="114"/>
      <c r="F23" s="114"/>
      <c r="G23" s="114"/>
      <c r="H23" s="114"/>
    </row>
    <row r="24" spans="1:14" ht="18.75">
      <c r="A24" s="110"/>
      <c r="B24" s="119"/>
    </row>
    <row r="25" spans="1:14" ht="18.75">
      <c r="A25" s="120" t="s">
        <v>1</v>
      </c>
      <c r="B25" s="119"/>
    </row>
    <row r="26" spans="1:14" ht="26.25" customHeight="1">
      <c r="A26" s="121" t="s">
        <v>3</v>
      </c>
      <c r="B26" s="304" t="s">
        <v>111</v>
      </c>
      <c r="C26" s="111"/>
    </row>
    <row r="27" spans="1:14" ht="26.25" customHeight="1">
      <c r="A27" s="122" t="s">
        <v>43</v>
      </c>
      <c r="B27" s="305" t="s">
        <v>132</v>
      </c>
      <c r="C27" s="123"/>
    </row>
    <row r="28" spans="1:14" ht="27" customHeight="1" thickBot="1">
      <c r="A28" s="122" t="s">
        <v>5</v>
      </c>
      <c r="B28" s="124">
        <v>99.6</v>
      </c>
    </row>
    <row r="29" spans="1:14" s="69" customFormat="1" ht="27" customHeight="1" thickBot="1">
      <c r="A29" s="122" t="s">
        <v>44</v>
      </c>
      <c r="B29" s="125">
        <v>0</v>
      </c>
      <c r="C29" s="126" t="s">
        <v>45</v>
      </c>
      <c r="D29" s="127"/>
      <c r="E29" s="127"/>
      <c r="F29" s="127"/>
      <c r="G29" s="128"/>
      <c r="I29" s="129"/>
      <c r="J29" s="129"/>
      <c r="K29" s="129"/>
      <c r="L29" s="129"/>
    </row>
    <row r="30" spans="1:14" s="69" customFormat="1" ht="19.5" customHeight="1" thickBot="1">
      <c r="A30" s="122" t="s">
        <v>46</v>
      </c>
      <c r="B30" s="130">
        <f>B28-B29</f>
        <v>99.6</v>
      </c>
      <c r="C30" s="131"/>
      <c r="D30" s="131"/>
      <c r="E30" s="131"/>
      <c r="F30" s="131"/>
      <c r="G30" s="132"/>
      <c r="I30" s="129"/>
      <c r="J30" s="129"/>
      <c r="K30" s="129"/>
      <c r="L30" s="129"/>
    </row>
    <row r="31" spans="1:14" s="69" customFormat="1" ht="27" customHeight="1" thickBot="1">
      <c r="A31" s="122" t="s">
        <v>47</v>
      </c>
      <c r="B31" s="133">
        <v>1</v>
      </c>
      <c r="C31" s="134" t="s">
        <v>48</v>
      </c>
      <c r="D31" s="135"/>
      <c r="E31" s="135"/>
      <c r="F31" s="135"/>
      <c r="G31" s="135"/>
      <c r="H31" s="136"/>
      <c r="I31" s="129"/>
      <c r="J31" s="129"/>
      <c r="K31" s="129"/>
      <c r="L31" s="129"/>
    </row>
    <row r="32" spans="1:14" s="69" customFormat="1" ht="27" customHeight="1" thickBot="1">
      <c r="A32" s="122" t="s">
        <v>49</v>
      </c>
      <c r="B32" s="133">
        <v>1</v>
      </c>
      <c r="C32" s="134" t="s">
        <v>50</v>
      </c>
      <c r="D32" s="135"/>
      <c r="E32" s="135"/>
      <c r="F32" s="135"/>
      <c r="G32" s="135"/>
      <c r="H32" s="136"/>
      <c r="I32" s="129"/>
      <c r="J32" s="129"/>
      <c r="K32" s="129"/>
      <c r="L32" s="137"/>
      <c r="M32" s="137"/>
      <c r="N32" s="138"/>
    </row>
    <row r="33" spans="1:14" s="69" customFormat="1" ht="17.25" customHeight="1">
      <c r="A33" s="122"/>
      <c r="B33" s="139"/>
      <c r="C33" s="140"/>
      <c r="D33" s="140"/>
      <c r="E33" s="140"/>
      <c r="F33" s="140"/>
      <c r="G33" s="140"/>
      <c r="H33" s="140"/>
      <c r="I33" s="129"/>
      <c r="J33" s="129"/>
      <c r="K33" s="129"/>
      <c r="L33" s="137"/>
      <c r="M33" s="137"/>
      <c r="N33" s="138"/>
    </row>
    <row r="34" spans="1:14" s="69" customFormat="1" ht="18.75">
      <c r="A34" s="122" t="s">
        <v>51</v>
      </c>
      <c r="B34" s="141">
        <f>B31/B32</f>
        <v>1</v>
      </c>
      <c r="C34" s="105" t="s">
        <v>52</v>
      </c>
      <c r="D34" s="105"/>
      <c r="E34" s="105"/>
      <c r="F34" s="105"/>
      <c r="G34" s="105"/>
      <c r="I34" s="129"/>
      <c r="J34" s="129"/>
      <c r="K34" s="129"/>
      <c r="L34" s="137"/>
      <c r="M34" s="137"/>
      <c r="N34" s="138"/>
    </row>
    <row r="35" spans="1:14" s="69" customFormat="1" ht="19.5" customHeight="1" thickBot="1">
      <c r="A35" s="122"/>
      <c r="B35" s="130"/>
      <c r="G35" s="105"/>
      <c r="I35" s="129"/>
      <c r="J35" s="129"/>
      <c r="K35" s="129"/>
      <c r="L35" s="137"/>
      <c r="M35" s="137"/>
      <c r="N35" s="138"/>
    </row>
    <row r="36" spans="1:14" s="69" customFormat="1" ht="27" customHeight="1" thickBot="1">
      <c r="A36" s="142" t="s">
        <v>53</v>
      </c>
      <c r="B36" s="143">
        <v>100</v>
      </c>
      <c r="C36" s="105"/>
      <c r="D36" s="144" t="s">
        <v>54</v>
      </c>
      <c r="E36" s="145"/>
      <c r="F36" s="144" t="s">
        <v>55</v>
      </c>
      <c r="G36" s="146"/>
      <c r="J36" s="129"/>
      <c r="K36" s="129"/>
      <c r="L36" s="137"/>
      <c r="M36" s="137"/>
      <c r="N36" s="138"/>
    </row>
    <row r="37" spans="1:14" s="69" customFormat="1" ht="27" customHeight="1" thickBot="1">
      <c r="A37" s="147" t="s">
        <v>115</v>
      </c>
      <c r="B37" s="148">
        <v>3</v>
      </c>
      <c r="C37" s="149" t="s">
        <v>56</v>
      </c>
      <c r="D37" s="150" t="s">
        <v>57</v>
      </c>
      <c r="E37" s="151" t="s">
        <v>58</v>
      </c>
      <c r="F37" s="150" t="s">
        <v>57</v>
      </c>
      <c r="G37" s="152" t="s">
        <v>58</v>
      </c>
      <c r="I37" s="153" t="s">
        <v>59</v>
      </c>
      <c r="J37" s="129"/>
      <c r="K37" s="129"/>
      <c r="L37" s="137"/>
      <c r="M37" s="137"/>
      <c r="N37" s="138"/>
    </row>
    <row r="38" spans="1:14" s="69" customFormat="1" ht="26.25" customHeight="1">
      <c r="A38" s="147" t="s">
        <v>116</v>
      </c>
      <c r="B38" s="148">
        <v>20</v>
      </c>
      <c r="C38" s="154">
        <v>1</v>
      </c>
      <c r="D38" s="155">
        <v>15439948</v>
      </c>
      <c r="E38" s="156">
        <f>IF(ISBLANK(D38),"-",$D$48/$D$45*D38)</f>
        <v>12275738.340642948</v>
      </c>
      <c r="F38" s="155">
        <v>13343998</v>
      </c>
      <c r="G38" s="157">
        <f>IF(ISBLANK(F38),"-",$D$48/$F$45*F38)</f>
        <v>11781336.282199424</v>
      </c>
      <c r="I38" s="158"/>
      <c r="J38" s="129"/>
      <c r="K38" s="129"/>
      <c r="L38" s="137"/>
      <c r="M38" s="137"/>
      <c r="N38" s="138"/>
    </row>
    <row r="39" spans="1:14" s="69" customFormat="1" ht="26.25" customHeight="1">
      <c r="A39" s="147" t="s">
        <v>117</v>
      </c>
      <c r="B39" s="148">
        <v>1</v>
      </c>
      <c r="C39" s="159">
        <v>2</v>
      </c>
      <c r="D39" s="160">
        <v>15330795</v>
      </c>
      <c r="E39" s="161">
        <f>IF(ISBLANK(D39),"-",$D$48/$D$45*D39)</f>
        <v>12188954.779772393</v>
      </c>
      <c r="F39" s="160">
        <v>13380090</v>
      </c>
      <c r="G39" s="162">
        <f>IF(ISBLANK(F39),"-",$D$48/$F$45*F39)</f>
        <v>11813201.693832215</v>
      </c>
      <c r="I39" s="163">
        <f>ABS((F43/D43*D42)-F42)/D42</f>
        <v>3.0772189744081864E-2</v>
      </c>
      <c r="J39" s="129"/>
      <c r="K39" s="129"/>
      <c r="L39" s="137"/>
      <c r="M39" s="137"/>
      <c r="N39" s="138"/>
    </row>
    <row r="40" spans="1:14" ht="26.25" customHeight="1">
      <c r="A40" s="147" t="s">
        <v>118</v>
      </c>
      <c r="B40" s="148">
        <v>1</v>
      </c>
      <c r="C40" s="159">
        <v>3</v>
      </c>
      <c r="D40" s="160">
        <v>15345510</v>
      </c>
      <c r="E40" s="161">
        <f>IF(ISBLANK(D40),"-",$D$48/$D$45*D40)</f>
        <v>12200654.138454337</v>
      </c>
      <c r="F40" s="160">
        <v>13385407</v>
      </c>
      <c r="G40" s="162">
        <f>IF(ISBLANK(F40),"-",$D$48/$F$45*F40)</f>
        <v>11817896.041434221</v>
      </c>
      <c r="I40" s="163"/>
      <c r="L40" s="137"/>
      <c r="M40" s="137"/>
      <c r="N40" s="105"/>
    </row>
    <row r="41" spans="1:14" ht="27" customHeight="1" thickBot="1">
      <c r="A41" s="147" t="s">
        <v>119</v>
      </c>
      <c r="B41" s="148">
        <v>1</v>
      </c>
      <c r="C41" s="164">
        <v>4</v>
      </c>
      <c r="D41" s="165"/>
      <c r="E41" s="166" t="str">
        <f>IF(ISBLANK(D41),"-",$D$48/$D$45*D41)</f>
        <v>-</v>
      </c>
      <c r="F41" s="165"/>
      <c r="G41" s="167" t="str">
        <f>IF(ISBLANK(F41),"-",$D$48/$F$45*F41)</f>
        <v>-</v>
      </c>
      <c r="I41" s="168"/>
      <c r="L41" s="137"/>
      <c r="M41" s="137"/>
      <c r="N41" s="105"/>
    </row>
    <row r="42" spans="1:14" ht="27" customHeight="1" thickBot="1">
      <c r="A42" s="147" t="s">
        <v>120</v>
      </c>
      <c r="B42" s="148">
        <v>1</v>
      </c>
      <c r="C42" s="169" t="s">
        <v>60</v>
      </c>
      <c r="D42" s="170">
        <f>AVERAGE(D38:D41)</f>
        <v>15372084.333333334</v>
      </c>
      <c r="E42" s="171">
        <f>AVERAGE(E38:E41)</f>
        <v>12221782.419623226</v>
      </c>
      <c r="F42" s="170">
        <f>AVERAGE(F38:F41)</f>
        <v>13369831.666666666</v>
      </c>
      <c r="G42" s="172">
        <f>AVERAGE(G38:G41)</f>
        <v>11804144.672488621</v>
      </c>
      <c r="H42" s="173"/>
    </row>
    <row r="43" spans="1:14" ht="26.25" customHeight="1">
      <c r="A43" s="147" t="s">
        <v>121</v>
      </c>
      <c r="B43" s="148">
        <v>1</v>
      </c>
      <c r="C43" s="174" t="s">
        <v>61</v>
      </c>
      <c r="D43" s="175">
        <v>26.94</v>
      </c>
      <c r="E43" s="105"/>
      <c r="F43" s="175">
        <v>24.26</v>
      </c>
      <c r="H43" s="173"/>
    </row>
    <row r="44" spans="1:14" ht="26.25" customHeight="1">
      <c r="A44" s="147" t="s">
        <v>122</v>
      </c>
      <c r="B44" s="148">
        <v>1</v>
      </c>
      <c r="C44" s="176" t="s">
        <v>62</v>
      </c>
      <c r="D44" s="177">
        <f>D43*$B$34</f>
        <v>26.94</v>
      </c>
      <c r="E44" s="178"/>
      <c r="F44" s="177">
        <f>F43*$B$34</f>
        <v>24.26</v>
      </c>
      <c r="H44" s="173"/>
    </row>
    <row r="45" spans="1:14" ht="19.5" customHeight="1" thickBot="1">
      <c r="A45" s="147" t="s">
        <v>63</v>
      </c>
      <c r="B45" s="159">
        <f>(B44/B43)*(B42/B41)*(B40/B39)*(B38/B37)*B36</f>
        <v>666.66666666666674</v>
      </c>
      <c r="C45" s="176" t="s">
        <v>64</v>
      </c>
      <c r="D45" s="179">
        <f>D44*$B$30/100</f>
        <v>26.832240000000002</v>
      </c>
      <c r="E45" s="180"/>
      <c r="F45" s="179">
        <f>F44*$B$30/100</f>
        <v>24.162959999999998</v>
      </c>
      <c r="H45" s="173"/>
    </row>
    <row r="46" spans="1:14" ht="19.5" customHeight="1" thickBot="1">
      <c r="A46" s="181" t="s">
        <v>65</v>
      </c>
      <c r="B46" s="182"/>
      <c r="C46" s="176" t="s">
        <v>66</v>
      </c>
      <c r="D46" s="183">
        <f>D45/$B$45</f>
        <v>4.0248359999999997E-2</v>
      </c>
      <c r="E46" s="184"/>
      <c r="F46" s="185">
        <f>F45/$B$45</f>
        <v>3.6244439999999996E-2</v>
      </c>
      <c r="H46" s="173"/>
    </row>
    <row r="47" spans="1:14" ht="27" customHeight="1" thickBot="1">
      <c r="A47" s="186"/>
      <c r="B47" s="187"/>
      <c r="C47" s="188" t="s">
        <v>67</v>
      </c>
      <c r="D47" s="189">
        <v>3.2000000000000001E-2</v>
      </c>
      <c r="E47" s="190"/>
      <c r="F47" s="184"/>
      <c r="H47" s="173"/>
    </row>
    <row r="48" spans="1:14" ht="18.75">
      <c r="C48" s="191" t="s">
        <v>68</v>
      </c>
      <c r="D48" s="179">
        <f>D47*$B$45</f>
        <v>21.333333333333336</v>
      </c>
      <c r="F48" s="192"/>
      <c r="H48" s="173"/>
    </row>
    <row r="49" spans="1:12" ht="19.5" customHeight="1" thickBot="1">
      <c r="C49" s="193" t="s">
        <v>69</v>
      </c>
      <c r="D49" s="194">
        <f>D48/B34</f>
        <v>21.333333333333336</v>
      </c>
      <c r="F49" s="192"/>
      <c r="H49" s="173"/>
    </row>
    <row r="50" spans="1:12" ht="18.75">
      <c r="C50" s="142" t="s">
        <v>70</v>
      </c>
      <c r="D50" s="195">
        <f>AVERAGE(E38:E41,G38:G41)</f>
        <v>12012963.546055922</v>
      </c>
      <c r="F50" s="196"/>
      <c r="H50" s="173"/>
    </row>
    <row r="51" spans="1:12" ht="18.75">
      <c r="C51" s="147" t="s">
        <v>71</v>
      </c>
      <c r="D51" s="197">
        <f>STDEV(E38:E41,G38:G41)/D50</f>
        <v>1.9231157607895694E-2</v>
      </c>
      <c r="F51" s="196"/>
      <c r="H51" s="173"/>
    </row>
    <row r="52" spans="1:12" ht="19.5" customHeight="1" thickBot="1">
      <c r="C52" s="198" t="s">
        <v>19</v>
      </c>
      <c r="D52" s="199">
        <f>COUNT(E38:E41,G38:G41)</f>
        <v>6</v>
      </c>
      <c r="F52" s="196"/>
    </row>
    <row r="54" spans="1:12" ht="18.75">
      <c r="A54" s="200" t="s">
        <v>1</v>
      </c>
      <c r="B54" s="201" t="s">
        <v>72</v>
      </c>
    </row>
    <row r="55" spans="1:12" ht="18.75">
      <c r="A55" s="105" t="s">
        <v>73</v>
      </c>
      <c r="B55" s="202" t="str">
        <f>B21</f>
        <v>Each tablet contains: Sulphamethoxazole B.P. 800 mg and Trimethoprim B.P. 160 mg.</v>
      </c>
    </row>
    <row r="56" spans="1:12" ht="26.25" customHeight="1">
      <c r="A56" s="202" t="s">
        <v>74</v>
      </c>
      <c r="B56" s="203">
        <v>160</v>
      </c>
      <c r="C56" s="105" t="str">
        <f>B20</f>
        <v>each tablets contains sulphamethoxazole 800mg Trimethoprim 160mg.</v>
      </c>
      <c r="H56" s="178"/>
    </row>
    <row r="57" spans="1:12" ht="18.75">
      <c r="A57" s="202" t="s">
        <v>75</v>
      </c>
      <c r="B57" s="204">
        <f>Uniformity!C46</f>
        <v>1044.912</v>
      </c>
      <c r="H57" s="178"/>
    </row>
    <row r="58" spans="1:12" ht="19.5" customHeight="1" thickBot="1">
      <c r="H58" s="178"/>
    </row>
    <row r="59" spans="1:12" s="69" customFormat="1" ht="27" customHeight="1" thickBot="1">
      <c r="A59" s="142" t="s">
        <v>76</v>
      </c>
      <c r="B59" s="143">
        <v>200</v>
      </c>
      <c r="C59" s="105"/>
      <c r="D59" s="205" t="s">
        <v>77</v>
      </c>
      <c r="E59" s="206" t="s">
        <v>56</v>
      </c>
      <c r="F59" s="206" t="s">
        <v>57</v>
      </c>
      <c r="G59" s="206" t="s">
        <v>78</v>
      </c>
      <c r="H59" s="149" t="s">
        <v>79</v>
      </c>
      <c r="L59" s="129"/>
    </row>
    <row r="60" spans="1:12" s="69" customFormat="1" ht="26.25" customHeight="1">
      <c r="A60" s="147" t="s">
        <v>123</v>
      </c>
      <c r="B60" s="148">
        <v>2</v>
      </c>
      <c r="C60" s="207" t="s">
        <v>80</v>
      </c>
      <c r="D60" s="208">
        <f>Sulfamethoxazole!D60</f>
        <v>1045.08</v>
      </c>
      <c r="E60" s="209">
        <v>1</v>
      </c>
      <c r="F60" s="210">
        <v>11902986</v>
      </c>
      <c r="G60" s="211">
        <f>IF(ISBLANK(F60),"-",(F60/$D$50*$D$47*$B$68)*($B$57/$D$60))</f>
        <v>158.50973006969338</v>
      </c>
      <c r="H60" s="212">
        <f t="shared" ref="H60:H71" si="0">IF(ISBLANK(F60),"-",G60/$B$56)</f>
        <v>0.99068581293558355</v>
      </c>
      <c r="L60" s="129"/>
    </row>
    <row r="61" spans="1:12" s="69" customFormat="1" ht="26.25" customHeight="1">
      <c r="A61" s="147" t="s">
        <v>124</v>
      </c>
      <c r="B61" s="148">
        <v>50</v>
      </c>
      <c r="C61" s="213"/>
      <c r="D61" s="214"/>
      <c r="E61" s="215">
        <v>2</v>
      </c>
      <c r="F61" s="160">
        <v>11945555</v>
      </c>
      <c r="G61" s="216">
        <f>IF(ISBLANK(F61),"-",(F61/$D$50*$D$47*$B$68)*($B$57/$D$60))</f>
        <v>159.07661309377968</v>
      </c>
      <c r="H61" s="217">
        <f t="shared" si="0"/>
        <v>0.99422883183612298</v>
      </c>
      <c r="L61" s="129"/>
    </row>
    <row r="62" spans="1:12" s="69" customFormat="1" ht="26.25" customHeight="1">
      <c r="A62" s="147" t="s">
        <v>125</v>
      </c>
      <c r="B62" s="148">
        <v>1</v>
      </c>
      <c r="C62" s="213"/>
      <c r="D62" s="214"/>
      <c r="E62" s="215">
        <v>3</v>
      </c>
      <c r="F62" s="218">
        <v>11988489</v>
      </c>
      <c r="G62" s="216">
        <f>IF(ISBLANK(F62),"-",(F62/$D$50*$D$47*$B$68)*($B$57/$D$60))</f>
        <v>159.64835675127975</v>
      </c>
      <c r="H62" s="217">
        <f t="shared" si="0"/>
        <v>0.99780222969549848</v>
      </c>
      <c r="L62" s="129"/>
    </row>
    <row r="63" spans="1:12" ht="27" customHeight="1" thickBot="1">
      <c r="A63" s="147" t="s">
        <v>126</v>
      </c>
      <c r="B63" s="148">
        <v>1</v>
      </c>
      <c r="C63" s="219"/>
      <c r="D63" s="220"/>
      <c r="E63" s="221">
        <v>4</v>
      </c>
      <c r="F63" s="222"/>
      <c r="G63" s="216" t="str">
        <f>IF(ISBLANK(F63),"-",(F63/$D$50*$D$47*$B$68)*($B$57/$D$60))</f>
        <v>-</v>
      </c>
      <c r="H63" s="217" t="str">
        <f t="shared" si="0"/>
        <v>-</v>
      </c>
    </row>
    <row r="64" spans="1:12" ht="26.25" customHeight="1">
      <c r="A64" s="147" t="s">
        <v>127</v>
      </c>
      <c r="B64" s="148">
        <v>1</v>
      </c>
      <c r="C64" s="207" t="s">
        <v>81</v>
      </c>
      <c r="D64" s="208">
        <f>Sulfamethoxazole!D64</f>
        <v>1046.9100000000001</v>
      </c>
      <c r="E64" s="209">
        <v>1</v>
      </c>
      <c r="F64" s="210">
        <v>12005584</v>
      </c>
      <c r="G64" s="223">
        <f>IF(ISBLANK(F64),"-",(F64/$D$50*$D$47*$B$68)*($B$57/$D$64))</f>
        <v>159.59654405078152</v>
      </c>
      <c r="H64" s="224">
        <f t="shared" si="0"/>
        <v>0.99747840031738444</v>
      </c>
    </row>
    <row r="65" spans="1:8" ht="26.25" customHeight="1">
      <c r="A65" s="147" t="s">
        <v>128</v>
      </c>
      <c r="B65" s="148">
        <v>1</v>
      </c>
      <c r="C65" s="213"/>
      <c r="D65" s="214"/>
      <c r="E65" s="215">
        <v>2</v>
      </c>
      <c r="F65" s="160">
        <v>12021688</v>
      </c>
      <c r="G65" s="225">
        <f>IF(ISBLANK(F65),"-",(F65/$D$50*$D$47*$B$68)*($B$57/$D$64))</f>
        <v>159.81062299482903</v>
      </c>
      <c r="H65" s="226">
        <f t="shared" si="0"/>
        <v>0.99881639371768149</v>
      </c>
    </row>
    <row r="66" spans="1:8" ht="26.25" customHeight="1">
      <c r="A66" s="147" t="s">
        <v>129</v>
      </c>
      <c r="B66" s="148">
        <v>1</v>
      </c>
      <c r="C66" s="213"/>
      <c r="D66" s="214"/>
      <c r="E66" s="215">
        <v>3</v>
      </c>
      <c r="F66" s="160">
        <v>12037332</v>
      </c>
      <c r="G66" s="225">
        <f>IF(ISBLANK(F66),"-",(F66/$D$50*$D$47*$B$68)*($B$57/$D$64))</f>
        <v>160.01858691687818</v>
      </c>
      <c r="H66" s="226">
        <f t="shared" si="0"/>
        <v>1.0001161682304887</v>
      </c>
    </row>
    <row r="67" spans="1:8" ht="27" customHeight="1" thickBot="1">
      <c r="A67" s="147" t="s">
        <v>130</v>
      </c>
      <c r="B67" s="148">
        <v>1</v>
      </c>
      <c r="C67" s="219"/>
      <c r="D67" s="220"/>
      <c r="E67" s="221">
        <v>4</v>
      </c>
      <c r="F67" s="222"/>
      <c r="G67" s="227" t="str">
        <f>IF(ISBLANK(F67),"-",(F67/$D$50*$D$47*$B$68)*($B$57/$D$64))</f>
        <v>-</v>
      </c>
      <c r="H67" s="228" t="str">
        <f t="shared" si="0"/>
        <v>-</v>
      </c>
    </row>
    <row r="68" spans="1:8" ht="26.25" customHeight="1">
      <c r="A68" s="147" t="s">
        <v>82</v>
      </c>
      <c r="B68" s="229">
        <f>(B67/B66)*(B65/B64)*(B63/B62)*(B61/B60)*B59</f>
        <v>5000</v>
      </c>
      <c r="C68" s="207" t="s">
        <v>83</v>
      </c>
      <c r="D68" s="208">
        <f>Sulfamethoxazole!D68</f>
        <v>1040.44</v>
      </c>
      <c r="E68" s="209">
        <v>1</v>
      </c>
      <c r="F68" s="210">
        <v>11560983</v>
      </c>
      <c r="G68" s="223">
        <f>IF(ISBLANK(F68),"-",(F68/$D$50*$D$47*$B$68)*($B$57/$D$68))</f>
        <v>154.64193040040229</v>
      </c>
      <c r="H68" s="217">
        <f t="shared" si="0"/>
        <v>0.9665120650025143</v>
      </c>
    </row>
    <row r="69" spans="1:8" ht="27" customHeight="1" thickBot="1">
      <c r="A69" s="198" t="s">
        <v>84</v>
      </c>
      <c r="B69" s="230">
        <f>(D47*B68)/B56*B57</f>
        <v>1044.912</v>
      </c>
      <c r="C69" s="213"/>
      <c r="D69" s="214"/>
      <c r="E69" s="215">
        <v>2</v>
      </c>
      <c r="F69" s="160">
        <v>11603207</v>
      </c>
      <c r="G69" s="225">
        <f>IF(ISBLANK(F69),"-",(F69/$D$50*$D$47*$B$68)*($B$57/$D$68))</f>
        <v>155.20672673902044</v>
      </c>
      <c r="H69" s="217">
        <f t="shared" si="0"/>
        <v>0.97004204211887779</v>
      </c>
    </row>
    <row r="70" spans="1:8" ht="26.25" customHeight="1">
      <c r="A70" s="231" t="s">
        <v>65</v>
      </c>
      <c r="B70" s="232"/>
      <c r="C70" s="213"/>
      <c r="D70" s="214"/>
      <c r="E70" s="215">
        <v>3</v>
      </c>
      <c r="F70" s="160">
        <v>11577237</v>
      </c>
      <c r="G70" s="225">
        <f>IF(ISBLANK(F70),"-",(F70/$D$50*$D$47*$B$68)*($B$57/$D$68))</f>
        <v>154.85934702809979</v>
      </c>
      <c r="H70" s="217">
        <f t="shared" si="0"/>
        <v>0.96787091892562371</v>
      </c>
    </row>
    <row r="71" spans="1:8" ht="27" customHeight="1" thickBot="1">
      <c r="A71" s="233"/>
      <c r="B71" s="234"/>
      <c r="C71" s="235"/>
      <c r="D71" s="220"/>
      <c r="E71" s="221">
        <v>4</v>
      </c>
      <c r="F71" s="222"/>
      <c r="G71" s="227" t="str">
        <f>IF(ISBLANK(F71),"-",(F71/$D$50*$D$47*$B$68)*($B$57/$D$68))</f>
        <v>-</v>
      </c>
      <c r="H71" s="236" t="str">
        <f t="shared" si="0"/>
        <v>-</v>
      </c>
    </row>
    <row r="72" spans="1:8" ht="26.25" customHeight="1">
      <c r="A72" s="178"/>
      <c r="B72" s="178"/>
      <c r="C72" s="178"/>
      <c r="D72" s="178"/>
      <c r="E72" s="178"/>
      <c r="F72" s="237" t="s">
        <v>60</v>
      </c>
      <c r="G72" s="238">
        <f>AVERAGE(G60:G71)</f>
        <v>157.92982867164045</v>
      </c>
      <c r="H72" s="239">
        <f>AVERAGE(H60:H71)</f>
        <v>0.98706142919775275</v>
      </c>
    </row>
    <row r="73" spans="1:8" ht="26.25" customHeight="1">
      <c r="C73" s="178"/>
      <c r="D73" s="178"/>
      <c r="E73" s="178"/>
      <c r="F73" s="240" t="s">
        <v>71</v>
      </c>
      <c r="G73" s="241">
        <f>STDEV(G60:G71)/G72</f>
        <v>1.4669105306741783E-2</v>
      </c>
      <c r="H73" s="241">
        <f>STDEV(H60:H71)/H72</f>
        <v>1.4669105306737408E-2</v>
      </c>
    </row>
    <row r="74" spans="1:8" ht="27" customHeight="1" thickBot="1">
      <c r="A74" s="178"/>
      <c r="B74" s="178"/>
      <c r="C74" s="178"/>
      <c r="D74" s="178"/>
      <c r="E74" s="180"/>
      <c r="F74" s="242" t="s">
        <v>19</v>
      </c>
      <c r="G74" s="243">
        <f>COUNT(G60:G71)</f>
        <v>9</v>
      </c>
      <c r="H74" s="243">
        <f>COUNT(H60:H71)</f>
        <v>9</v>
      </c>
    </row>
    <row r="76" spans="1:8" ht="26.25" customHeight="1">
      <c r="A76" s="121" t="s">
        <v>85</v>
      </c>
      <c r="B76" s="122" t="s">
        <v>86</v>
      </c>
      <c r="C76" s="244" t="str">
        <f>B20</f>
        <v>each tablets contains sulphamethoxazole 800mg Trimethoprim 160mg.</v>
      </c>
      <c r="D76" s="244"/>
      <c r="E76" s="105" t="s">
        <v>87</v>
      </c>
      <c r="F76" s="105"/>
      <c r="G76" s="245">
        <f>H72</f>
        <v>0.98706142919775275</v>
      </c>
      <c r="H76" s="130"/>
    </row>
    <row r="77" spans="1:8" ht="18.75">
      <c r="A77" s="120" t="s">
        <v>88</v>
      </c>
      <c r="B77" s="120" t="s">
        <v>89</v>
      </c>
    </row>
    <row r="78" spans="1:8" ht="18.75">
      <c r="A78" s="120"/>
      <c r="B78" s="120"/>
    </row>
    <row r="79" spans="1:8" ht="26.25" customHeight="1">
      <c r="A79" s="121" t="s">
        <v>3</v>
      </c>
      <c r="B79" s="246" t="str">
        <f>B26</f>
        <v>Trimethoprim</v>
      </c>
      <c r="C79" s="246"/>
    </row>
    <row r="80" spans="1:8" ht="26.25" customHeight="1">
      <c r="A80" s="122" t="s">
        <v>43</v>
      </c>
      <c r="B80" s="246" t="str">
        <f>B27</f>
        <v>T7-001</v>
      </c>
      <c r="C80" s="246"/>
    </row>
    <row r="81" spans="1:12" ht="27" customHeight="1" thickBot="1">
      <c r="A81" s="122" t="s">
        <v>5</v>
      </c>
      <c r="B81" s="124">
        <f>B28</f>
        <v>99.6</v>
      </c>
    </row>
    <row r="82" spans="1:12" s="69" customFormat="1" ht="27" customHeight="1" thickBot="1">
      <c r="A82" s="122" t="s">
        <v>44</v>
      </c>
      <c r="B82" s="125">
        <v>0</v>
      </c>
      <c r="C82" s="126" t="s">
        <v>45</v>
      </c>
      <c r="D82" s="127"/>
      <c r="E82" s="127"/>
      <c r="F82" s="127"/>
      <c r="G82" s="128"/>
      <c r="I82" s="129"/>
      <c r="J82" s="129"/>
      <c r="K82" s="129"/>
      <c r="L82" s="129"/>
    </row>
    <row r="83" spans="1:12" s="69" customFormat="1" ht="19.5" customHeight="1" thickBot="1">
      <c r="A83" s="122" t="s">
        <v>46</v>
      </c>
      <c r="B83" s="130">
        <f>B81-B82</f>
        <v>99.6</v>
      </c>
      <c r="C83" s="131"/>
      <c r="D83" s="131"/>
      <c r="E83" s="131"/>
      <c r="F83" s="131"/>
      <c r="G83" s="132"/>
      <c r="I83" s="129"/>
      <c r="J83" s="129"/>
      <c r="K83" s="129"/>
      <c r="L83" s="129"/>
    </row>
    <row r="84" spans="1:12" s="69" customFormat="1" ht="27" customHeight="1" thickBot="1">
      <c r="A84" s="122" t="s">
        <v>47</v>
      </c>
      <c r="B84" s="133">
        <v>1</v>
      </c>
      <c r="C84" s="134" t="s">
        <v>90</v>
      </c>
      <c r="D84" s="135"/>
      <c r="E84" s="135"/>
      <c r="F84" s="135"/>
      <c r="G84" s="135"/>
      <c r="H84" s="136"/>
      <c r="I84" s="129"/>
      <c r="J84" s="129"/>
      <c r="K84" s="129"/>
      <c r="L84" s="129"/>
    </row>
    <row r="85" spans="1:12" s="69" customFormat="1" ht="27" customHeight="1" thickBot="1">
      <c r="A85" s="122" t="s">
        <v>49</v>
      </c>
      <c r="B85" s="133">
        <v>1</v>
      </c>
      <c r="C85" s="134" t="s">
        <v>91</v>
      </c>
      <c r="D85" s="135"/>
      <c r="E85" s="135"/>
      <c r="F85" s="135"/>
      <c r="G85" s="135"/>
      <c r="H85" s="136"/>
      <c r="I85" s="129"/>
      <c r="J85" s="129"/>
      <c r="K85" s="129"/>
      <c r="L85" s="129"/>
    </row>
    <row r="86" spans="1:12" s="69" customFormat="1" ht="18.75">
      <c r="A86" s="122"/>
      <c r="B86" s="139"/>
      <c r="C86" s="140"/>
      <c r="D86" s="140"/>
      <c r="E86" s="140"/>
      <c r="F86" s="140"/>
      <c r="G86" s="140"/>
      <c r="H86" s="140"/>
      <c r="I86" s="129"/>
      <c r="J86" s="129"/>
      <c r="K86" s="129"/>
      <c r="L86" s="129"/>
    </row>
    <row r="87" spans="1:12" s="69" customFormat="1" ht="18.75">
      <c r="A87" s="122" t="s">
        <v>51</v>
      </c>
      <c r="B87" s="141">
        <f>B84/B85</f>
        <v>1</v>
      </c>
      <c r="C87" s="105" t="s">
        <v>52</v>
      </c>
      <c r="D87" s="105"/>
      <c r="E87" s="105"/>
      <c r="F87" s="105"/>
      <c r="G87" s="105"/>
      <c r="I87" s="129"/>
      <c r="J87" s="129"/>
      <c r="K87" s="129"/>
      <c r="L87" s="129"/>
    </row>
    <row r="88" spans="1:12" ht="19.5" customHeight="1" thickBot="1">
      <c r="A88" s="120"/>
      <c r="B88" s="120"/>
    </row>
    <row r="89" spans="1:12" ht="27" customHeight="1" thickBot="1">
      <c r="A89" s="142" t="s">
        <v>53</v>
      </c>
      <c r="B89" s="143">
        <v>100</v>
      </c>
      <c r="D89" s="247" t="s">
        <v>54</v>
      </c>
      <c r="E89" s="248"/>
      <c r="F89" s="144" t="s">
        <v>55</v>
      </c>
      <c r="G89" s="146"/>
    </row>
    <row r="90" spans="1:12" ht="27" customHeight="1" thickBot="1">
      <c r="A90" s="147" t="s">
        <v>115</v>
      </c>
      <c r="B90" s="148">
        <v>3</v>
      </c>
      <c r="C90" s="249" t="s">
        <v>56</v>
      </c>
      <c r="D90" s="150" t="s">
        <v>57</v>
      </c>
      <c r="E90" s="151" t="s">
        <v>58</v>
      </c>
      <c r="F90" s="150" t="s">
        <v>57</v>
      </c>
      <c r="G90" s="250" t="s">
        <v>58</v>
      </c>
      <c r="I90" s="153" t="s">
        <v>59</v>
      </c>
    </row>
    <row r="91" spans="1:12" ht="26.25" customHeight="1">
      <c r="A91" s="147" t="s">
        <v>116</v>
      </c>
      <c r="B91" s="148">
        <v>20</v>
      </c>
      <c r="C91" s="251">
        <v>1</v>
      </c>
      <c r="D91" s="155">
        <v>15439948</v>
      </c>
      <c r="E91" s="156">
        <f>IF(ISBLANK(D91),"-",$D$101/$D$98*D91)</f>
        <v>6819854.6336905267</v>
      </c>
      <c r="F91" s="155">
        <v>13343998</v>
      </c>
      <c r="G91" s="157">
        <f>IF(ISBLANK(F91),"-",$D$101/$F$98*F91)</f>
        <v>6545186.8234441243</v>
      </c>
      <c r="I91" s="158"/>
    </row>
    <row r="92" spans="1:12" ht="26.25" customHeight="1">
      <c r="A92" s="147" t="s">
        <v>117</v>
      </c>
      <c r="B92" s="148">
        <v>1</v>
      </c>
      <c r="C92" s="178">
        <v>2</v>
      </c>
      <c r="D92" s="160">
        <v>15330795</v>
      </c>
      <c r="E92" s="161">
        <f>IF(ISBLANK(D92),"-",$D$101/$D$98*D92)</f>
        <v>6771641.5443179961</v>
      </c>
      <c r="F92" s="160">
        <v>13380090</v>
      </c>
      <c r="G92" s="162">
        <f>IF(ISBLANK(F92),"-",$D$101/$F$98*F92)</f>
        <v>6562889.8299067859</v>
      </c>
      <c r="I92" s="163">
        <f>ABS((F96/D96*D95)-F95)/D95</f>
        <v>3.0772189744081864E-2</v>
      </c>
    </row>
    <row r="93" spans="1:12" ht="26.25" customHeight="1">
      <c r="A93" s="147" t="s">
        <v>118</v>
      </c>
      <c r="B93" s="148">
        <v>1</v>
      </c>
      <c r="C93" s="178">
        <v>3</v>
      </c>
      <c r="D93" s="160">
        <v>15345510</v>
      </c>
      <c r="E93" s="161">
        <f>IF(ISBLANK(D93),"-",$D$101/$D$98*D93)</f>
        <v>6778141.188030188</v>
      </c>
      <c r="F93" s="160">
        <v>13385407</v>
      </c>
      <c r="G93" s="162">
        <f>IF(ISBLANK(F93),"-",$D$101/$F$98*F93)</f>
        <v>6565497.8007967882</v>
      </c>
      <c r="I93" s="163"/>
    </row>
    <row r="94" spans="1:12" ht="27" customHeight="1" thickBot="1">
      <c r="A94" s="147" t="s">
        <v>119</v>
      </c>
      <c r="B94" s="148">
        <v>1</v>
      </c>
      <c r="C94" s="252">
        <v>4</v>
      </c>
      <c r="D94" s="165"/>
      <c r="E94" s="166" t="str">
        <f>IF(ISBLANK(D94),"-",$D$101/$D$98*D94)</f>
        <v>-</v>
      </c>
      <c r="F94" s="306"/>
      <c r="G94" s="167" t="str">
        <f>IF(ISBLANK(F94),"-",$D$101/$F$98*F94)</f>
        <v>-</v>
      </c>
      <c r="I94" s="168"/>
    </row>
    <row r="95" spans="1:12" ht="27" customHeight="1" thickBot="1">
      <c r="A95" s="147" t="s">
        <v>120</v>
      </c>
      <c r="B95" s="148">
        <v>1</v>
      </c>
      <c r="C95" s="122" t="s">
        <v>60</v>
      </c>
      <c r="D95" s="253">
        <f>AVERAGE(D91:D94)</f>
        <v>15372084.333333334</v>
      </c>
      <c r="E95" s="171">
        <f>AVERAGE(E91:E94)</f>
        <v>6789879.122012903</v>
      </c>
      <c r="F95" s="254">
        <f>AVERAGE(F91:F94)</f>
        <v>13369831.666666666</v>
      </c>
      <c r="G95" s="255">
        <f>AVERAGE(G91:G94)</f>
        <v>6557858.1513825655</v>
      </c>
    </row>
    <row r="96" spans="1:12" ht="26.25" customHeight="1">
      <c r="A96" s="147" t="s">
        <v>121</v>
      </c>
      <c r="B96" s="124">
        <v>1</v>
      </c>
      <c r="C96" s="256" t="s">
        <v>92</v>
      </c>
      <c r="D96" s="257">
        <f>D43</f>
        <v>26.94</v>
      </c>
      <c r="E96" s="105"/>
      <c r="F96" s="175">
        <f>F43</f>
        <v>24.26</v>
      </c>
    </row>
    <row r="97" spans="1:10" ht="26.25" customHeight="1">
      <c r="A97" s="147" t="s">
        <v>122</v>
      </c>
      <c r="B97" s="124">
        <v>1</v>
      </c>
      <c r="C97" s="258" t="s">
        <v>93</v>
      </c>
      <c r="D97" s="259">
        <f>D96*$B$87</f>
        <v>26.94</v>
      </c>
      <c r="E97" s="178"/>
      <c r="F97" s="177">
        <f>F96*$B$87</f>
        <v>24.26</v>
      </c>
    </row>
    <row r="98" spans="1:10" ht="19.5" customHeight="1" thickBot="1">
      <c r="A98" s="147" t="s">
        <v>63</v>
      </c>
      <c r="B98" s="178">
        <f>(B97/B96)*(B95/B94)*(B93/B92)*(B91/B90)*B89</f>
        <v>666.66666666666674</v>
      </c>
      <c r="C98" s="258" t="s">
        <v>94</v>
      </c>
      <c r="D98" s="260">
        <f>D97*$B$83/100</f>
        <v>26.832240000000002</v>
      </c>
      <c r="E98" s="180"/>
      <c r="F98" s="179">
        <f>F97*$B$83/100</f>
        <v>24.162959999999998</v>
      </c>
    </row>
    <row r="99" spans="1:10" ht="19.5" customHeight="1" thickBot="1">
      <c r="A99" s="181" t="s">
        <v>65</v>
      </c>
      <c r="B99" s="261"/>
      <c r="C99" s="258" t="s">
        <v>95</v>
      </c>
      <c r="D99" s="262">
        <f>D98/$B$98</f>
        <v>4.0248359999999997E-2</v>
      </c>
      <c r="E99" s="180"/>
      <c r="F99" s="185">
        <f>F98/$B$98</f>
        <v>3.6244439999999996E-2</v>
      </c>
      <c r="H99" s="173"/>
    </row>
    <row r="100" spans="1:10" ht="19.5" customHeight="1" thickBot="1">
      <c r="A100" s="186"/>
      <c r="B100" s="263"/>
      <c r="C100" s="258" t="s">
        <v>67</v>
      </c>
      <c r="D100" s="264">
        <f>$B$56/$B$116</f>
        <v>1.7777777777777778E-2</v>
      </c>
      <c r="F100" s="192"/>
      <c r="G100" s="265"/>
      <c r="H100" s="173"/>
    </row>
    <row r="101" spans="1:10" ht="18.75">
      <c r="C101" s="258" t="s">
        <v>68</v>
      </c>
      <c r="D101" s="259">
        <f>D100*$B$98</f>
        <v>11.851851851851853</v>
      </c>
      <c r="F101" s="192"/>
      <c r="H101" s="173"/>
    </row>
    <row r="102" spans="1:10" ht="19.5" customHeight="1" thickBot="1">
      <c r="C102" s="266" t="s">
        <v>69</v>
      </c>
      <c r="D102" s="267">
        <f>D101/B34</f>
        <v>11.851851851851853</v>
      </c>
      <c r="F102" s="196"/>
      <c r="H102" s="173"/>
      <c r="J102" s="268"/>
    </row>
    <row r="103" spans="1:10" ht="18.75">
      <c r="C103" s="269" t="s">
        <v>96</v>
      </c>
      <c r="D103" s="270">
        <f>AVERAGE(E91:E94,G91:G94)</f>
        <v>6673868.6366977347</v>
      </c>
      <c r="F103" s="196"/>
      <c r="G103" s="265"/>
      <c r="H103" s="173"/>
      <c r="J103" s="271"/>
    </row>
    <row r="104" spans="1:10" ht="18.75">
      <c r="C104" s="240" t="s">
        <v>71</v>
      </c>
      <c r="D104" s="272">
        <f>STDEV(E91:E94,G91:G94)/D103</f>
        <v>1.9231157607910016E-2</v>
      </c>
      <c r="F104" s="196"/>
      <c r="H104" s="173"/>
      <c r="J104" s="271"/>
    </row>
    <row r="105" spans="1:10" ht="19.5" customHeight="1" thickBot="1">
      <c r="C105" s="242" t="s">
        <v>19</v>
      </c>
      <c r="D105" s="273">
        <f>COUNT(E91:E94,G91:G94)</f>
        <v>6</v>
      </c>
      <c r="F105" s="196"/>
      <c r="H105" s="173"/>
      <c r="J105" s="271"/>
    </row>
    <row r="106" spans="1:10" ht="19.5" customHeight="1" thickBot="1">
      <c r="A106" s="200"/>
      <c r="B106" s="200"/>
      <c r="C106" s="200"/>
      <c r="D106" s="200"/>
      <c r="E106" s="200"/>
    </row>
    <row r="107" spans="1:10" ht="26.25" customHeight="1">
      <c r="A107" s="142" t="s">
        <v>97</v>
      </c>
      <c r="B107" s="143">
        <v>900</v>
      </c>
      <c r="C107" s="247" t="s">
        <v>98</v>
      </c>
      <c r="D107" s="274" t="s">
        <v>57</v>
      </c>
      <c r="E107" s="275" t="s">
        <v>99</v>
      </c>
      <c r="F107" s="276" t="s">
        <v>100</v>
      </c>
    </row>
    <row r="108" spans="1:10" ht="26.25" customHeight="1">
      <c r="A108" s="147" t="s">
        <v>131</v>
      </c>
      <c r="B108" s="148">
        <v>5</v>
      </c>
      <c r="C108" s="277">
        <v>1</v>
      </c>
      <c r="D108" s="278">
        <v>6676779</v>
      </c>
      <c r="E108" s="279">
        <f t="shared" ref="E108:E113" si="1">IF(ISBLANK(D108),"-",D108/$D$103*$D$100*$B$116)</f>
        <v>160.06977334342511</v>
      </c>
      <c r="F108" s="280">
        <f t="shared" ref="F108:F113" si="2">IF(ISBLANK(D108), "-", E108/$B$56)</f>
        <v>1.000436083396407</v>
      </c>
    </row>
    <row r="109" spans="1:10" ht="26.25" customHeight="1">
      <c r="A109" s="147" t="s">
        <v>124</v>
      </c>
      <c r="B109" s="148">
        <v>50</v>
      </c>
      <c r="C109" s="277">
        <v>2</v>
      </c>
      <c r="D109" s="278">
        <v>6534954</v>
      </c>
      <c r="E109" s="281">
        <f t="shared" si="1"/>
        <v>156.66964648518532</v>
      </c>
      <c r="F109" s="282">
        <f t="shared" si="2"/>
        <v>0.97918529053240833</v>
      </c>
    </row>
    <row r="110" spans="1:10" ht="26.25" customHeight="1">
      <c r="A110" s="147" t="s">
        <v>125</v>
      </c>
      <c r="B110" s="148">
        <v>1</v>
      </c>
      <c r="C110" s="277">
        <v>3</v>
      </c>
      <c r="D110" s="278">
        <v>6652557</v>
      </c>
      <c r="E110" s="281">
        <f t="shared" si="1"/>
        <v>159.48907267175028</v>
      </c>
      <c r="F110" s="282">
        <f t="shared" si="2"/>
        <v>0.9968067041984392</v>
      </c>
    </row>
    <row r="111" spans="1:10" ht="26.25" customHeight="1">
      <c r="A111" s="147" t="s">
        <v>126</v>
      </c>
      <c r="B111" s="148">
        <v>1</v>
      </c>
      <c r="C111" s="277">
        <v>4</v>
      </c>
      <c r="D111" s="278">
        <v>6229527</v>
      </c>
      <c r="E111" s="281">
        <f t="shared" si="1"/>
        <v>149.34730877369867</v>
      </c>
      <c r="F111" s="282">
        <f t="shared" si="2"/>
        <v>0.93342067983561672</v>
      </c>
    </row>
    <row r="112" spans="1:10" ht="26.25" customHeight="1">
      <c r="A112" s="147" t="s">
        <v>127</v>
      </c>
      <c r="B112" s="148">
        <v>1</v>
      </c>
      <c r="C112" s="277">
        <v>5</v>
      </c>
      <c r="D112" s="278">
        <v>6390629</v>
      </c>
      <c r="E112" s="281">
        <f t="shared" si="1"/>
        <v>153.20958437472913</v>
      </c>
      <c r="F112" s="282">
        <f t="shared" si="2"/>
        <v>0.95755990234205712</v>
      </c>
    </row>
    <row r="113" spans="1:10" ht="26.25" customHeight="1">
      <c r="A113" s="147" t="s">
        <v>128</v>
      </c>
      <c r="B113" s="148">
        <v>1</v>
      </c>
      <c r="C113" s="283">
        <v>6</v>
      </c>
      <c r="D113" s="284">
        <v>6653677</v>
      </c>
      <c r="E113" s="285">
        <f t="shared" si="1"/>
        <v>159.51592366474327</v>
      </c>
      <c r="F113" s="286">
        <f t="shared" si="2"/>
        <v>0.99697452290464539</v>
      </c>
    </row>
    <row r="114" spans="1:10" ht="26.25" customHeight="1">
      <c r="A114" s="147" t="s">
        <v>129</v>
      </c>
      <c r="B114" s="148">
        <v>1</v>
      </c>
      <c r="C114" s="277"/>
      <c r="D114" s="178"/>
      <c r="E114" s="105"/>
      <c r="F114" s="287"/>
    </row>
    <row r="115" spans="1:10" ht="26.25" customHeight="1">
      <c r="A115" s="147" t="s">
        <v>130</v>
      </c>
      <c r="B115" s="148">
        <v>1</v>
      </c>
      <c r="C115" s="277"/>
      <c r="D115" s="288" t="s">
        <v>60</v>
      </c>
      <c r="E115" s="289">
        <f>AVERAGE(E108:E113)</f>
        <v>156.38355155225528</v>
      </c>
      <c r="F115" s="290">
        <f>AVERAGE(F108:F113)</f>
        <v>0.97739719720159568</v>
      </c>
    </row>
    <row r="116" spans="1:10" ht="27" customHeight="1" thickBot="1">
      <c r="A116" s="147" t="s">
        <v>82</v>
      </c>
      <c r="B116" s="159">
        <f>(B115/B114)*(B113/B112)*(B111/B110)*(B109/B108)*B107</f>
        <v>9000</v>
      </c>
      <c r="C116" s="291"/>
      <c r="D116" s="122" t="s">
        <v>71</v>
      </c>
      <c r="E116" s="292">
        <f>STDEV(E108:E113)/E115</f>
        <v>2.7534968775696094E-2</v>
      </c>
      <c r="F116" s="292">
        <f>STDEV(F108:F113)/F115</f>
        <v>2.7534968775694574E-2</v>
      </c>
      <c r="I116" s="105"/>
    </row>
    <row r="117" spans="1:10" ht="27" customHeight="1" thickBot="1">
      <c r="A117" s="181" t="s">
        <v>65</v>
      </c>
      <c r="B117" s="182"/>
      <c r="C117" s="293"/>
      <c r="D117" s="294" t="s">
        <v>19</v>
      </c>
      <c r="E117" s="295">
        <f>COUNT(E108:E113)</f>
        <v>6</v>
      </c>
      <c r="F117" s="295">
        <f>COUNT(F108:F113)</f>
        <v>6</v>
      </c>
      <c r="I117" s="105"/>
      <c r="J117" s="271"/>
    </row>
    <row r="118" spans="1:10" ht="19.5" customHeight="1" thickBot="1">
      <c r="A118" s="186"/>
      <c r="B118" s="187"/>
      <c r="C118" s="105"/>
      <c r="D118" s="105"/>
      <c r="E118" s="105"/>
      <c r="F118" s="178"/>
      <c r="G118" s="105"/>
      <c r="H118" s="105"/>
      <c r="I118" s="105"/>
    </row>
    <row r="119" spans="1:10" ht="18.75">
      <c r="A119" s="296"/>
      <c r="B119" s="140"/>
      <c r="C119" s="105"/>
      <c r="D119" s="105"/>
      <c r="E119" s="105"/>
      <c r="F119" s="178"/>
      <c r="G119" s="105"/>
      <c r="H119" s="105"/>
      <c r="I119" s="105"/>
    </row>
    <row r="120" spans="1:10" ht="26.25" customHeight="1">
      <c r="A120" s="121" t="s">
        <v>85</v>
      </c>
      <c r="B120" s="122" t="s">
        <v>101</v>
      </c>
      <c r="C120" s="244" t="str">
        <f>B20</f>
        <v>each tablets contains sulphamethoxazole 800mg Trimethoprim 160mg.</v>
      </c>
      <c r="D120" s="244"/>
      <c r="E120" s="105" t="s">
        <v>102</v>
      </c>
      <c r="F120" s="105"/>
      <c r="G120" s="245">
        <f>F115</f>
        <v>0.97739719720159568</v>
      </c>
      <c r="H120" s="105"/>
      <c r="I120" s="105"/>
    </row>
    <row r="121" spans="1:10" ht="19.5" customHeight="1" thickBot="1">
      <c r="A121" s="297"/>
      <c r="B121" s="297"/>
      <c r="C121" s="298"/>
      <c r="D121" s="298"/>
      <c r="E121" s="298"/>
      <c r="F121" s="298"/>
      <c r="G121" s="298"/>
      <c r="H121" s="298"/>
    </row>
    <row r="122" spans="1:10" ht="18.75">
      <c r="B122" s="299" t="s">
        <v>21</v>
      </c>
      <c r="C122" s="299"/>
      <c r="E122" s="249" t="s">
        <v>22</v>
      </c>
      <c r="F122" s="300"/>
      <c r="G122" s="299" t="s">
        <v>23</v>
      </c>
      <c r="H122" s="299"/>
    </row>
    <row r="123" spans="1:10" ht="69.95" customHeight="1">
      <c r="A123" s="121" t="s">
        <v>24</v>
      </c>
      <c r="B123" s="301"/>
      <c r="C123" s="301"/>
      <c r="E123" s="301"/>
      <c r="F123" s="105"/>
      <c r="G123" s="301"/>
      <c r="H123" s="301"/>
    </row>
    <row r="124" spans="1:10" ht="69.95" customHeight="1">
      <c r="A124" s="121" t="s">
        <v>25</v>
      </c>
      <c r="B124" s="302"/>
      <c r="C124" s="302"/>
      <c r="E124" s="302"/>
      <c r="F124" s="105"/>
      <c r="G124" s="303"/>
      <c r="H124" s="303"/>
    </row>
    <row r="125" spans="1:10" ht="18.75">
      <c r="A125" s="178"/>
      <c r="B125" s="178"/>
      <c r="C125" s="178"/>
      <c r="D125" s="178"/>
      <c r="E125" s="178"/>
      <c r="F125" s="180"/>
      <c r="G125" s="178"/>
      <c r="H125" s="178"/>
      <c r="I125" s="105"/>
    </row>
    <row r="126" spans="1:10" ht="18.75">
      <c r="A126" s="178"/>
      <c r="B126" s="178"/>
      <c r="C126" s="178"/>
      <c r="D126" s="178"/>
      <c r="E126" s="178"/>
      <c r="F126" s="180"/>
      <c r="G126" s="178"/>
      <c r="H126" s="178"/>
      <c r="I126" s="105"/>
    </row>
    <row r="127" spans="1:10" ht="18.75">
      <c r="A127" s="178"/>
      <c r="B127" s="178"/>
      <c r="C127" s="178"/>
      <c r="D127" s="178"/>
      <c r="E127" s="178"/>
      <c r="F127" s="180"/>
      <c r="G127" s="178"/>
      <c r="H127" s="178"/>
      <c r="I127" s="105"/>
    </row>
    <row r="128" spans="1:10" ht="18.75">
      <c r="A128" s="178"/>
      <c r="B128" s="178"/>
      <c r="C128" s="178"/>
      <c r="D128" s="178"/>
      <c r="E128" s="178"/>
      <c r="F128" s="180"/>
      <c r="G128" s="178"/>
      <c r="H128" s="178"/>
      <c r="I128" s="105"/>
    </row>
    <row r="129" spans="1:9" ht="18.75">
      <c r="A129" s="178"/>
      <c r="B129" s="178"/>
      <c r="C129" s="178"/>
      <c r="D129" s="178"/>
      <c r="E129" s="178"/>
      <c r="F129" s="180"/>
      <c r="G129" s="178"/>
      <c r="H129" s="178"/>
      <c r="I129" s="105"/>
    </row>
    <row r="130" spans="1:9" ht="18.75">
      <c r="A130" s="178"/>
      <c r="B130" s="178"/>
      <c r="C130" s="178"/>
      <c r="D130" s="178"/>
      <c r="E130" s="178"/>
      <c r="F130" s="180"/>
      <c r="G130" s="178"/>
      <c r="H130" s="178"/>
      <c r="I130" s="105"/>
    </row>
    <row r="131" spans="1:9" ht="18.75">
      <c r="A131" s="178"/>
      <c r="B131" s="178"/>
      <c r="C131" s="178"/>
      <c r="D131" s="178"/>
      <c r="E131" s="178"/>
      <c r="F131" s="180"/>
      <c r="G131" s="178"/>
      <c r="H131" s="178"/>
      <c r="I131" s="105"/>
    </row>
    <row r="132" spans="1:9" ht="18.75">
      <c r="A132" s="178"/>
      <c r="B132" s="178"/>
      <c r="C132" s="178"/>
      <c r="D132" s="178"/>
      <c r="E132" s="178"/>
      <c r="F132" s="180"/>
      <c r="G132" s="178"/>
      <c r="H132" s="178"/>
      <c r="I132" s="105"/>
    </row>
    <row r="133" spans="1:9" ht="18.75">
      <c r="A133" s="178"/>
      <c r="B133" s="178"/>
      <c r="C133" s="178"/>
      <c r="D133" s="178"/>
      <c r="E133" s="178"/>
      <c r="F133" s="180"/>
      <c r="G133" s="178"/>
      <c r="H133" s="178"/>
      <c r="I133" s="105"/>
    </row>
    <row r="250" spans="1:1">
      <c r="A250" s="57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9" operator="greaterThan">
      <formula>0.02</formula>
    </cfRule>
  </conditionalFormatting>
  <conditionalFormatting sqref="D51">
    <cfRule type="cellIs" dxfId="7" priority="8" operator="greaterThan">
      <formula>0.02</formula>
    </cfRule>
  </conditionalFormatting>
  <conditionalFormatting sqref="G73">
    <cfRule type="cellIs" dxfId="6" priority="7" operator="greaterThan">
      <formula>0.02</formula>
    </cfRule>
  </conditionalFormatting>
  <conditionalFormatting sqref="H73">
    <cfRule type="cellIs" dxfId="5" priority="6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4" operator="lessThanOrEqual">
      <formula>0.02</formula>
    </cfRule>
  </conditionalFormatting>
  <conditionalFormatting sqref="I39">
    <cfRule type="cellIs" dxfId="2" priority="3" operator="greaterThan">
      <formula>0.02</formula>
    </cfRule>
  </conditionalFormatting>
  <conditionalFormatting sqref="I92">
    <cfRule type="cellIs" dxfId="1" priority="2" operator="lessThanOrEqual">
      <formula>0.02</formula>
    </cfRule>
  </conditionalFormatting>
  <conditionalFormatting sqref="I92">
    <cfRule type="cellIs" dxfId="0" priority="1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Uniformity</vt:lpstr>
      <vt:lpstr>SST </vt:lpstr>
      <vt:lpstr>Sulfamethoxazole</vt:lpstr>
      <vt:lpstr>Trimethoprim</vt:lpstr>
      <vt:lpstr>'SST '!Print_Area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cp:lastPrinted>2016-04-12T07:06:17Z</cp:lastPrinted>
  <dcterms:created xsi:type="dcterms:W3CDTF">2005-07-05T10:19:27Z</dcterms:created>
  <dcterms:modified xsi:type="dcterms:W3CDTF">2016-04-13T11:56:54Z</dcterms:modified>
</cp:coreProperties>
</file>